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Models\SATIMGE\Waste\"/>
    </mc:Choice>
  </mc:AlternateContent>
  <xr:revisionPtr revIDLastSave="0" documentId="8_{4B524B4B-3FDA-4067-AF81-67C64843B631}" xr6:coauthVersionLast="47" xr6:coauthVersionMax="47" xr10:uidLastSave="{00000000-0000-0000-0000-000000000000}"/>
  <bookViews>
    <workbookView xWindow="-1800" yWindow="-16425" windowWidth="19200" windowHeight="14505"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20" l="1"/>
  <c r="C10" i="20"/>
  <c r="C9" i="20"/>
  <c r="C8" i="20"/>
  <c r="B1" i="23"/>
  <c r="BX97" i="17" l="1"/>
  <c r="BX97" i="16"/>
  <c r="BX97" i="11"/>
  <c r="G58" i="4" l="1"/>
  <c r="K28" i="12" l="1"/>
  <c r="L28" i="12"/>
  <c r="O28" i="12"/>
  <c r="B39" i="4"/>
  <c r="J29" i="12"/>
  <c r="F36" i="4"/>
  <c r="J35" i="4" l="1"/>
  <c r="BT97" i="16"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R97" i="17"/>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BQ98" i="17"/>
  <c r="BQ99" i="17" s="1"/>
  <c r="BQ100" i="17" s="1"/>
  <c r="BQ101" i="17" s="1"/>
  <c r="BQ102" i="17" s="1"/>
  <c r="BQ103" i="17" s="1"/>
  <c r="BR98" i="17"/>
  <c r="BR99" i="17"/>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W102" i="17"/>
  <c r="BQ104" i="17"/>
  <c r="BQ105" i="17"/>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BM98" i="16" s="1"/>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T98" i="17" l="1"/>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81"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T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I120" i="4" s="1"/>
  <c r="I121" i="4" s="1"/>
  <c r="I122" i="4" s="1"/>
  <c r="I123" i="4" s="1"/>
  <c r="I124" i="4" s="1"/>
  <c r="I125" i="4" s="1"/>
  <c r="I126" i="4" s="1"/>
  <c r="I127" i="4" s="1"/>
  <c r="I128" i="4" s="1"/>
  <c r="I129" i="4" s="1"/>
  <c r="I130" i="4" s="1"/>
  <c r="I131" i="4" s="1"/>
  <c r="I132" i="4" s="1"/>
  <c r="I133" i="4" s="1"/>
  <c r="I134" i="4" s="1"/>
  <c r="I135" i="4" s="1"/>
  <c r="I136" i="4" s="1"/>
  <c r="I137" i="4" s="1"/>
  <c r="I138" i="4" s="1"/>
  <c r="I139" i="4" s="1"/>
  <c r="I140" i="4" s="1"/>
  <c r="I141" i="4" s="1"/>
  <c r="I142" i="4" s="1"/>
  <c r="I143" i="4" s="1"/>
  <c r="I144" i="4" s="1"/>
  <c r="I145" i="4" s="1"/>
  <c r="I146" i="4" s="1"/>
  <c r="I147" i="4" s="1"/>
  <c r="I148" i="4" s="1"/>
  <c r="I149" i="4" s="1"/>
  <c r="I150"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E35" i="3" l="1"/>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E36" i="3" l="1"/>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37" i="17" l="1"/>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77" i="17" l="1"/>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K177" i="17" l="1"/>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J177" i="11" l="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K137" i="11" l="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E42" i="3" l="1"/>
  <c r="P41" i="3"/>
  <c r="AG10" i="10"/>
  <c r="AC11" i="10"/>
  <c r="O46" i="19"/>
  <c r="O46" i="18"/>
  <c r="L40" i="19"/>
  <c r="E41" i="19"/>
  <c r="P40" i="19"/>
  <c r="E41" i="18"/>
  <c r="P40" i="18"/>
  <c r="L40" i="18"/>
  <c r="O98" i="18"/>
  <c r="R235" i="1"/>
  <c r="H235" i="1"/>
  <c r="B215" i="1"/>
  <c r="B249" i="1"/>
  <c r="B284" i="1" s="1"/>
  <c r="F77" i="4"/>
  <c r="C83" i="7"/>
  <c r="G77" i="4"/>
  <c r="D83" i="7"/>
  <c r="C149" i="1"/>
  <c r="R148" i="1"/>
  <c r="H148" i="1"/>
  <c r="E43" i="3" l="1"/>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E44" i="3" l="1"/>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E45" i="3" l="1"/>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E46" i="3" l="1"/>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E47" i="3" l="1"/>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BD20" i="18" l="1"/>
  <c r="E48" i="3"/>
  <c r="P47" i="3"/>
  <c r="AG16" i="10"/>
  <c r="AC17" i="10"/>
  <c r="O52" i="19"/>
  <c r="O52" i="18"/>
  <c r="H39" i="8"/>
  <c r="P46" i="19"/>
  <c r="E47" i="19"/>
  <c r="L46" i="19"/>
  <c r="E47" i="18"/>
  <c r="L46" i="18"/>
  <c r="P46" i="18"/>
  <c r="B221" i="1"/>
  <c r="B255" i="1"/>
  <c r="B290" i="1" s="1"/>
  <c r="F83" i="4"/>
  <c r="C89" i="7"/>
  <c r="G83" i="4"/>
  <c r="D89" i="7"/>
  <c r="C155" i="1"/>
  <c r="R154" i="1"/>
  <c r="H154" i="1"/>
  <c r="E49" i="3" l="1"/>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E50" i="3" l="1"/>
  <c r="P49" i="3"/>
  <c r="AG18" i="10"/>
  <c r="AC19" i="10"/>
  <c r="O54" i="19"/>
  <c r="O54" i="18"/>
  <c r="H41" i="8"/>
  <c r="E49" i="18"/>
  <c r="L48" i="18"/>
  <c r="P48" i="18"/>
  <c r="E49" i="19"/>
  <c r="L48" i="19"/>
  <c r="P48" i="19"/>
  <c r="H202" i="1"/>
  <c r="R202" i="1"/>
  <c r="E203" i="1"/>
  <c r="F85" i="4"/>
  <c r="C91" i="7"/>
  <c r="G85" i="4"/>
  <c r="D91" i="7"/>
  <c r="C157" i="1"/>
  <c r="R156" i="1"/>
  <c r="H156" i="1"/>
  <c r="E51" i="3" l="1"/>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E52" i="3" l="1"/>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E53" i="3" l="1"/>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W44" i="17" l="1"/>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E55" i="3" l="1"/>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N21" i="3" l="1"/>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S21" i="3" l="1"/>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BE10" i="6" l="1"/>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R23" i="3" l="1"/>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S24" i="3" l="1"/>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S25" i="3" l="1"/>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S26" i="3" l="1"/>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R27" i="3" l="1"/>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R28" i="3" l="1"/>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S29" i="3" l="1"/>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C112" i="4"/>
  <c r="B112" i="4"/>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C113" i="4"/>
  <c r="B113" i="4"/>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C114" i="4"/>
  <c r="B114" i="4"/>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C115" i="4"/>
  <c r="B115" i="4"/>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B116" i="4"/>
  <c r="C116" i="4"/>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C117" i="4"/>
  <c r="B117" i="4"/>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D118" i="4"/>
  <c r="E118" i="4" s="1"/>
  <c r="C118" i="4"/>
  <c r="B118" i="4"/>
  <c r="K118" i="4" s="1"/>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D119" i="4"/>
  <c r="E119" i="4" s="1"/>
  <c r="C119" i="4"/>
  <c r="B119" i="4"/>
  <c r="K119" i="4" s="1"/>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C120" i="4"/>
  <c r="B120" i="4"/>
  <c r="K120" i="4" s="1"/>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D120" i="4"/>
  <c r="E120" i="4" s="1"/>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Y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D121" i="4"/>
  <c r="E121" i="4" s="1"/>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C121" i="4"/>
  <c r="B121" i="4"/>
  <c r="K121" i="4" s="1"/>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S81" i="19"/>
  <c r="U81" i="19" s="1"/>
  <c r="V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I116" i="4"/>
  <c r="L121" i="4"/>
  <c r="I23" i="23"/>
  <c r="I100" i="16"/>
  <c r="I100" i="11"/>
  <c r="AM126" i="7"/>
  <c r="AW128" i="7"/>
  <c r="E128" i="7"/>
  <c r="G128" i="7" s="1"/>
  <c r="K132" i="6"/>
  <c r="K98" i="6"/>
  <c r="AK20" i="19"/>
  <c r="AK20" i="3"/>
  <c r="K166" i="6"/>
  <c r="K200" i="6"/>
  <c r="AO161" i="7"/>
  <c r="AJ161" i="7"/>
  <c r="AA161" i="7"/>
  <c r="AI161" i="7"/>
  <c r="AG161" i="7"/>
  <c r="AL161" i="7"/>
  <c r="AH161" i="7"/>
  <c r="AK161" i="7"/>
  <c r="B122" i="4"/>
  <c r="K122" i="4" s="1"/>
  <c r="I102" i="17" s="1"/>
  <c r="C122" i="4"/>
  <c r="D122" i="4"/>
  <c r="E122" i="4" s="1"/>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AZ6" i="10" l="1"/>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C123" i="4"/>
  <c r="B123" i="4"/>
  <c r="K123" i="4" s="1"/>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D123" i="4"/>
  <c r="E123" i="4" s="1"/>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C124" i="4"/>
  <c r="B124" i="4"/>
  <c r="K124" i="4" s="1"/>
  <c r="I104" i="17" s="1"/>
  <c r="AK129" i="7"/>
  <c r="AA129" i="7"/>
  <c r="AO129" i="7"/>
  <c r="AH129" i="7"/>
  <c r="AI129" i="7"/>
  <c r="AJ129" i="7"/>
  <c r="AL129" i="7"/>
  <c r="AG129" i="7"/>
  <c r="E164" i="7"/>
  <c r="G164" i="7" s="1"/>
  <c r="AW164" i="7"/>
  <c r="AS27" i="6"/>
  <c r="AG27" i="6"/>
  <c r="BE27" i="6"/>
  <c r="AA27" i="6"/>
  <c r="D124" i="4"/>
  <c r="E124" i="4" s="1"/>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AL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D125" i="4"/>
  <c r="E125" i="4" s="1"/>
  <c r="D104" i="17"/>
  <c r="D104" i="16"/>
  <c r="D144" i="16"/>
  <c r="D144" i="17"/>
  <c r="BX104" i="17" s="1"/>
  <c r="D144" i="11"/>
  <c r="BX104" i="11" s="1"/>
  <c r="D104" i="11"/>
  <c r="AM27" i="6"/>
  <c r="AY27" i="6"/>
  <c r="C125" i="4"/>
  <c r="B125" i="4"/>
  <c r="K125" i="4" s="1"/>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C126" i="4"/>
  <c r="B126" i="4"/>
  <c r="K126" i="4" s="1"/>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D126" i="4"/>
  <c r="E126" i="4" s="1"/>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C127" i="4"/>
  <c r="B127" i="4"/>
  <c r="K127" i="4" s="1"/>
  <c r="I107" i="17" s="1"/>
  <c r="AC24" i="19"/>
  <c r="AE24" i="19" s="1"/>
  <c r="AF24" i="19" s="1"/>
  <c r="BC24" i="19" s="1"/>
  <c r="BE24" i="19" s="1"/>
  <c r="BG24" i="19" s="1"/>
  <c r="AB24" i="19"/>
  <c r="AD24" i="19" s="1"/>
  <c r="D127" i="4"/>
  <c r="E127" i="4" s="1"/>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BQ36" i="6"/>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D128" i="4"/>
  <c r="E128" i="4" s="1"/>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C128" i="4"/>
  <c r="B128" i="4"/>
  <c r="K128" i="4" s="1"/>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Z144" i="11"/>
  <c r="AI34" i="6" s="1"/>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B129" i="4"/>
  <c r="K129" i="4" s="1"/>
  <c r="I109" i="17" s="1"/>
  <c r="C129" i="4"/>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D129" i="4"/>
  <c r="E129" i="4" s="1"/>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D130" i="4"/>
  <c r="E130" i="4" s="1"/>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C130" i="4"/>
  <c r="B130" i="4"/>
  <c r="K130" i="4" s="1"/>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BQ39" i="6"/>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D131" i="4"/>
  <c r="E131" i="4" s="1"/>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C131" i="4"/>
  <c r="B131" i="4"/>
  <c r="K131" i="4" s="1"/>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M144" i="1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D132" i="4"/>
  <c r="E132" i="4" s="1"/>
  <c r="D111" i="17"/>
  <c r="D111" i="16"/>
  <c r="D151" i="16"/>
  <c r="D151" i="17"/>
  <c r="BX111" i="17" s="1"/>
  <c r="D151" i="11"/>
  <c r="BX111" i="11" s="1"/>
  <c r="D111" i="11"/>
  <c r="AW206" i="7"/>
  <c r="E206" i="7"/>
  <c r="G206" i="7" s="1"/>
  <c r="AA171" i="7"/>
  <c r="AG171" i="7"/>
  <c r="AO171" i="7"/>
  <c r="AJ171" i="7"/>
  <c r="AI171" i="7"/>
  <c r="AL171" i="7"/>
  <c r="AK171" i="7"/>
  <c r="AH171" i="7"/>
  <c r="C132" i="4"/>
  <c r="B132" i="4"/>
  <c r="K132" i="4" s="1"/>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AK138" i="16" l="1"/>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P144" i="11"/>
  <c r="Q144" i="11" s="1"/>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C133" i="4"/>
  <c r="B133" i="4"/>
  <c r="K133" i="4" s="1"/>
  <c r="I113" i="17" s="1"/>
  <c r="AK31" i="3"/>
  <c r="AK31" i="18"/>
  <c r="AK31" i="19"/>
  <c r="AA31" i="18"/>
  <c r="AA31" i="19"/>
  <c r="D133" i="4"/>
  <c r="E133" i="4" s="1"/>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D134" i="4"/>
  <c r="E134" i="4" s="1"/>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C134" i="4"/>
  <c r="B134" i="4"/>
  <c r="K134" i="4" s="1"/>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B135" i="4"/>
  <c r="K135" i="4" s="1"/>
  <c r="I115" i="17" s="1"/>
  <c r="C135" i="4"/>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D135" i="4"/>
  <c r="E135" i="4" s="1"/>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N98" i="16"/>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BQ44" i="6"/>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C88" i="18"/>
  <c r="AE98" i="16"/>
  <c r="AM98" i="16"/>
  <c r="AO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C136" i="4"/>
  <c r="B136" i="4"/>
  <c r="K136" i="4" s="1"/>
  <c r="I116" i="17" s="1"/>
  <c r="E176" i="7"/>
  <c r="G176" i="7" s="1"/>
  <c r="AW176" i="7"/>
  <c r="AF208" i="7"/>
  <c r="AM140" i="7"/>
  <c r="K180" i="6"/>
  <c r="K214" i="6"/>
  <c r="AO33" i="19"/>
  <c r="AP33" i="19" s="1"/>
  <c r="BJ33" i="19" s="1"/>
  <c r="BL33" i="19" s="1"/>
  <c r="BN33" i="19" s="1"/>
  <c r="AL33" i="19"/>
  <c r="AN33" i="19" s="1"/>
  <c r="AW210" i="7"/>
  <c r="E210" i="7"/>
  <c r="G210" i="7" s="1"/>
  <c r="V200" i="7"/>
  <c r="AP200" i="7" s="1"/>
  <c r="D136" i="4"/>
  <c r="E136" i="4" s="1"/>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BA99" i="16" l="1"/>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BH110" i="17"/>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D137" i="4"/>
  <c r="E137" i="4" s="1"/>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C137" i="4"/>
  <c r="B137" i="4"/>
  <c r="K137" i="4" s="1"/>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F98" i="16" l="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F88" i="18"/>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C138" i="4"/>
  <c r="B138" i="4"/>
  <c r="K138" i="4" s="1"/>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D138" i="4"/>
  <c r="E138" i="4" s="1"/>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D139" i="4"/>
  <c r="E139" i="4" s="1"/>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C139" i="4"/>
  <c r="B139" i="4"/>
  <c r="K139" i="4" s="1"/>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0" i="16"/>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CD101" i="17"/>
  <c r="CB101" i="17"/>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CH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D140" i="4"/>
  <c r="E140" i="4" s="1"/>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B140" i="4"/>
  <c r="K140" i="4" s="1"/>
  <c r="I120" i="17" s="1"/>
  <c r="C140" i="4"/>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99" i="17" l="1"/>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B141" i="4"/>
  <c r="K141" i="4" s="1"/>
  <c r="I121" i="17" s="1"/>
  <c r="C141" i="4"/>
  <c r="AL38" i="19"/>
  <c r="AN38" i="19" s="1"/>
  <c r="AM38" i="19"/>
  <c r="AO38" i="19" s="1"/>
  <c r="AP38" i="19" s="1"/>
  <c r="BJ38" i="19" s="1"/>
  <c r="BL38" i="19" s="1"/>
  <c r="BN38" i="19" s="1"/>
  <c r="E215" i="7"/>
  <c r="G215" i="7" s="1"/>
  <c r="AW215" i="7"/>
  <c r="AK39" i="3"/>
  <c r="AA39" i="19"/>
  <c r="AA39" i="18"/>
  <c r="AK39" i="19"/>
  <c r="AK39" i="18"/>
  <c r="I119" i="11"/>
  <c r="I119" i="16"/>
  <c r="D141" i="4"/>
  <c r="E141" i="4" s="1"/>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AO104" i="17"/>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AP104" i="17"/>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F91" i="18"/>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C142" i="4"/>
  <c r="B142" i="4"/>
  <c r="K142" i="4" s="1"/>
  <c r="I122" i="17" s="1"/>
  <c r="E90" i="19"/>
  <c r="D142" i="4"/>
  <c r="E142" i="4" s="1"/>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M104" i="17" l="1"/>
  <c r="AE104" i="17"/>
  <c r="CD104" i="17" s="1"/>
  <c r="AN104" i="17"/>
  <c r="C94" i="19"/>
  <c r="G126" i="8"/>
  <c r="AE126" i="8" s="1"/>
  <c r="E126" i="8"/>
  <c r="AC126" i="8" s="1"/>
  <c r="C126" i="8"/>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Z104" i="17" s="1"/>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Q104" i="17"/>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AA126" i="8"/>
  <c r="S126" i="8"/>
  <c r="K126"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C143" i="4"/>
  <c r="B143" i="4"/>
  <c r="K143" i="4" s="1"/>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D143" i="4"/>
  <c r="E143" i="4" s="1"/>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CB104" i="17" l="1"/>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CJ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C144" i="4"/>
  <c r="B144" i="4"/>
  <c r="K144" i="4" s="1"/>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D144" i="4"/>
  <c r="E144" i="4" s="1"/>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G134" i="6"/>
  <c r="Q127" i="9"/>
  <c r="T128" i="9"/>
  <c r="S135" i="9"/>
  <c r="G167" i="6"/>
  <c r="O167" i="6" s="1"/>
  <c r="S167" i="6" s="1"/>
  <c r="AX30" i="6" s="1"/>
  <c r="P135" i="9"/>
  <c r="H134" i="6"/>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C145" i="4"/>
  <c r="B145" i="4"/>
  <c r="K145" i="4" s="1"/>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D145" i="4"/>
  <c r="E145" i="4" s="1"/>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T135" i="9" l="1"/>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D146" i="4"/>
  <c r="E146" i="4" s="1"/>
  <c r="D165" i="17"/>
  <c r="BX125" i="17" s="1"/>
  <c r="D125" i="16"/>
  <c r="D165" i="16"/>
  <c r="D125" i="17"/>
  <c r="D165" i="11"/>
  <c r="BX125" i="11" s="1"/>
  <c r="D125" i="11"/>
  <c r="E152" i="7"/>
  <c r="G152" i="7" s="1"/>
  <c r="AW152" i="7"/>
  <c r="B146" i="4"/>
  <c r="K146" i="4" s="1"/>
  <c r="I126" i="17" s="1"/>
  <c r="C146" i="4"/>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D147" i="4"/>
  <c r="E147" i="4" s="1"/>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B147" i="4"/>
  <c r="K147" i="4" s="1"/>
  <c r="I127" i="17" s="1"/>
  <c r="C147" i="4"/>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BI108" i="17"/>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D148" i="4"/>
  <c r="E148" i="4" s="1"/>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C148" i="4"/>
  <c r="B148" i="4"/>
  <c r="K148" i="4" s="1"/>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G108" i="17" l="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98" i="19"/>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C149" i="4"/>
  <c r="B149" i="4"/>
  <c r="K149" i="4" s="1"/>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D149" i="4"/>
  <c r="E149" i="4" s="1"/>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D150" i="4"/>
  <c r="E150" i="4" s="1"/>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C150" i="4"/>
  <c r="B150" i="4"/>
  <c r="K150" i="4" s="1"/>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O142" i="6"/>
  <c r="S142" i="6" s="1"/>
  <c r="AR39" i="6"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U16" i="23" s="1"/>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O108" i="6" l="1"/>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BB103" i="18"/>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U105" i="18"/>
  <c r="V105" i="18" s="1"/>
  <c r="AN131" i="7"/>
  <c r="T132" i="7"/>
  <c r="W132" i="7"/>
  <c r="AQ131" i="7"/>
  <c r="E104" i="11"/>
  <c r="C131" i="7"/>
  <c r="Y134" i="7"/>
  <c r="AS133" i="7"/>
  <c r="V132" i="7"/>
  <c r="AP131" i="7"/>
  <c r="AR165" i="7"/>
  <c r="M132" i="7"/>
  <c r="AE131" i="7"/>
  <c r="J132" i="7"/>
  <c r="AB131" i="7"/>
  <c r="H132" i="7"/>
  <c r="Z131" i="7"/>
  <c r="G103" i="16"/>
  <c r="BB102" i="18" l="1"/>
  <c r="H115" i="6"/>
  <c r="BF129" i="17"/>
  <c r="F119" i="19" s="1"/>
  <c r="L118" i="19"/>
  <c r="BC130" i="17"/>
  <c r="BE130" i="17" s="1"/>
  <c r="E120" i="19" s="1"/>
  <c r="BG130" i="16"/>
  <c r="G120" i="18" s="1"/>
  <c r="BE130" i="16"/>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E120" i="18"/>
  <c r="N93" i="6"/>
  <c r="R93" i="6" s="1"/>
  <c r="AE58" i="6" s="1"/>
  <c r="AL118" i="3"/>
  <c r="D94" i="6"/>
  <c r="M94" i="6" s="1"/>
  <c r="F94" i="6"/>
  <c r="AL112" i="3"/>
  <c r="AM112" i="3"/>
  <c r="D87" i="6"/>
  <c r="M87" i="6" s="1"/>
  <c r="F87" i="6"/>
  <c r="E87" i="6"/>
  <c r="D88" i="6"/>
  <c r="M88" i="6" s="1"/>
  <c r="F88" i="6"/>
  <c r="E88" i="6"/>
  <c r="E112" i="18"/>
  <c r="L112" i="18" s="1"/>
  <c r="K113" i="18"/>
  <c r="H113" i="18"/>
  <c r="BI105" i="18"/>
  <c r="BB105"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D130" i="17" l="1"/>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O119" i="6"/>
  <c r="S119" i="6" s="1"/>
  <c r="AL50"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G121" i="6"/>
  <c r="G155" i="6"/>
  <c r="I223" i="6"/>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Z182" i="8" l="1"/>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O155" i="6"/>
  <c r="S155" i="6" s="1"/>
  <c r="AR52"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H224"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122" i="6" l="1"/>
  <c r="AI19" i="23" s="1"/>
  <c r="O223" i="6"/>
  <c r="S223" i="6" s="1"/>
  <c r="BD52" i="6" s="1"/>
  <c r="O121" i="6"/>
  <c r="S121" i="6" s="1"/>
  <c r="AL52" i="6" s="1"/>
  <c r="AI16" i="23"/>
  <c r="G156" i="6"/>
  <c r="Y150" i="8"/>
  <c r="I156" i="6"/>
  <c r="K150" i="8"/>
  <c r="Q150" i="8"/>
  <c r="S150" i="8"/>
  <c r="AF184" i="8"/>
  <c r="I190" i="6"/>
  <c r="O190" i="6" s="1"/>
  <c r="S190" i="6" s="1"/>
  <c r="AX53" i="6" s="1"/>
  <c r="G224" i="6"/>
  <c r="O224" i="6" s="1"/>
  <c r="S224" i="6" s="1"/>
  <c r="BD53" i="6" s="1"/>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122" i="6" l="1"/>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O228" i="6"/>
  <c r="S228" i="6" s="1"/>
  <c r="BD57"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M20" i="23"/>
  <c r="P99" i="6"/>
  <c r="L20" i="23"/>
  <c r="P112" i="6"/>
  <c r="T112" i="6" s="1"/>
  <c r="AM43" i="6" s="1"/>
  <c r="Y20" i="23"/>
  <c r="P98" i="6"/>
  <c r="T98" i="6" s="1"/>
  <c r="AM29" i="6" s="1"/>
  <c r="K20" i="23"/>
  <c r="T99" i="6"/>
  <c r="AM30" i="6" s="1"/>
  <c r="T100" i="6"/>
  <c r="AM31" i="6" s="1"/>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R99" i="6" s="1"/>
  <c r="AK30" i="6" s="1"/>
  <c r="AC88" i="18"/>
  <c r="AE88" i="18" s="1"/>
  <c r="AF88" i="18" s="1"/>
  <c r="BC88" i="18" s="1"/>
  <c r="BE88" i="18" s="1"/>
  <c r="BG88" i="18" s="1"/>
  <c r="C97" i="6" s="1"/>
  <c r="L97" i="6" s="1"/>
  <c r="Q97" i="6" s="1"/>
  <c r="AJ28" i="6" s="1"/>
  <c r="AB88" i="18"/>
  <c r="AD88" i="18" s="1"/>
  <c r="BS31" i="6"/>
  <c r="AP29" i="6"/>
  <c r="M100" i="6" l="1"/>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R102" i="6" s="1"/>
  <c r="AK33" i="6" s="1"/>
  <c r="BS34" i="6"/>
  <c r="AP32" i="6"/>
  <c r="AA92" i="18"/>
  <c r="AP31" i="6"/>
  <c r="AB91" i="18"/>
  <c r="AD91" i="18" s="1"/>
  <c r="AC91" i="18"/>
  <c r="AE91" i="18" s="1"/>
  <c r="AF91" i="18" s="1"/>
  <c r="BC91" i="18" s="1"/>
  <c r="BE91" i="18" s="1"/>
  <c r="BG91" i="18" s="1"/>
  <c r="C100" i="6" s="1"/>
  <c r="L100" i="6" s="1"/>
  <c r="Q100" i="6" s="1"/>
  <c r="AJ31" i="6" s="1"/>
  <c r="AN92" i="18"/>
  <c r="AK93" i="18"/>
  <c r="M103" i="6" l="1"/>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R169" i="6" s="1"/>
  <c r="AW32" i="6" s="1"/>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70" i="6" l="1"/>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U167" i="6"/>
  <c r="AZ30" i="6" s="1"/>
  <c r="N175" i="6"/>
  <c r="R175" i="6" s="1"/>
  <c r="AW38" i="6" s="1"/>
  <c r="AD92" i="19" l="1"/>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<sst xmlns="http://schemas.openxmlformats.org/spreadsheetml/2006/main" count="3695" uniqueCount="827">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</sst>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indexed="64"/>
      </left>
      <right style="thin">
        <color rgb="FFB2B2B2"/>
      </right>
      <top/>
      <bottom style="thin">
        <color rgb="FFB2B2B2"/>
      </bottom>
      <diagonal/>
    </border>
    <border>
      <left style="thin">
        <color rgb="FFB2B2B2"/>
      </left>
      <right style="thin">
        <color rgb="FFB2B2B2"/>
      </right>
      <top/>
      <bottom style="thin">
        <color rgb="FFB2B2B2"/>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2033">
    <xf numFmtId="0" fontId="0" fillId="0" borderId="0" xfId="0"/>
    <xf numFmtId="0" fontId="1" fillId="0" borderId="0" xfId="0" applyFont="1"/>
    <xf numFmtId="0" fontId="2" fillId="0" borderId="0" xfId="0" applyFont="1"/>
    <xf numFmtId="2" fontId="0" fillId="0" borderId="0" xfId="0" applyNumberFormat="1"/>
    <xf numFmtId="0" fontId="0" fillId="0" borderId="0" xfId="0" applyFill="1"/>
    <xf numFmtId="0" fontId="0" fillId="0" borderId="0" xfId="0" applyAlignment="1">
      <alignment wrapText="1"/>
    </xf>
    <xf numFmtId="2" fontId="0" fillId="0" borderId="32" xfId="0" applyNumberFormat="1" applyBorder="1"/>
    <xf numFmtId="0" fontId="0" fillId="0" borderId="0" xfId="0" applyFont="1" applyFill="1"/>
    <xf numFmtId="0" fontId="0" fillId="0" borderId="0" xfId="0" applyFill="1" applyBorder="1" applyAlignment="1">
      <alignment horizontal="center" vertical="center"/>
    </xf>
    <xf numFmtId="0" fontId="10" fillId="0" borderId="0" xfId="0" applyFont="1" applyFill="1" applyAlignment="1">
      <alignment horizontal="left"/>
    </xf>
    <xf numFmtId="0" fontId="0" fillId="0" borderId="0" xfId="0" applyFont="1"/>
    <xf numFmtId="2" fontId="0" fillId="0" borderId="32" xfId="0" applyNumberFormat="1" applyFont="1" applyBorder="1" applyAlignment="1">
      <alignment horizontal="center"/>
    </xf>
    <xf numFmtId="0" fontId="0" fillId="0" borderId="32" xfId="0" applyFont="1" applyBorder="1" applyAlignment="1">
      <alignment horizontal="center"/>
    </xf>
    <xf numFmtId="0" fontId="0" fillId="0" borderId="0" xfId="0" quotePrefix="1" applyFont="1"/>
    <xf numFmtId="2" fontId="0" fillId="0" borderId="0" xfId="0" applyNumberFormat="1" applyFont="1" applyAlignment="1">
      <alignment horizontal="center"/>
    </xf>
    <xf numFmtId="0" fontId="7" fillId="0" borderId="0" xfId="0" applyFont="1" applyFill="1"/>
    <xf numFmtId="0" fontId="10" fillId="0" borderId="0" xfId="0" applyFont="1" applyFill="1" applyBorder="1" applyAlignment="1">
      <alignment vertical="top" wrapText="1"/>
    </xf>
    <xf numFmtId="0" fontId="7" fillId="0" borderId="16" xfId="0" applyFont="1" applyFill="1" applyBorder="1" applyAlignment="1">
      <alignment horizontal="center" vertical="top"/>
    </xf>
    <xf numFmtId="49" fontId="7" fillId="0" borderId="20" xfId="0" applyNumberFormat="1" applyFont="1" applyFill="1" applyBorder="1" applyAlignment="1">
      <alignment horizontal="center" vertical="top"/>
    </xf>
    <xf numFmtId="0" fontId="7" fillId="0" borderId="18" xfId="0" applyFont="1" applyFill="1" applyBorder="1" applyAlignment="1">
      <alignment horizontal="center" vertical="top"/>
    </xf>
    <xf numFmtId="49" fontId="7" fillId="0" borderId="17" xfId="0" applyNumberFormat="1" applyFont="1" applyFill="1" applyBorder="1" applyAlignment="1">
      <alignment horizontal="center" vertical="top"/>
    </xf>
    <xf numFmtId="0" fontId="7" fillId="0" borderId="28" xfId="0" applyFont="1" applyFill="1" applyBorder="1" applyAlignment="1">
      <alignment horizontal="center" vertical="top"/>
    </xf>
    <xf numFmtId="49" fontId="7" fillId="0" borderId="29" xfId="0" applyNumberFormat="1" applyFont="1" applyFill="1" applyBorder="1" applyAlignment="1">
      <alignment horizontal="center" vertical="top"/>
    </xf>
    <xf numFmtId="0" fontId="7" fillId="0" borderId="12" xfId="0" applyFont="1" applyFill="1" applyBorder="1" applyAlignment="1">
      <alignment horizontal="center" vertical="top"/>
    </xf>
    <xf numFmtId="49" fontId="7" fillId="0" borderId="30" xfId="0" applyNumberFormat="1" applyFont="1" applyFill="1" applyBorder="1" applyAlignment="1">
      <alignment horizontal="center" vertical="top"/>
    </xf>
    <xf numFmtId="0" fontId="7" fillId="0" borderId="21" xfId="0" applyFont="1" applyFill="1" applyBorder="1" applyAlignment="1">
      <alignment horizontal="center" vertical="top"/>
    </xf>
    <xf numFmtId="49" fontId="7" fillId="0" borderId="22" xfId="0" applyNumberFormat="1" applyFont="1" applyFill="1" applyBorder="1" applyAlignment="1">
      <alignment horizontal="center" vertical="top"/>
    </xf>
    <xf numFmtId="0" fontId="11" fillId="0" borderId="0" xfId="0" applyFont="1" applyFill="1" applyBorder="1" applyAlignment="1">
      <alignment vertical="top"/>
    </xf>
    <xf numFmtId="0" fontId="7" fillId="0" borderId="32" xfId="0" applyFont="1" applyFill="1" applyBorder="1" applyAlignment="1">
      <alignment horizontal="center" vertical="top"/>
    </xf>
    <xf numFmtId="2" fontId="7" fillId="0" borderId="32" xfId="0" applyNumberFormat="1" applyFont="1" applyFill="1" applyBorder="1" applyAlignment="1">
      <alignment horizontal="center" vertical="top"/>
    </xf>
    <xf numFmtId="0" fontId="0" fillId="0" borderId="32" xfId="0" applyFont="1" applyFill="1" applyBorder="1" applyAlignment="1">
      <alignment horizontal="center"/>
    </xf>
    <xf numFmtId="2" fontId="0" fillId="0" borderId="32" xfId="0" applyNumberFormat="1" applyFont="1" applyBorder="1" applyAlignment="1">
      <alignment horizontal="center" vertical="center"/>
    </xf>
    <xf numFmtId="0" fontId="0" fillId="0" borderId="32" xfId="0" applyFont="1" applyBorder="1" applyAlignment="1">
      <alignment horizontal="center" vertical="center"/>
    </xf>
    <xf numFmtId="0" fontId="0" fillId="0" borderId="32" xfId="0" applyFont="1" applyFill="1" applyBorder="1" applyAlignment="1">
      <alignment horizontal="center" vertical="center"/>
    </xf>
    <xf numFmtId="0" fontId="7" fillId="0" borderId="0" xfId="0" applyFont="1" applyFill="1" applyBorder="1" applyAlignment="1">
      <alignment horizontal="center" vertical="top"/>
    </xf>
    <xf numFmtId="49" fontId="7" fillId="0" borderId="0" xfId="0" applyNumberFormat="1" applyFont="1" applyFill="1" applyBorder="1" applyAlignment="1">
      <alignment horizontal="center" vertical="top"/>
    </xf>
    <xf numFmtId="2" fontId="0" fillId="0" borderId="32" xfId="0" applyNumberFormat="1" applyFont="1" applyFill="1" applyBorder="1" applyAlignment="1">
      <alignment horizontal="center" vertical="center"/>
    </xf>
    <xf numFmtId="0" fontId="10" fillId="0" borderId="0" xfId="0" applyFont="1" applyFill="1" applyAlignment="1">
      <alignment horizontal="left" wrapText="1" shrinkToFit="1"/>
    </xf>
    <xf numFmtId="0" fontId="0" fillId="0" borderId="0" xfId="0" applyFont="1" applyAlignment="1">
      <alignment wrapTex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7"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7" fillId="0" borderId="0" xfId="0" applyFont="1" applyFill="1" applyBorder="1"/>
    <xf numFmtId="0" fontId="7" fillId="0" borderId="0" xfId="0" applyFont="1" applyBorder="1"/>
    <xf numFmtId="0" fontId="10" fillId="0" borderId="0" xfId="0" applyFont="1"/>
    <xf numFmtId="0" fontId="10" fillId="0" borderId="0" xfId="0" applyFont="1" applyFill="1" applyBorder="1" applyAlignment="1" applyProtection="1">
      <alignment horizontal="center" vertical="top" wrapText="1"/>
      <protection locked="0"/>
    </xf>
    <xf numFmtId="0" fontId="7" fillId="0" borderId="0" xfId="0" applyFont="1" applyFill="1" applyBorder="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Fill="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Fill="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Fill="1" applyBorder="1" applyAlignment="1">
      <alignment horizontal="center" vertical="top" wrapText="1"/>
    </xf>
    <xf numFmtId="49" fontId="7" fillId="0" borderId="46" xfId="0" applyNumberFormat="1" applyFont="1" applyFill="1" applyBorder="1" applyAlignment="1">
      <alignment horizontal="center" vertical="top" wrapText="1"/>
    </xf>
    <xf numFmtId="0" fontId="7" fillId="0" borderId="46" xfId="0" applyFont="1" applyFill="1" applyBorder="1" applyAlignment="1">
      <alignment horizontal="center" vertical="top" wrapText="1"/>
    </xf>
    <xf numFmtId="49" fontId="7" fillId="0" borderId="10" xfId="0" applyNumberFormat="1" applyFont="1" applyFill="1" applyBorder="1" applyAlignment="1">
      <alignment horizontal="center" vertical="top" wrapText="1"/>
    </xf>
    <xf numFmtId="0" fontId="14" fillId="0" borderId="14" xfId="0" applyFont="1" applyFill="1" applyBorder="1" applyAlignment="1">
      <alignment horizontal="center" vertical="top" wrapText="1"/>
    </xf>
    <xf numFmtId="49" fontId="7" fillId="0" borderId="13" xfId="0" applyNumberFormat="1" applyFont="1" applyFill="1" applyBorder="1" applyAlignment="1">
      <alignment horizontal="center" vertical="top" wrapText="1"/>
    </xf>
    <xf numFmtId="0" fontId="14" fillId="0" borderId="18" xfId="0" applyFont="1" applyFill="1" applyBorder="1" applyAlignment="1">
      <alignment horizontal="center" vertical="top" wrapText="1"/>
    </xf>
    <xf numFmtId="0" fontId="14" fillId="0" borderId="21" xfId="0" applyFont="1" applyFill="1" applyBorder="1" applyAlignment="1">
      <alignment horizontal="center" vertical="top" wrapText="1"/>
    </xf>
    <xf numFmtId="0" fontId="7" fillId="0" borderId="14" xfId="0" applyFont="1" applyFill="1" applyBorder="1" applyAlignment="1">
      <alignment horizontal="center" vertical="top" wrapText="1"/>
    </xf>
    <xf numFmtId="49" fontId="7" fillId="0" borderId="13" xfId="0" quotePrefix="1" applyNumberFormat="1" applyFont="1" applyFill="1" applyBorder="1" applyAlignment="1">
      <alignment horizontal="center" vertical="top" wrapText="1"/>
    </xf>
    <xf numFmtId="0" fontId="7" fillId="0" borderId="18" xfId="0" applyFont="1" applyFill="1" applyBorder="1" applyAlignment="1">
      <alignment horizontal="center" vertical="top" wrapText="1"/>
    </xf>
    <xf numFmtId="2" fontId="7" fillId="0" borderId="18" xfId="0" applyNumberFormat="1" applyFont="1" applyFill="1" applyBorder="1" applyAlignment="1">
      <alignment horizontal="center" vertical="top" wrapText="1"/>
    </xf>
    <xf numFmtId="0" fontId="7" fillId="0" borderId="21" xfId="0" applyFont="1" applyFill="1" applyBorder="1" applyAlignment="1">
      <alignment horizontal="center" vertical="top" wrapText="1"/>
    </xf>
    <xf numFmtId="0" fontId="0" fillId="0" borderId="0" xfId="0" applyFill="1" applyBorder="1"/>
    <xf numFmtId="0" fontId="0" fillId="0" borderId="6" xfId="0" applyFill="1" applyBorder="1"/>
    <xf numFmtId="10" fontId="0" fillId="0" borderId="0" xfId="0" applyNumberFormat="1"/>
    <xf numFmtId="10" fontId="0" fillId="0" borderId="0" xfId="1" applyNumberFormat="1" applyFont="1" applyBorder="1"/>
    <xf numFmtId="49" fontId="7" fillId="0" borderId="24" xfId="0" applyNumberFormat="1" applyFont="1" applyFill="1" applyBorder="1" applyAlignment="1">
      <alignment horizontal="center" vertical="top"/>
    </xf>
    <xf numFmtId="0" fontId="0" fillId="0" borderId="0" xfId="0" applyBorder="1"/>
    <xf numFmtId="164" fontId="0" fillId="0" borderId="0" xfId="0" applyNumberFormat="1" applyBorder="1"/>
    <xf numFmtId="164" fontId="0" fillId="0" borderId="0" xfId="0" applyNumberFormat="1" applyFill="1" applyBorder="1"/>
    <xf numFmtId="0" fontId="0" fillId="0" borderId="0" xfId="0" applyFill="1" applyBorder="1" applyAlignment="1">
      <alignment horizontal="left"/>
    </xf>
    <xf numFmtId="0" fontId="18" fillId="0" borderId="0" xfId="0" applyFont="1" applyFill="1" applyBorder="1" applyAlignment="1">
      <alignment horizontal="left"/>
    </xf>
    <xf numFmtId="2" fontId="0" fillId="0" borderId="0" xfId="0" applyNumberFormat="1" applyFill="1" applyBorder="1" applyAlignment="1">
      <alignment horizontal="center"/>
    </xf>
    <xf numFmtId="168" fontId="0" fillId="0" borderId="0" xfId="0" applyNumberFormat="1" applyFill="1" applyBorder="1" applyAlignment="1">
      <alignment horizontal="center"/>
    </xf>
    <xf numFmtId="169" fontId="0" fillId="0" borderId="0" xfId="0" applyNumberFormat="1" applyFill="1" applyBorder="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0" fillId="0" borderId="0"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Font="1" applyBorder="1" applyAlignment="1">
      <alignment horizontal="center"/>
    </xf>
    <xf numFmtId="0" fontId="0" fillId="6" borderId="2" xfId="0" applyFill="1" applyBorder="1"/>
    <xf numFmtId="0" fontId="0" fillId="0" borderId="6" xfId="0" applyBorder="1"/>
    <xf numFmtId="0" fontId="0" fillId="0" borderId="0" xfId="0" applyFont="1" applyBorder="1" applyAlignment="1">
      <alignment horizontal="center"/>
    </xf>
    <xf numFmtId="2" fontId="0" fillId="2" borderId="0" xfId="0" applyNumberFormat="1" applyFill="1" applyBorder="1"/>
    <xf numFmtId="0" fontId="0" fillId="0" borderId="58" xfId="0" applyBorder="1"/>
    <xf numFmtId="0" fontId="0" fillId="0" borderId="0" xfId="0" applyBorder="1" applyAlignment="1">
      <alignment horizontal="center" vertical="center"/>
    </xf>
    <xf numFmtId="165" fontId="0" fillId="2" borderId="0" xfId="0" applyNumberFormat="1" applyFill="1" applyBorder="1"/>
    <xf numFmtId="1" fontId="0" fillId="0" borderId="0" xfId="0" applyNumberFormat="1" applyFill="1" applyBorder="1"/>
    <xf numFmtId="0" fontId="10" fillId="0" borderId="6" xfId="0" applyFont="1" applyFill="1" applyBorder="1" applyAlignment="1">
      <alignment horizontal="left" vertical="center" wrapText="1"/>
    </xf>
    <xf numFmtId="0" fontId="4" fillId="0" borderId="0" xfId="0" applyFont="1" applyBorder="1" applyAlignment="1">
      <alignment horizontal="center"/>
    </xf>
    <xf numFmtId="166" fontId="0" fillId="0" borderId="0" xfId="0" applyNumberFormat="1" applyBorder="1"/>
    <xf numFmtId="0" fontId="7" fillId="0" borderId="43" xfId="0" applyFont="1" applyFill="1" applyBorder="1" applyAlignment="1">
      <alignment vertical="top" wrapText="1"/>
    </xf>
    <xf numFmtId="0" fontId="0" fillId="0" borderId="51" xfId="0" applyFont="1" applyBorder="1" applyAlignment="1">
      <alignment horizontal="center"/>
    </xf>
    <xf numFmtId="166" fontId="0" fillId="0" borderId="51" xfId="0" applyNumberFormat="1" applyBorder="1"/>
    <xf numFmtId="0" fontId="0" fillId="0" borderId="44" xfId="0" applyBorder="1"/>
    <xf numFmtId="0" fontId="2" fillId="0" borderId="1" xfId="0" applyFont="1" applyFill="1" applyBorder="1"/>
    <xf numFmtId="0" fontId="6" fillId="0" borderId="6" xfId="0" applyFont="1" applyBorder="1"/>
    <xf numFmtId="0" fontId="1" fillId="6" borderId="6" xfId="0" applyFont="1" applyFill="1" applyBorder="1"/>
    <xf numFmtId="0" fontId="0" fillId="6" borderId="0" xfId="0" applyFill="1" applyBorder="1"/>
    <xf numFmtId="0" fontId="4" fillId="6" borderId="0" xfId="0" applyFont="1" applyFill="1" applyBorder="1" applyAlignment="1">
      <alignment horizontal="center"/>
    </xf>
    <xf numFmtId="0" fontId="15" fillId="0" borderId="0" xfId="0" applyFont="1" applyBorder="1" applyAlignment="1">
      <alignment vertical="center"/>
    </xf>
    <xf numFmtId="0" fontId="0" fillId="6" borderId="6" xfId="0" applyFill="1" applyBorder="1"/>
    <xf numFmtId="0" fontId="0" fillId="6" borderId="0" xfId="0" applyFont="1" applyFill="1" applyBorder="1" applyAlignment="1">
      <alignment horizontal="center"/>
    </xf>
    <xf numFmtId="164" fontId="0" fillId="6" borderId="0" xfId="0" applyNumberFormat="1" applyFill="1" applyBorder="1"/>
    <xf numFmtId="0" fontId="0" fillId="0" borderId="6" xfId="0" applyFont="1" applyFill="1" applyBorder="1"/>
    <xf numFmtId="0" fontId="0" fillId="0" borderId="6" xfId="0" applyFont="1" applyFill="1" applyBorder="1" applyAlignment="1">
      <alignment horizontal="left"/>
    </xf>
    <xf numFmtId="0" fontId="0" fillId="0" borderId="43" xfId="0" applyFont="1" applyFill="1" applyBorder="1" applyAlignment="1">
      <alignment horizontal="left"/>
    </xf>
    <xf numFmtId="0" fontId="18" fillId="0" borderId="51" xfId="0" applyFont="1" applyFill="1" applyBorder="1" applyAlignment="1">
      <alignment horizontal="left"/>
    </xf>
    <xf numFmtId="168" fontId="0" fillId="0" borderId="51" xfId="0" applyNumberFormat="1" applyFill="1" applyBorder="1" applyAlignment="1">
      <alignment horizontal="center"/>
    </xf>
    <xf numFmtId="0" fontId="0" fillId="0" borderId="51" xfId="0" applyFill="1" applyBorder="1" applyAlignment="1">
      <alignment horizontal="left"/>
    </xf>
    <xf numFmtId="0" fontId="2" fillId="0" borderId="1" xfId="0" applyFont="1" applyBorder="1"/>
    <xf numFmtId="0" fontId="1" fillId="0" borderId="6" xfId="0" applyFont="1" applyBorder="1"/>
    <xf numFmtId="2" fontId="0" fillId="0" borderId="0" xfId="0" applyNumberFormat="1" applyFill="1" applyBorder="1"/>
    <xf numFmtId="1" fontId="0" fillId="2" borderId="0" xfId="0" applyNumberFormat="1" applyFill="1" applyBorder="1"/>
    <xf numFmtId="167" fontId="0" fillId="2" borderId="0" xfId="0" applyNumberFormat="1" applyFill="1" applyBorder="1"/>
    <xf numFmtId="0" fontId="0" fillId="0" borderId="43" xfId="0" applyFill="1" applyBorder="1"/>
    <xf numFmtId="0" fontId="0" fillId="0" borderId="51" xfId="0" applyFill="1" applyBorder="1"/>
    <xf numFmtId="0" fontId="0" fillId="0" borderId="51" xfId="0" applyBorder="1"/>
    <xf numFmtId="0" fontId="5" fillId="0" borderId="6" xfId="0" applyFont="1" applyBorder="1"/>
    <xf numFmtId="0" fontId="1" fillId="0" borderId="0" xfId="0" applyFont="1" applyBorder="1"/>
    <xf numFmtId="0" fontId="1" fillId="0" borderId="58" xfId="0" applyFont="1" applyBorder="1"/>
    <xf numFmtId="0" fontId="0" fillId="2" borderId="0" xfId="0" applyFill="1" applyBorder="1"/>
    <xf numFmtId="0" fontId="1" fillId="0" borderId="0" xfId="0" applyFont="1" applyBorder="1" applyAlignment="1">
      <alignment horizontal="center"/>
    </xf>
    <xf numFmtId="0" fontId="0" fillId="0" borderId="0" xfId="0" applyBorder="1" applyAlignment="1">
      <alignment horizontal="center"/>
    </xf>
    <xf numFmtId="2" fontId="0" fillId="3" borderId="0" xfId="0" applyNumberFormat="1" applyFill="1" applyBorder="1"/>
    <xf numFmtId="166" fontId="0" fillId="2" borderId="0" xfId="0" applyNumberFormat="1" applyFill="1" applyBorder="1"/>
    <xf numFmtId="0" fontId="0" fillId="0" borderId="43" xfId="0" applyBorder="1"/>
    <xf numFmtId="166" fontId="0" fillId="0" borderId="51" xfId="0" applyNumberFormat="1" applyFill="1" applyBorder="1"/>
    <xf numFmtId="0" fontId="0" fillId="0" borderId="6"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2" xfId="0" applyFill="1" applyBorder="1"/>
    <xf numFmtId="170" fontId="0" fillId="0" borderId="0" xfId="0" applyNumberFormat="1"/>
    <xf numFmtId="3" fontId="4" fillId="0" borderId="42" xfId="0" applyNumberFormat="1" applyFont="1" applyFill="1" applyBorder="1" applyAlignment="1">
      <alignment horizontal="center" wrapText="1"/>
    </xf>
    <xf numFmtId="2" fontId="0" fillId="8" borderId="0" xfId="0" applyNumberFormat="1" applyFill="1" applyBorder="1"/>
    <xf numFmtId="2" fontId="0" fillId="9" borderId="0" xfId="0" applyNumberFormat="1" applyFill="1" applyBorder="1"/>
    <xf numFmtId="0" fontId="20" fillId="0" borderId="0" xfId="0" applyFont="1" applyFill="1"/>
    <xf numFmtId="0" fontId="21" fillId="0" borderId="0" xfId="0" applyFont="1" applyFill="1"/>
    <xf numFmtId="0" fontId="21" fillId="0" borderId="0" xfId="0" applyFont="1" applyFill="1" applyBorder="1"/>
    <xf numFmtId="0" fontId="24" fillId="4" borderId="36" xfId="0" applyFont="1" applyFill="1" applyBorder="1" applyAlignment="1">
      <alignment horizontal="center" vertical="center" wrapText="1"/>
    </xf>
    <xf numFmtId="9" fontId="21" fillId="0" borderId="0" xfId="0" applyNumberFormat="1" applyFont="1" applyFill="1" applyBorder="1"/>
    <xf numFmtId="0" fontId="21" fillId="0" borderId="6" xfId="0" applyFont="1" applyFill="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Font="1" applyBorder="1" applyAlignment="1">
      <alignment horizontal="right" vertical="center"/>
    </xf>
    <xf numFmtId="0" fontId="0" fillId="0" borderId="53" xfId="0" applyFont="1" applyBorder="1" applyAlignment="1">
      <alignment horizontal="right" vertical="center"/>
    </xf>
    <xf numFmtId="0" fontId="0" fillId="0" borderId="56" xfId="0" applyFont="1"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Font="1" applyFill="1" applyBorder="1"/>
    <xf numFmtId="0" fontId="0" fillId="0" borderId="0" xfId="0" applyFill="1" applyBorder="1" applyAlignment="1">
      <alignment horizontal="left" vertical="center" wrapText="1"/>
    </xf>
    <xf numFmtId="0" fontId="1" fillId="0" borderId="6" xfId="0" applyFont="1" applyBorder="1" applyAlignment="1">
      <alignment horizontal="left"/>
    </xf>
    <xf numFmtId="0" fontId="0" fillId="0" borderId="43" xfId="0" applyFill="1" applyBorder="1" applyAlignment="1">
      <alignment horizontal="left"/>
    </xf>
    <xf numFmtId="0" fontId="1" fillId="0" borderId="0" xfId="0" applyFont="1" applyFill="1" applyBorder="1" applyAlignment="1">
      <alignment horizontal="center"/>
    </xf>
    <xf numFmtId="0" fontId="0" fillId="0" borderId="0" xfId="0" applyFont="1" applyFill="1" applyBorder="1" applyAlignment="1">
      <alignment horizontal="center"/>
    </xf>
    <xf numFmtId="0" fontId="1" fillId="0" borderId="0" xfId="0" applyFont="1" applyBorder="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Font="1" applyBorder="1" applyAlignment="1">
      <alignment horizontal="right" vertical="center"/>
    </xf>
    <xf numFmtId="164" fontId="0" fillId="0" borderId="6" xfId="0" applyNumberFormat="1" applyFont="1" applyBorder="1" applyAlignment="1">
      <alignment horizontal="right" vertical="center"/>
    </xf>
    <xf numFmtId="164" fontId="0" fillId="0" borderId="43" xfId="0" applyNumberFormat="1" applyFon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0" fillId="0" borderId="6" xfId="0" applyFont="1" applyBorder="1" applyAlignment="1">
      <alignment horizontal="left"/>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ont="1" applyFill="1" applyBorder="1" applyAlignment="1">
      <alignment horizontal="center" wrapText="1"/>
    </xf>
    <xf numFmtId="0" fontId="0" fillId="11" borderId="36" xfId="0" applyFont="1" applyFill="1" applyBorder="1" applyAlignment="1">
      <alignment horizontal="center" wrapText="1"/>
    </xf>
    <xf numFmtId="2" fontId="0" fillId="11" borderId="36" xfId="0" applyNumberFormat="1" applyFont="1" applyFill="1" applyBorder="1" applyAlignment="1">
      <alignment horizontal="center" wrapText="1"/>
    </xf>
    <xf numFmtId="3" fontId="0" fillId="11" borderId="36" xfId="0" applyNumberFormat="1" applyFont="1" applyFill="1" applyBorder="1" applyAlignment="1">
      <alignment horizontal="center" wrapText="1"/>
    </xf>
    <xf numFmtId="3" fontId="0" fillId="11" borderId="22" xfId="0" applyNumberFormat="1" applyFon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Font="1" applyFill="1" applyBorder="1" applyAlignment="1">
      <alignment horizontal="center" wrapText="1"/>
    </xf>
    <xf numFmtId="0" fontId="0" fillId="0" borderId="42" xfId="0" applyFont="1" applyFill="1" applyBorder="1" applyAlignment="1">
      <alignment horizontal="center" wrapText="1"/>
    </xf>
    <xf numFmtId="0" fontId="0" fillId="0" borderId="0" xfId="0" applyFont="1" applyFill="1" applyBorder="1" applyAlignment="1">
      <alignment horizontal="center" wrapText="1"/>
    </xf>
    <xf numFmtId="2" fontId="0" fillId="0" borderId="42" xfId="0" applyNumberFormat="1" applyFont="1" applyFill="1" applyBorder="1" applyAlignment="1">
      <alignment horizontal="center" wrapText="1"/>
    </xf>
    <xf numFmtId="3" fontId="0" fillId="0" borderId="42" xfId="0" applyNumberFormat="1" applyFont="1" applyFill="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applyBorder="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applyBorder="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applyBorder="1"/>
    <xf numFmtId="171" fontId="4" fillId="12" borderId="24" xfId="0" applyNumberFormat="1" applyFont="1" applyFill="1" applyBorder="1"/>
    <xf numFmtId="171" fontId="4" fillId="12" borderId="57" xfId="0" applyNumberFormat="1" applyFont="1" applyFill="1" applyBorder="1"/>
    <xf numFmtId="0" fontId="0" fillId="0" borderId="12" xfId="0" applyFill="1" applyBorder="1" applyAlignment="1">
      <alignment horizontal="center" wrapText="1"/>
    </xf>
    <xf numFmtId="0" fontId="0" fillId="0" borderId="55" xfId="0" applyFill="1" applyBorder="1" applyAlignment="1">
      <alignment horizontal="center" wrapText="1"/>
    </xf>
    <xf numFmtId="0" fontId="0" fillId="0" borderId="30" xfId="0" applyFill="1" applyBorder="1" applyAlignment="1">
      <alignment horizontal="center" wrapText="1"/>
    </xf>
    <xf numFmtId="0" fontId="0" fillId="0" borderId="34" xfId="0" applyFill="1" applyBorder="1" applyAlignment="1">
      <alignment wrapText="1"/>
    </xf>
    <xf numFmtId="0" fontId="0" fillId="0" borderId="9" xfId="0" applyFill="1" applyBorder="1" applyAlignment="1" applyProtection="1">
      <alignment horizontal="center" wrapText="1"/>
      <protection locked="0"/>
    </xf>
    <xf numFmtId="0" fontId="0" fillId="0" borderId="46" xfId="0" applyFill="1" applyBorder="1" applyAlignment="1" applyProtection="1">
      <alignment horizontal="center" wrapText="1"/>
      <protection locked="0"/>
    </xf>
    <xf numFmtId="0" fontId="0" fillId="0" borderId="10" xfId="0" applyFill="1" applyBorder="1" applyAlignment="1" applyProtection="1">
      <alignment wrapText="1"/>
      <protection locked="0"/>
    </xf>
    <xf numFmtId="0" fontId="0" fillId="0" borderId="34" xfId="0" applyFill="1" applyBorder="1" applyAlignment="1" applyProtection="1">
      <alignment wrapText="1"/>
      <protection locked="0"/>
    </xf>
    <xf numFmtId="0" fontId="0" fillId="0" borderId="23" xfId="0" applyFill="1" applyBorder="1" applyAlignment="1">
      <alignment horizontal="center" wrapText="1"/>
    </xf>
    <xf numFmtId="0" fontId="0" fillId="0" borderId="41" xfId="0" applyFill="1" applyBorder="1" applyAlignment="1">
      <alignment horizontal="center" wrapText="1"/>
    </xf>
    <xf numFmtId="0" fontId="0" fillId="0" borderId="24" xfId="0" applyFill="1" applyBorder="1" applyAlignment="1">
      <alignment horizontal="center" wrapText="1"/>
    </xf>
    <xf numFmtId="0" fontId="0" fillId="0" borderId="53" xfId="0" applyFill="1"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0" fillId="0" borderId="0" xfId="0" applyFont="1" applyBorder="1"/>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Border="1" applyAlignment="1">
      <alignment horizontal="center"/>
    </xf>
    <xf numFmtId="168" fontId="0" fillId="0" borderId="0" xfId="0" applyNumberFormat="1" applyBorder="1"/>
    <xf numFmtId="0" fontId="0" fillId="0" borderId="0" xfId="0" applyFill="1" applyBorder="1" applyAlignment="1">
      <alignment horizontal="center"/>
    </xf>
    <xf numFmtId="0" fontId="0" fillId="0" borderId="0" xfId="0" applyBorder="1" applyAlignment="1">
      <alignment horizontal="right" vertical="center"/>
    </xf>
    <xf numFmtId="0" fontId="25" fillId="0" borderId="4" xfId="0" applyFont="1" applyFill="1" applyBorder="1" applyAlignment="1">
      <alignment horizontal="center" wrapText="1"/>
    </xf>
    <xf numFmtId="0" fontId="28" fillId="0" borderId="0" xfId="0" applyFont="1" applyFill="1" applyBorder="1" applyAlignment="1">
      <alignment horizontal="center" wrapText="1"/>
    </xf>
    <xf numFmtId="0" fontId="0" fillId="0" borderId="61" xfId="0" applyFont="1" applyFill="1"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applyBorder="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1" fontId="0" fillId="0" borderId="0" xfId="0" applyNumberFormat="1"/>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3" fontId="0" fillId="0" borderId="0" xfId="0" applyNumberFormat="1"/>
    <xf numFmtId="0" fontId="33" fillId="0" borderId="0" xfId="0" applyFont="1"/>
    <xf numFmtId="0" fontId="0" fillId="14" borderId="0" xfId="0" applyFill="1"/>
    <xf numFmtId="164" fontId="0" fillId="0" borderId="0" xfId="0" applyNumberFormat="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2" fontId="23" fillId="0" borderId="0" xfId="0" applyNumberFormat="1" applyFont="1" applyFill="1" applyBorder="1" applyAlignment="1">
      <alignment horizontal="center" vertical="center"/>
    </xf>
    <xf numFmtId="0" fontId="21" fillId="0" borderId="0" xfId="0" applyFont="1" applyFill="1" applyBorder="1" applyAlignment="1">
      <alignment horizontal="center" vertical="center" wrapText="1"/>
    </xf>
    <xf numFmtId="2" fontId="23" fillId="0" borderId="0" xfId="0" applyNumberFormat="1" applyFont="1" applyBorder="1"/>
    <xf numFmtId="9" fontId="36" fillId="0" borderId="0" xfId="0" applyNumberFormat="1" applyFont="1" applyBorder="1"/>
    <xf numFmtId="0" fontId="22" fillId="0" borderId="0" xfId="0" applyFont="1" applyFill="1"/>
    <xf numFmtId="2" fontId="0" fillId="0" borderId="0" xfId="0" applyNumberFormat="1" applyFont="1"/>
    <xf numFmtId="0" fontId="1" fillId="0" borderId="32" xfId="0" applyFont="1" applyBorder="1"/>
    <xf numFmtId="0" fontId="1" fillId="0" borderId="0" xfId="0" applyFont="1" applyFill="1" applyBorder="1" applyAlignment="1">
      <alignment horizontal="center" vertical="center" wrapText="1"/>
    </xf>
    <xf numFmtId="0" fontId="39" fillId="0" borderId="0" xfId="0" applyFont="1"/>
    <xf numFmtId="3" fontId="40" fillId="0" borderId="0" xfId="0" applyNumberFormat="1" applyFont="1"/>
    <xf numFmtId="9" fontId="38" fillId="0" borderId="0" xfId="0" applyNumberFormat="1" applyFont="1" applyBorder="1"/>
    <xf numFmtId="0" fontId="1" fillId="0" borderId="0" xfId="0" applyFont="1" applyFill="1" applyBorder="1"/>
    <xf numFmtId="172" fontId="0" fillId="0" borderId="0" xfId="0" applyNumberFormat="1"/>
    <xf numFmtId="43" fontId="0" fillId="0" borderId="0" xfId="0" applyNumberFormat="1" applyFon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0" fontId="0" fillId="0" borderId="0" xfId="0" applyAlignment="1">
      <alignment horizontal="center" vertical="center"/>
    </xf>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0" fillId="0" borderId="0" xfId="0" applyAlignment="1">
      <alignment horizontal="left" vertical="center" wrapText="1"/>
    </xf>
    <xf numFmtId="0" fontId="22" fillId="0" borderId="0" xfId="0" applyFont="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0" fontId="0" fillId="0" borderId="0" xfId="0" applyAlignment="1">
      <alignment horizontal="center"/>
    </xf>
    <xf numFmtId="172" fontId="0" fillId="0" borderId="0" xfId="0" applyNumberFormat="1" applyAlignment="1">
      <alignment horizontal="right" vertical="center"/>
    </xf>
    <xf numFmtId="2" fontId="23" fillId="0" borderId="0" xfId="0" applyNumberFormat="1" applyFont="1"/>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Fill="1" applyBorder="1" applyAlignment="1" applyProtection="1">
      <alignment horizontal="right"/>
      <protection locked="0"/>
    </xf>
    <xf numFmtId="0" fontId="0" fillId="0" borderId="0" xfId="0" applyAlignment="1">
      <alignment horizontal="left"/>
    </xf>
    <xf numFmtId="9" fontId="1" fillId="0" borderId="0" xfId="0" applyNumberFormat="1" applyFont="1" applyBorder="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9" fontId="4" fillId="0" borderId="0" xfId="0" applyNumberFormat="1" applyFont="1" applyBorder="1"/>
    <xf numFmtId="0" fontId="24" fillId="4" borderId="60" xfId="0" applyFont="1" applyFill="1" applyBorder="1" applyAlignment="1">
      <alignment horizontal="center" vertical="center" wrapText="1"/>
    </xf>
    <xf numFmtId="9" fontId="0" fillId="0" borderId="0" xfId="0" applyNumberFormat="1" applyBorder="1"/>
    <xf numFmtId="2" fontId="1" fillId="0" borderId="0" xfId="0" applyNumberFormat="1" applyFont="1" applyBorder="1"/>
    <xf numFmtId="41" fontId="0" fillId="0" borderId="0" xfId="0" applyNumberFormat="1"/>
    <xf numFmtId="2" fontId="0" fillId="0" borderId="0" xfId="0" applyNumberFormat="1" applyFont="1" applyFill="1" applyBorder="1" applyAlignment="1">
      <alignment horizontal="center"/>
    </xf>
    <xf numFmtId="2" fontId="7" fillId="0" borderId="0" xfId="0" applyNumberFormat="1" applyFont="1" applyFill="1" applyBorder="1" applyAlignment="1">
      <alignment horizontal="center" vertical="top"/>
    </xf>
    <xf numFmtId="172" fontId="36" fillId="0" borderId="0" xfId="0" applyNumberFormat="1" applyFont="1" applyBorder="1" applyAlignment="1">
      <alignment horizontal="right" vertical="center"/>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applyFill="1" applyBorder="1"/>
    <xf numFmtId="0" fontId="54" fillId="0" borderId="0" xfId="0" applyFont="1" applyBorder="1" applyAlignment="1">
      <alignment vertical="center" wrapText="1"/>
    </xf>
    <xf numFmtId="0" fontId="22" fillId="0" borderId="0" xfId="0" applyFont="1" applyFill="1" applyBorder="1"/>
    <xf numFmtId="173" fontId="0" fillId="0" borderId="0" xfId="0" applyNumberFormat="1" applyBorder="1"/>
    <xf numFmtId="0" fontId="22" fillId="0" borderId="50" xfId="0" applyFont="1" applyFill="1" applyBorder="1" applyAlignment="1">
      <alignment horizontal="left"/>
    </xf>
    <xf numFmtId="10" fontId="22" fillId="0" borderId="50" xfId="0" applyNumberFormat="1" applyFont="1" applyFill="1" applyBorder="1" applyAlignment="1">
      <alignment horizontal="left"/>
    </xf>
    <xf numFmtId="0" fontId="22" fillId="0" borderId="48" xfId="0" applyFont="1" applyFill="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Fill="1" applyBorder="1" applyAlignment="1">
      <alignment horizontal="center" vertical="center"/>
    </xf>
    <xf numFmtId="0" fontId="22" fillId="0" borderId="35" xfId="0" applyFont="1" applyFill="1" applyBorder="1" applyAlignment="1">
      <alignment horizontal="center" vertical="center"/>
    </xf>
    <xf numFmtId="0" fontId="22" fillId="0" borderId="13" xfId="0" applyFont="1" applyFill="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Border="1" applyAlignment="1">
      <alignment horizontal="center" vertical="center"/>
    </xf>
    <xf numFmtId="0" fontId="10" fillId="0" borderId="58" xfId="0" applyFont="1" applyBorder="1" applyAlignment="1">
      <alignment horizontal="center" vertical="center" wrapText="1"/>
    </xf>
    <xf numFmtId="0" fontId="1" fillId="0" borderId="0" xfId="0" applyFont="1" applyFill="1"/>
    <xf numFmtId="0" fontId="40" fillId="0" borderId="0" xfId="0" applyFont="1" applyFill="1"/>
    <xf numFmtId="0" fontId="1" fillId="0" borderId="6" xfId="0" applyFont="1" applyBorder="1" applyAlignment="1">
      <alignment horizontal="right" vertical="center"/>
    </xf>
    <xf numFmtId="166" fontId="0" fillId="0" borderId="44" xfId="0" applyNumberFormat="1" applyBorder="1"/>
    <xf numFmtId="0" fontId="0" fillId="11" borderId="22" xfId="0" applyFont="1"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Fill="1" applyBorder="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Fill="1" applyBorder="1"/>
    <xf numFmtId="0" fontId="21" fillId="0" borderId="32" xfId="0" applyFont="1" applyFill="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Fill="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applyBorder="1"/>
    <xf numFmtId="2" fontId="1" fillId="20" borderId="58" xfId="0" applyNumberFormat="1" applyFont="1" applyFill="1" applyBorder="1"/>
    <xf numFmtId="166" fontId="0" fillId="20" borderId="0" xfId="0" applyNumberFormat="1" applyFill="1" applyBorder="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applyBorder="1"/>
    <xf numFmtId="178" fontId="0" fillId="0" borderId="6" xfId="0" applyNumberFormat="1" applyBorder="1"/>
    <xf numFmtId="178" fontId="0" fillId="0" borderId="0" xfId="0" applyNumberFormat="1" applyBorder="1"/>
    <xf numFmtId="43" fontId="0" fillId="0" borderId="0" xfId="0" applyNumberFormat="1" applyBorder="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applyBorder="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9" fontId="0" fillId="0" borderId="0" xfId="0" applyNumberFormat="1" applyFill="1" applyBorder="1"/>
    <xf numFmtId="166" fontId="0" fillId="0" borderId="0" xfId="0" applyNumberFormat="1"/>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applyBorder="1"/>
    <xf numFmtId="0" fontId="59" fillId="6" borderId="0" xfId="0" applyFont="1" applyFill="1" applyBorder="1"/>
    <xf numFmtId="0" fontId="37" fillId="0" borderId="0" xfId="0" applyFont="1" applyFill="1" applyBorder="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41" fillId="0" borderId="0" xfId="0" applyFont="1" applyFill="1"/>
    <xf numFmtId="0" fontId="63" fillId="22" borderId="0" xfId="0" applyFont="1" applyFill="1"/>
    <xf numFmtId="9" fontId="7" fillId="0" borderId="6" xfId="0" applyNumberFormat="1" applyFont="1" applyBorder="1"/>
    <xf numFmtId="9" fontId="7" fillId="0" borderId="0" xfId="0" applyNumberFormat="1" applyFont="1" applyBorder="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0" xfId="0" applyFont="1" applyBorder="1"/>
    <xf numFmtId="0" fontId="11" fillId="0" borderId="0" xfId="0" applyFont="1" applyBorder="1"/>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0" fillId="19" borderId="1" xfId="0" applyFont="1" applyFill="1" applyBorder="1" applyAlignment="1">
      <alignment horizontal="center" wrapText="1"/>
    </xf>
    <xf numFmtId="0" fontId="1" fillId="0" borderId="0" xfId="0" applyFont="1" applyBorder="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Fill="1" applyBorder="1" applyProtection="1">
      <protection locked="0"/>
    </xf>
    <xf numFmtId="9" fontId="0" fillId="0" borderId="58" xfId="0" applyNumberFormat="1" applyFill="1" applyBorder="1" applyProtection="1">
      <protection locked="0"/>
    </xf>
    <xf numFmtId="9" fontId="0" fillId="0" borderId="51" xfId="0" applyNumberFormat="1" applyFill="1" applyBorder="1" applyProtection="1">
      <protection locked="0"/>
    </xf>
    <xf numFmtId="9" fontId="0" fillId="0" borderId="44" xfId="0" applyNumberFormat="1" applyFill="1" applyBorder="1" applyProtection="1">
      <protection locked="0"/>
    </xf>
    <xf numFmtId="9" fontId="0" fillId="0" borderId="6" xfId="0" applyNumberFormat="1" applyFill="1" applyBorder="1" applyProtection="1">
      <protection locked="0"/>
    </xf>
    <xf numFmtId="9" fontId="0" fillId="0" borderId="43" xfId="0" applyNumberFormat="1" applyFill="1" applyBorder="1" applyProtection="1">
      <protection locked="0"/>
    </xf>
    <xf numFmtId="0" fontId="1" fillId="0" borderId="7" xfId="0" applyFont="1" applyBorder="1" applyAlignment="1">
      <alignment horizontal="center" vertical="center"/>
    </xf>
    <xf numFmtId="0" fontId="11" fillId="0" borderId="0" xfId="0" applyFont="1" applyFill="1" applyBorder="1"/>
    <xf numFmtId="0" fontId="10" fillId="19" borderId="53" xfId="0" applyFont="1" applyFill="1" applyBorder="1"/>
    <xf numFmtId="0" fontId="10" fillId="4" borderId="0" xfId="0" applyFont="1" applyFill="1" applyBorder="1" applyAlignment="1">
      <alignment horizontal="center" vertical="center" wrapText="1"/>
    </xf>
    <xf numFmtId="172" fontId="0" fillId="0" borderId="0" xfId="0" applyNumberFormat="1" applyFont="1" applyBorder="1" applyAlignment="1">
      <alignment horizontal="right" vertical="center"/>
    </xf>
    <xf numFmtId="172" fontId="38" fillId="0" borderId="0" xfId="0" applyNumberFormat="1" applyFont="1" applyBorder="1" applyAlignment="1">
      <alignment horizontal="right" vertical="center"/>
    </xf>
    <xf numFmtId="172" fontId="0" fillId="0" borderId="0" xfId="0" applyNumberFormat="1" applyBorder="1"/>
    <xf numFmtId="0" fontId="1" fillId="0" borderId="18"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1" fillId="0" borderId="17" xfId="0" applyFont="1" applyFill="1" applyBorder="1" applyAlignment="1">
      <alignment vertical="center" wrapText="1"/>
    </xf>
    <xf numFmtId="3" fontId="33" fillId="0" borderId="0" xfId="0" applyNumberFormat="1" applyFont="1" applyBorder="1"/>
    <xf numFmtId="0" fontId="1" fillId="0" borderId="59" xfId="0" applyFont="1" applyFill="1" applyBorder="1" applyAlignment="1">
      <alignment horizontal="center" vertical="center" wrapText="1"/>
    </xf>
    <xf numFmtId="0" fontId="44" fillId="0" borderId="0" xfId="0" applyNumberFormat="1" applyFont="1"/>
    <xf numFmtId="43" fontId="0" fillId="0" borderId="0" xfId="0" applyNumberFormat="1"/>
    <xf numFmtId="173" fontId="0" fillId="0" borderId="0" xfId="0" applyNumberFormat="1"/>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Font="1" applyBorder="1" applyAlignment="1">
      <alignment horizontal="right"/>
    </xf>
    <xf numFmtId="9" fontId="38" fillId="0" borderId="0" xfId="0" applyNumberFormat="1" applyFont="1" applyBorder="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 fillId="0" borderId="0" xfId="0" applyFont="1" applyFill="1" applyBorder="1"/>
    <xf numFmtId="0" fontId="23" fillId="0" borderId="53" xfId="0" applyFont="1" applyFill="1" applyBorder="1" applyAlignment="1"/>
    <xf numFmtId="1" fontId="1" fillId="0" borderId="0" xfId="0" applyNumberFormat="1" applyFont="1" applyFill="1" applyBorder="1"/>
    <xf numFmtId="1" fontId="1" fillId="0" borderId="0" xfId="0" applyNumberFormat="1" applyFont="1" applyBorder="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Fill="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Fill="1" applyBorder="1" applyAlignment="1">
      <alignment horizontal="left"/>
    </xf>
    <xf numFmtId="0" fontId="1" fillId="0" borderId="1" xfId="0" applyFont="1" applyBorder="1" applyAlignment="1">
      <alignment horizontal="center"/>
    </xf>
    <xf numFmtId="0" fontId="0" fillId="0" borderId="6" xfId="0" applyFont="1" applyBorder="1" applyAlignment="1">
      <alignment horizontal="center"/>
    </xf>
    <xf numFmtId="0" fontId="0" fillId="0" borderId="43" xfId="0" applyFont="1"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170" fontId="0" fillId="0" borderId="0" xfId="0" applyNumberFormat="1" applyBorder="1"/>
    <xf numFmtId="41" fontId="1" fillId="0" borderId="58" xfId="0" applyNumberFormat="1" applyFont="1" applyBorder="1"/>
    <xf numFmtId="170" fontId="0" fillId="0" borderId="51" xfId="0" applyNumberFormat="1" applyBorder="1"/>
    <xf numFmtId="0" fontId="10" fillId="0" borderId="54" xfId="0" applyFont="1" applyFill="1" applyBorder="1" applyAlignment="1">
      <alignment horizontal="center"/>
    </xf>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0" fontId="0" fillId="6" borderId="0" xfId="0" applyFill="1"/>
    <xf numFmtId="3" fontId="0" fillId="6" borderId="0" xfId="0" applyNumberFormat="1" applyFill="1"/>
    <xf numFmtId="182" fontId="0" fillId="0" borderId="0" xfId="0" applyNumberFormat="1" applyFill="1" applyBorder="1"/>
    <xf numFmtId="177" fontId="0" fillId="0" borderId="51" xfId="0" applyNumberFormat="1" applyBorder="1"/>
    <xf numFmtId="178" fontId="1" fillId="0" borderId="0" xfId="0" applyNumberFormat="1" applyFont="1" applyBorder="1"/>
    <xf numFmtId="177" fontId="0" fillId="0" borderId="2" xfId="0" applyNumberFormat="1" applyBorder="1"/>
    <xf numFmtId="0" fontId="1" fillId="11" borderId="59" xfId="0" applyFont="1" applyFill="1" applyBorder="1" applyAlignment="1">
      <alignment horizontal="center" vertical="center"/>
    </xf>
    <xf numFmtId="0" fontId="10" fillId="19" borderId="1" xfId="0" applyFont="1" applyFill="1" applyBorder="1" applyAlignment="1">
      <alignment horizontal="center" wrapText="1"/>
    </xf>
    <xf numFmtId="0" fontId="10" fillId="19" borderId="2" xfId="0" applyFont="1" applyFill="1" applyBorder="1" applyAlignment="1">
      <alignment horizontal="center" wrapText="1"/>
    </xf>
    <xf numFmtId="0" fontId="1" fillId="0" borderId="0" xfId="0" applyFont="1" applyBorder="1" applyAlignment="1">
      <alignment horizontal="center" vertical="center"/>
    </xf>
    <xf numFmtId="0" fontId="0" fillId="0" borderId="0" xfId="0" applyBorder="1"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Border="1" applyAlignment="1">
      <alignment horizontal="center"/>
    </xf>
    <xf numFmtId="0" fontId="64" fillId="0" borderId="0" xfId="0" applyFont="1" applyBorder="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43" fontId="0" fillId="0" borderId="0" xfId="0" applyNumberFormat="1" applyFill="1" applyBorder="1"/>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 fillId="11" borderId="59" xfId="0" applyFont="1" applyFill="1" applyBorder="1" applyAlignment="1">
      <alignment horizontal="center" vertical="center"/>
    </xf>
    <xf numFmtId="0" fontId="1" fillId="0" borderId="0" xfId="0" applyFont="1" applyBorder="1" applyAlignment="1">
      <alignment horizontal="center" vertical="center"/>
    </xf>
    <xf numFmtId="0" fontId="10" fillId="19" borderId="1" xfId="0" applyFont="1" applyFill="1" applyBorder="1" applyAlignment="1">
      <alignment horizontal="center" wrapText="1"/>
    </xf>
    <xf numFmtId="0" fontId="10" fillId="19" borderId="2" xfId="0" applyFont="1" applyFill="1" applyBorder="1" applyAlignment="1">
      <alignment horizont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3" xfId="0" applyFont="1" applyFill="1" applyBorder="1" applyAlignment="1">
      <alignment horizontal="center" vertical="center" wrapText="1"/>
    </xf>
    <xf numFmtId="9" fontId="0" fillId="0" borderId="1" xfId="0" applyNumberFormat="1" applyFill="1" applyBorder="1" applyProtection="1">
      <protection locked="0"/>
    </xf>
    <xf numFmtId="9" fontId="0" fillId="0" borderId="2" xfId="0" applyNumberFormat="1" applyFill="1" applyBorder="1" applyProtection="1">
      <protection locked="0"/>
    </xf>
    <xf numFmtId="9" fontId="0" fillId="0" borderId="33" xfId="0" applyNumberFormat="1" applyFill="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applyBorder="1"/>
    <xf numFmtId="1" fontId="23" fillId="18" borderId="58" xfId="0" applyNumberFormat="1" applyFont="1" applyFill="1" applyBorder="1"/>
    <xf numFmtId="41" fontId="23" fillId="18" borderId="0" xfId="0" applyNumberFormat="1" applyFont="1" applyFill="1" applyBorder="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applyBorder="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Fill="1" applyBorder="1"/>
    <xf numFmtId="178" fontId="0" fillId="18" borderId="0" xfId="0" applyNumberFormat="1" applyFill="1" applyBorder="1"/>
    <xf numFmtId="0" fontId="21" fillId="0" borderId="1" xfId="0" applyFont="1" applyFill="1" applyBorder="1"/>
    <xf numFmtId="41" fontId="21" fillId="0" borderId="2" xfId="0" applyNumberFormat="1" applyFont="1" applyFill="1" applyBorder="1" applyAlignment="1" applyProtection="1">
      <alignment horizontal="right"/>
      <protection locked="0"/>
    </xf>
    <xf numFmtId="178" fontId="21" fillId="0" borderId="58" xfId="0" applyNumberFormat="1" applyFont="1" applyFill="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Fill="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applyBorder="1"/>
    <xf numFmtId="1" fontId="0" fillId="0" borderId="0" xfId="0" applyNumberFormat="1" applyFill="1"/>
    <xf numFmtId="2" fontId="0" fillId="0" borderId="0" xfId="0" applyNumberFormat="1" applyFill="1"/>
    <xf numFmtId="41" fontId="7" fillId="0" borderId="0" xfId="0" applyNumberFormat="1" applyFont="1" applyFill="1"/>
    <xf numFmtId="2" fontId="7" fillId="0" borderId="0" xfId="0" applyNumberFormat="1" applyFont="1" applyFill="1"/>
    <xf numFmtId="1" fontId="7" fillId="0" borderId="0" xfId="0" applyNumberFormat="1" applyFont="1" applyFill="1"/>
    <xf numFmtId="0" fontId="1" fillId="19" borderId="1" xfId="0" applyFont="1" applyFill="1" applyBorder="1" applyAlignment="1">
      <alignment horizontal="center" vertical="center" wrapText="1"/>
    </xf>
    <xf numFmtId="178" fontId="0" fillId="0" borderId="0" xfId="0" applyNumberFormat="1"/>
    <xf numFmtId="170" fontId="7" fillId="0" borderId="0" xfId="0" applyNumberFormat="1" applyFont="1"/>
    <xf numFmtId="9" fontId="0" fillId="0" borderId="0" xfId="1" applyNumberFormat="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Fill="1" applyBorder="1" applyProtection="1">
      <protection locked="0"/>
    </xf>
    <xf numFmtId="9" fontId="1" fillId="0" borderId="0" xfId="0" applyNumberFormat="1" applyFont="1" applyFill="1" applyBorder="1" applyProtection="1">
      <protection locked="0"/>
    </xf>
    <xf numFmtId="9" fontId="1" fillId="0" borderId="0" xfId="0" applyNumberFormat="1" applyFont="1" applyFill="1" applyBorder="1"/>
    <xf numFmtId="0" fontId="1" fillId="0" borderId="1" xfId="0" applyFont="1" applyFill="1" applyBorder="1" applyAlignment="1">
      <alignment horizontal="center"/>
    </xf>
    <xf numFmtId="9" fontId="1" fillId="0" borderId="2" xfId="0" applyNumberFormat="1" applyFont="1" applyFill="1" applyBorder="1" applyProtection="1">
      <protection locked="0"/>
    </xf>
    <xf numFmtId="9" fontId="1" fillId="0" borderId="33" xfId="0" applyNumberFormat="1" applyFont="1" applyFill="1" applyBorder="1"/>
    <xf numFmtId="9" fontId="0" fillId="0" borderId="58" xfId="0" applyNumberFormat="1" applyFill="1" applyBorder="1"/>
    <xf numFmtId="0" fontId="1" fillId="0" borderId="6" xfId="0" applyFont="1" applyFill="1" applyBorder="1" applyAlignment="1">
      <alignment horizontal="center"/>
    </xf>
    <xf numFmtId="9" fontId="1" fillId="0" borderId="58" xfId="0" applyNumberFormat="1" applyFont="1" applyFill="1" applyBorder="1"/>
    <xf numFmtId="9" fontId="0" fillId="0" borderId="44" xfId="0" applyNumberFormat="1" applyFill="1" applyBorder="1"/>
    <xf numFmtId="0" fontId="0" fillId="0" borderId="52" xfId="0" applyFont="1" applyFill="1" applyBorder="1" applyAlignment="1">
      <alignment horizontal="center"/>
    </xf>
    <xf numFmtId="0" fontId="1" fillId="0" borderId="52" xfId="0" applyFont="1" applyFill="1" applyBorder="1" applyAlignment="1">
      <alignment horizontal="center"/>
    </xf>
    <xf numFmtId="0" fontId="1" fillId="0" borderId="56" xfId="0" applyFont="1" applyFill="1" applyBorder="1" applyAlignment="1">
      <alignment horizontal="center"/>
    </xf>
    <xf numFmtId="0" fontId="1" fillId="0" borderId="53" xfId="0" applyFont="1" applyFill="1" applyBorder="1" applyAlignment="1">
      <alignment horizontal="center"/>
    </xf>
    <xf numFmtId="9" fontId="1" fillId="0" borderId="1" xfId="0" applyNumberFormat="1" applyFont="1" applyFill="1" applyBorder="1" applyProtection="1">
      <protection locked="0"/>
    </xf>
    <xf numFmtId="9" fontId="1" fillId="0" borderId="6" xfId="0" applyNumberFormat="1" applyFont="1" applyFill="1" applyBorder="1" applyProtection="1">
      <protection locked="0"/>
    </xf>
    <xf numFmtId="9" fontId="1" fillId="0" borderId="2" xfId="0" applyNumberFormat="1" applyFont="1" applyFill="1" applyBorder="1"/>
    <xf numFmtId="9" fontId="0" fillId="0" borderId="51" xfId="0" applyNumberFormat="1" applyFill="1" applyBorder="1"/>
    <xf numFmtId="9" fontId="1" fillId="0" borderId="0" xfId="1" applyFont="1" applyFill="1" applyBorder="1" applyAlignment="1" applyProtection="1">
      <alignment horizontal="center" wrapText="1"/>
      <protection locked="0"/>
    </xf>
    <xf numFmtId="0" fontId="1" fillId="0" borderId="0" xfId="0" applyFont="1" applyFill="1" applyBorder="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6" xfId="0" applyFill="1" applyBorder="1" applyAlignment="1">
      <alignment horizontal="center"/>
    </xf>
    <xf numFmtId="0" fontId="0" fillId="0" borderId="43" xfId="0" applyFill="1" applyBorder="1" applyAlignment="1">
      <alignment horizontal="center"/>
    </xf>
    <xf numFmtId="0" fontId="0" fillId="0" borderId="28" xfId="0" applyFill="1" applyBorder="1" applyAlignment="1">
      <alignment horizontal="center" wrapText="1"/>
    </xf>
    <xf numFmtId="0" fontId="0" fillId="0" borderId="45" xfId="0" applyFill="1" applyBorder="1" applyAlignment="1">
      <alignment horizontal="center" wrapText="1"/>
    </xf>
    <xf numFmtId="0" fontId="0" fillId="0" borderId="1" xfId="0" applyFill="1" applyBorder="1" applyAlignment="1">
      <alignment horizontal="center"/>
    </xf>
    <xf numFmtId="9" fontId="0" fillId="0" borderId="33" xfId="0" applyNumberFormat="1" applyFill="1" applyBorder="1"/>
    <xf numFmtId="9" fontId="0" fillId="0" borderId="2" xfId="0" applyNumberFormat="1" applyFill="1" applyBorder="1"/>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2" xfId="1" applyNumberFormat="1" applyFont="1" applyFill="1" applyBorder="1" applyProtection="1">
      <protection locked="0"/>
    </xf>
    <xf numFmtId="9" fontId="0" fillId="11" borderId="33" xfId="1" applyNumberFormat="1" applyFont="1" applyFill="1" applyBorder="1"/>
    <xf numFmtId="2" fontId="0" fillId="11" borderId="0" xfId="0" applyNumberFormat="1" applyFill="1" applyBorder="1" applyProtection="1">
      <protection locked="0"/>
    </xf>
    <xf numFmtId="9" fontId="0" fillId="11" borderId="0" xfId="1" applyFont="1" applyFill="1" applyBorder="1" applyProtection="1">
      <protection locked="0"/>
    </xf>
    <xf numFmtId="9" fontId="0" fillId="11" borderId="0" xfId="1" applyNumberFormat="1" applyFont="1" applyFill="1" applyBorder="1" applyProtection="1">
      <protection locked="0"/>
    </xf>
    <xf numFmtId="9" fontId="0" fillId="11" borderId="58" xfId="1" applyNumberFormat="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51" xfId="1" applyNumberFormat="1" applyFont="1" applyFill="1" applyBorder="1" applyProtection="1">
      <protection locked="0"/>
    </xf>
    <xf numFmtId="9" fontId="0" fillId="11" borderId="44" xfId="1" applyNumberFormat="1" applyFont="1" applyFill="1" applyBorder="1"/>
    <xf numFmtId="3" fontId="0" fillId="11" borderId="0" xfId="0" applyNumberFormat="1" applyFont="1" applyFill="1" applyBorder="1"/>
    <xf numFmtId="2" fontId="0" fillId="11" borderId="0" xfId="0" applyNumberFormat="1" applyFill="1" applyBorder="1"/>
    <xf numFmtId="4" fontId="0" fillId="11" borderId="0" xfId="0" applyNumberFormat="1" applyFill="1" applyBorder="1"/>
    <xf numFmtId="0" fontId="0" fillId="11" borderId="0" xfId="0" applyFont="1" applyFill="1" applyBorder="1"/>
    <xf numFmtId="3" fontId="0" fillId="11" borderId="2" xfId="0" applyNumberFormat="1" applyFont="1" applyFill="1" applyBorder="1"/>
    <xf numFmtId="0" fontId="0" fillId="11" borderId="2" xfId="0" applyFont="1" applyFill="1" applyBorder="1"/>
    <xf numFmtId="3" fontId="0" fillId="11" borderId="6" xfId="0" applyNumberFormat="1" applyFont="1" applyFill="1" applyBorder="1"/>
    <xf numFmtId="3" fontId="4" fillId="11" borderId="58" xfId="0" applyNumberFormat="1" applyFont="1" applyFill="1" applyBorder="1"/>
    <xf numFmtId="3" fontId="0" fillId="11" borderId="43" xfId="0" applyNumberFormat="1" applyFont="1" applyFill="1" applyBorder="1"/>
    <xf numFmtId="2" fontId="0" fillId="11" borderId="51" xfId="0" applyNumberFormat="1" applyFill="1" applyBorder="1"/>
    <xf numFmtId="4" fontId="0" fillId="11" borderId="51" xfId="0" applyNumberFormat="1" applyFill="1" applyBorder="1"/>
    <xf numFmtId="3" fontId="0" fillId="11" borderId="51" xfId="0" applyNumberFormat="1" applyFont="1" applyFill="1" applyBorder="1"/>
    <xf numFmtId="0" fontId="0" fillId="11" borderId="51" xfId="0" applyFont="1" applyFill="1" applyBorder="1"/>
    <xf numFmtId="3" fontId="4" fillId="11" borderId="44" xfId="0" applyNumberFormat="1" applyFont="1" applyFill="1" applyBorder="1"/>
    <xf numFmtId="4" fontId="0" fillId="11" borderId="0" xfId="0" applyNumberFormat="1" applyFont="1" applyFill="1" applyBorder="1"/>
    <xf numFmtId="4" fontId="0" fillId="11" borderId="2" xfId="0" applyNumberFormat="1" applyFont="1" applyFill="1" applyBorder="1"/>
    <xf numFmtId="4" fontId="0" fillId="11" borderId="51" xfId="0" applyNumberFormat="1" applyFont="1" applyFill="1" applyBorder="1"/>
    <xf numFmtId="3" fontId="0" fillId="11" borderId="1" xfId="0" applyNumberFormat="1" applyFill="1" applyBorder="1"/>
    <xf numFmtId="3" fontId="0" fillId="11" borderId="6" xfId="0" applyNumberFormat="1" applyFill="1" applyBorder="1"/>
    <xf numFmtId="3" fontId="0" fillId="11" borderId="43" xfId="0" applyNumberFormat="1" applyFill="1" applyBorder="1"/>
    <xf numFmtId="3" fontId="0" fillId="19" borderId="6" xfId="0" applyNumberFormat="1" applyFont="1" applyFill="1" applyBorder="1"/>
    <xf numFmtId="4" fontId="0" fillId="19" borderId="0" xfId="0" applyNumberFormat="1" applyFont="1" applyFill="1" applyBorder="1"/>
    <xf numFmtId="3" fontId="0" fillId="19" borderId="0" xfId="0" applyNumberFormat="1" applyFont="1" applyFill="1" applyBorder="1"/>
    <xf numFmtId="0" fontId="0" fillId="19" borderId="0" xfId="0" applyFont="1" applyFill="1" applyBorder="1"/>
    <xf numFmtId="3" fontId="4" fillId="19" borderId="58" xfId="0" applyNumberFormat="1" applyFont="1" applyFill="1" applyBorder="1"/>
    <xf numFmtId="3" fontId="0" fillId="19" borderId="43" xfId="0" applyNumberFormat="1" applyFont="1" applyFill="1" applyBorder="1"/>
    <xf numFmtId="4" fontId="0" fillId="19" borderId="51" xfId="0" applyNumberFormat="1" applyFont="1" applyFill="1" applyBorder="1"/>
    <xf numFmtId="3" fontId="0" fillId="19" borderId="51" xfId="0" applyNumberFormat="1" applyFont="1" applyFill="1" applyBorder="1"/>
    <xf numFmtId="0" fontId="0" fillId="19" borderId="51" xfId="0" applyFont="1" applyFill="1" applyBorder="1"/>
    <xf numFmtId="3" fontId="4" fillId="19" borderId="44" xfId="0" applyNumberFormat="1" applyFont="1" applyFill="1" applyBorder="1"/>
    <xf numFmtId="0" fontId="0" fillId="0" borderId="24" xfId="0" applyFont="1" applyFill="1" applyBorder="1" applyAlignment="1">
      <alignment horizontal="center" wrapText="1"/>
    </xf>
    <xf numFmtId="0" fontId="0" fillId="0" borderId="23" xfId="0" applyFont="1" applyFill="1" applyBorder="1" applyAlignment="1">
      <alignment horizontal="center" wrapText="1"/>
    </xf>
    <xf numFmtId="0" fontId="0" fillId="0" borderId="41" xfId="0" applyFont="1" applyFill="1" applyBorder="1" applyAlignment="1">
      <alignment horizontal="center" wrapText="1"/>
    </xf>
    <xf numFmtId="2" fontId="0" fillId="0" borderId="0" xfId="0" applyNumberFormat="1" applyFont="1" applyFill="1" applyBorder="1" applyProtection="1">
      <protection locked="0"/>
    </xf>
    <xf numFmtId="2" fontId="0" fillId="0" borderId="0" xfId="0" applyNumberFormat="1" applyFill="1" applyBorder="1" applyProtection="1">
      <protection locked="0"/>
    </xf>
    <xf numFmtId="2" fontId="0" fillId="5" borderId="0" xfId="0" applyNumberFormat="1" applyFont="1" applyFill="1" applyBorder="1" applyProtection="1">
      <protection locked="0"/>
    </xf>
    <xf numFmtId="9" fontId="3" fillId="5" borderId="0" xfId="1" applyNumberFormat="1" applyFont="1" applyFill="1" applyBorder="1" applyProtection="1">
      <protection locked="0"/>
    </xf>
    <xf numFmtId="0" fontId="0" fillId="0" borderId="1" xfId="0" applyFont="1" applyBorder="1"/>
    <xf numFmtId="2" fontId="0" fillId="0" borderId="2" xfId="0" applyNumberFormat="1" applyFont="1" applyFill="1" applyBorder="1" applyProtection="1">
      <protection locked="0"/>
    </xf>
    <xf numFmtId="9" fontId="0" fillId="0" borderId="2" xfId="1" applyNumberFormat="1" applyFont="1" applyFill="1" applyBorder="1" applyProtection="1">
      <protection locked="0"/>
    </xf>
    <xf numFmtId="9" fontId="0" fillId="0" borderId="33" xfId="1" applyNumberFormat="1" applyFont="1" applyBorder="1"/>
    <xf numFmtId="0" fontId="0" fillId="0" borderId="6" xfId="0" applyFont="1" applyBorder="1"/>
    <xf numFmtId="9" fontId="0" fillId="0" borderId="58" xfId="1" applyNumberFormat="1" applyFont="1" applyBorder="1"/>
    <xf numFmtId="9" fontId="3" fillId="5" borderId="58" xfId="1" applyNumberFormat="1" applyFont="1" applyFill="1" applyBorder="1"/>
    <xf numFmtId="0" fontId="1" fillId="5" borderId="43" xfId="0" applyFont="1" applyFill="1" applyBorder="1"/>
    <xf numFmtId="2" fontId="0" fillId="5" borderId="51" xfId="0" applyNumberFormat="1" applyFont="1" applyFill="1" applyBorder="1" applyProtection="1">
      <protection locked="0"/>
    </xf>
    <xf numFmtId="9" fontId="3" fillId="5" borderId="51" xfId="1" applyNumberFormat="1" applyFont="1" applyFill="1" applyBorder="1" applyProtection="1">
      <protection locked="0"/>
    </xf>
    <xf numFmtId="9" fontId="3" fillId="5" borderId="44" xfId="1" applyNumberFormat="1" applyFont="1" applyFill="1" applyBorder="1"/>
    <xf numFmtId="0" fontId="1" fillId="5" borderId="1" xfId="0" applyFont="1" applyFill="1" applyBorder="1"/>
    <xf numFmtId="2" fontId="0" fillId="5" borderId="2" xfId="0" applyNumberFormat="1" applyFont="1" applyFill="1" applyBorder="1" applyProtection="1">
      <protection locked="0"/>
    </xf>
    <xf numFmtId="9" fontId="3" fillId="5" borderId="2" xfId="1" applyNumberFormat="1" applyFont="1" applyFill="1" applyBorder="1" applyProtection="1">
      <protection locked="0"/>
    </xf>
    <xf numFmtId="9" fontId="3" fillId="5" borderId="33" xfId="1" applyNumberFormat="1" applyFont="1" applyFill="1" applyBorder="1"/>
    <xf numFmtId="3" fontId="0" fillId="5" borderId="0" xfId="0" applyNumberFormat="1" applyFont="1" applyFill="1" applyBorder="1"/>
    <xf numFmtId="4" fontId="0" fillId="5" borderId="0" xfId="0" applyNumberFormat="1" applyFont="1" applyFill="1" applyBorder="1"/>
    <xf numFmtId="0" fontId="0" fillId="5" borderId="0" xfId="0" applyFont="1" applyFill="1" applyBorder="1"/>
    <xf numFmtId="3" fontId="0" fillId="5" borderId="1" xfId="0" applyNumberFormat="1" applyFont="1" applyFill="1" applyBorder="1"/>
    <xf numFmtId="4" fontId="0" fillId="5" borderId="2" xfId="0" applyNumberFormat="1" applyFont="1" applyFill="1" applyBorder="1"/>
    <xf numFmtId="3" fontId="0" fillId="5" borderId="2" xfId="0" applyNumberFormat="1" applyFont="1" applyFill="1" applyBorder="1"/>
    <xf numFmtId="0" fontId="0" fillId="5" borderId="2" xfId="0" applyFont="1" applyFill="1" applyBorder="1"/>
    <xf numFmtId="3" fontId="0" fillId="5" borderId="6" xfId="0" applyNumberFormat="1" applyFont="1" applyFill="1" applyBorder="1"/>
    <xf numFmtId="3" fontId="0" fillId="5" borderId="43" xfId="0" applyNumberFormat="1" applyFont="1" applyFill="1" applyBorder="1"/>
    <xf numFmtId="4" fontId="0" fillId="5" borderId="51" xfId="0" applyNumberFormat="1" applyFont="1" applyFill="1" applyBorder="1"/>
    <xf numFmtId="3" fontId="0" fillId="5" borderId="51" xfId="0" applyNumberFormat="1" applyFont="1" applyFill="1" applyBorder="1"/>
    <xf numFmtId="0" fontId="0" fillId="5" borderId="51" xfId="0" applyFont="1"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3" fontId="0" fillId="5" borderId="6" xfId="0" applyNumberFormat="1" applyFill="1" applyBorder="1"/>
    <xf numFmtId="169" fontId="4" fillId="5" borderId="58" xfId="0" applyNumberFormat="1" applyFont="1" applyFill="1" applyBorder="1"/>
    <xf numFmtId="3" fontId="0" fillId="5" borderId="43" xfId="0" applyNumberFormat="1" applyFill="1" applyBorder="1"/>
    <xf numFmtId="169" fontId="4" fillId="5" borderId="44" xfId="0" applyNumberFormat="1" applyFont="1" applyFill="1" applyBorder="1"/>
    <xf numFmtId="2" fontId="0" fillId="0" borderId="41" xfId="0" applyNumberFormat="1" applyFont="1" applyFill="1" applyBorder="1" applyAlignment="1">
      <alignment horizontal="center" wrapText="1"/>
    </xf>
    <xf numFmtId="3" fontId="0" fillId="0" borderId="41" xfId="0" applyNumberFormat="1" applyFont="1" applyFill="1" applyBorder="1" applyAlignment="1">
      <alignment horizontal="center" wrapText="1"/>
    </xf>
    <xf numFmtId="3" fontId="4" fillId="0" borderId="41" xfId="0" applyNumberFormat="1" applyFont="1" applyFill="1" applyBorder="1" applyAlignment="1">
      <alignment horizontal="center" wrapText="1"/>
    </xf>
    <xf numFmtId="3" fontId="0" fillId="0" borderId="0" xfId="0" applyNumberFormat="1" applyFont="1" applyBorder="1"/>
    <xf numFmtId="4" fontId="0" fillId="0" borderId="0" xfId="0" applyNumberFormat="1" applyFont="1" applyBorder="1"/>
    <xf numFmtId="4" fontId="0" fillId="0" borderId="0" xfId="0" applyNumberFormat="1" applyBorder="1"/>
    <xf numFmtId="3" fontId="0" fillId="0" borderId="1" xfId="0" applyNumberFormat="1" applyFont="1" applyBorder="1"/>
    <xf numFmtId="4" fontId="0" fillId="0" borderId="2" xfId="0" applyNumberFormat="1" applyFont="1" applyBorder="1"/>
    <xf numFmtId="3" fontId="0" fillId="0" borderId="2" xfId="0" applyNumberFormat="1" applyFont="1" applyBorder="1"/>
    <xf numFmtId="0" fontId="0" fillId="0" borderId="2" xfId="0" applyFont="1" applyBorder="1"/>
    <xf numFmtId="3" fontId="4" fillId="0" borderId="33" xfId="0" applyNumberFormat="1" applyFont="1" applyBorder="1"/>
    <xf numFmtId="3" fontId="0" fillId="0" borderId="6"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Font="1" applyBorder="1"/>
    <xf numFmtId="0" fontId="0" fillId="0" borderId="51" xfId="0" applyFont="1" applyBorder="1"/>
    <xf numFmtId="3" fontId="4" fillId="0" borderId="44" xfId="0" applyNumberFormat="1" applyFont="1" applyBorder="1"/>
    <xf numFmtId="3" fontId="4" fillId="0" borderId="24" xfId="0" applyNumberFormat="1" applyFont="1" applyFill="1" applyBorder="1" applyAlignment="1">
      <alignment horizontal="center" wrapText="1"/>
    </xf>
    <xf numFmtId="3" fontId="0" fillId="0" borderId="0" xfId="0" applyNumberFormat="1" applyFont="1" applyFill="1" applyBorder="1"/>
    <xf numFmtId="4" fontId="0" fillId="0" borderId="51" xfId="0" applyNumberFormat="1" applyFont="1" applyBorder="1"/>
    <xf numFmtId="0" fontId="0" fillId="0" borderId="51" xfId="0" applyFont="1" applyFill="1" applyBorder="1"/>
    <xf numFmtId="3" fontId="0" fillId="0" borderId="51" xfId="0" applyNumberFormat="1" applyFont="1" applyFill="1" applyBorder="1"/>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78" fontId="0" fillId="0" borderId="0" xfId="0" applyNumberFormat="1" applyFill="1" applyBorder="1"/>
    <xf numFmtId="178" fontId="1" fillId="0" borderId="0" xfId="0" applyNumberFormat="1" applyFont="1" applyFill="1" applyBorder="1"/>
    <xf numFmtId="2" fontId="1" fillId="0" borderId="0" xfId="0" applyNumberFormat="1" applyFont="1" applyFill="1" applyBorder="1"/>
    <xf numFmtId="166" fontId="0" fillId="0" borderId="0" xfId="0" applyNumberFormat="1" applyFill="1" applyBorder="1"/>
    <xf numFmtId="166" fontId="1" fillId="0" borderId="0" xfId="0" applyNumberFormat="1" applyFont="1" applyFill="1" applyBorder="1"/>
    <xf numFmtId="9" fontId="0" fillId="0" borderId="54" xfId="0" applyNumberFormat="1" applyFill="1" applyBorder="1"/>
    <xf numFmtId="2" fontId="0" fillId="0" borderId="54" xfId="0" applyNumberFormat="1" applyFill="1" applyBorder="1"/>
    <xf numFmtId="2" fontId="1" fillId="0" borderId="54" xfId="0" applyNumberFormat="1" applyFont="1" applyFill="1" applyBorder="1"/>
    <xf numFmtId="166" fontId="0" fillId="0" borderId="54" xfId="0" applyNumberFormat="1" applyFill="1" applyBorder="1"/>
    <xf numFmtId="166" fontId="1" fillId="0" borderId="8" xfId="0" applyNumberFormat="1" applyFont="1" applyFill="1" applyBorder="1"/>
    <xf numFmtId="0" fontId="4" fillId="0" borderId="1" xfId="0" applyFont="1" applyFill="1" applyBorder="1" applyAlignment="1">
      <alignment horizontal="center" vertical="center"/>
    </xf>
    <xf numFmtId="9" fontId="0" fillId="0" borderId="0" xfId="0" applyNumberFormat="1" applyFill="1"/>
    <xf numFmtId="0" fontId="71" fillId="0" borderId="7" xfId="0" applyFont="1" applyFill="1" applyBorder="1" applyAlignment="1">
      <alignment horizontal="center" vertical="center"/>
    </xf>
    <xf numFmtId="0" fontId="1" fillId="0" borderId="43" xfId="0" applyFont="1" applyBorder="1"/>
    <xf numFmtId="2" fontId="7" fillId="0" borderId="0" xfId="0" applyNumberFormat="1" applyFont="1"/>
    <xf numFmtId="0" fontId="1" fillId="0" borderId="1" xfId="0" applyFont="1" applyBorder="1" applyAlignment="1">
      <alignment horizontal="center" vertical="center"/>
    </xf>
    <xf numFmtId="0" fontId="1" fillId="0" borderId="53" xfId="0" applyFont="1" applyBorder="1" applyAlignment="1">
      <alignment horizontal="center" vertical="center"/>
    </xf>
    <xf numFmtId="0" fontId="1" fillId="0" borderId="1" xfId="0" applyFont="1" applyFill="1" applyBorder="1"/>
    <xf numFmtId="178" fontId="0" fillId="0" borderId="1" xfId="0" applyNumberFormat="1" applyBorder="1"/>
    <xf numFmtId="178" fontId="0" fillId="0" borderId="2" xfId="0" applyNumberFormat="1" applyBorder="1"/>
    <xf numFmtId="178" fontId="1" fillId="0" borderId="33" xfId="0" applyNumberFormat="1" applyFont="1" applyBorder="1"/>
    <xf numFmtId="0" fontId="1" fillId="0" borderId="6" xfId="0" applyFont="1" applyFill="1" applyBorder="1"/>
    <xf numFmtId="0" fontId="1" fillId="0" borderId="43" xfId="0" applyFont="1" applyFill="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Fill="1" applyBorder="1" applyAlignment="1">
      <alignment horizontal="center" vertical="center" wrapText="1"/>
    </xf>
    <xf numFmtId="0" fontId="1" fillId="0" borderId="45" xfId="0" applyFont="1" applyFill="1" applyBorder="1" applyAlignment="1">
      <alignment horizontal="center" vertical="center" wrapText="1"/>
    </xf>
    <xf numFmtId="0" fontId="1" fillId="0" borderId="29" xfId="0" applyFont="1" applyFill="1" applyBorder="1" applyAlignment="1">
      <alignment vertical="center" wrapText="1"/>
    </xf>
    <xf numFmtId="0" fontId="1" fillId="0" borderId="0" xfId="0" applyFont="1" applyFill="1" applyBorder="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Fill="1" applyBorder="1" applyAlignment="1">
      <alignment horizontal="right" vertical="center"/>
    </xf>
    <xf numFmtId="0" fontId="0" fillId="0" borderId="54" xfId="0" applyFill="1" applyBorder="1"/>
    <xf numFmtId="41" fontId="0" fillId="0" borderId="54" xfId="0" applyNumberFormat="1" applyFill="1" applyBorder="1"/>
    <xf numFmtId="170" fontId="10" fillId="0" borderId="54" xfId="0" applyNumberFormat="1" applyFont="1" applyFill="1" applyBorder="1"/>
    <xf numFmtId="170" fontId="4" fillId="0" borderId="54" xfId="0" applyNumberFormat="1" applyFont="1" applyFill="1" applyBorder="1"/>
    <xf numFmtId="171" fontId="4" fillId="0" borderId="8" xfId="0" applyNumberFormat="1" applyFont="1" applyFill="1" applyBorder="1"/>
    <xf numFmtId="41" fontId="1" fillId="10" borderId="58" xfId="0" applyNumberFormat="1" applyFont="1" applyFill="1" applyBorder="1"/>
    <xf numFmtId="164" fontId="34" fillId="0" borderId="54" xfId="0" applyNumberFormat="1" applyFont="1" applyFill="1" applyBorder="1" applyAlignment="1">
      <alignment horizontal="right" vertical="center"/>
    </xf>
    <xf numFmtId="9" fontId="34" fillId="0" borderId="54" xfId="0" applyNumberFormat="1" applyFont="1" applyFill="1" applyBorder="1"/>
    <xf numFmtId="41" fontId="34" fillId="0" borderId="54" xfId="0" applyNumberFormat="1" applyFont="1" applyFill="1" applyBorder="1"/>
    <xf numFmtId="164" fontId="1" fillId="11" borderId="60" xfId="0" applyNumberFormat="1" applyFont="1" applyFill="1" applyBorder="1" applyAlignment="1">
      <alignment horizontal="center"/>
    </xf>
    <xf numFmtId="164" fontId="4" fillId="0" borderId="0" xfId="0" applyNumberFormat="1" applyFont="1"/>
    <xf numFmtId="164" fontId="0" fillId="0" borderId="0" xfId="0" applyNumberFormat="1" applyFill="1"/>
    <xf numFmtId="0" fontId="24" fillId="0" borderId="0" xfId="0" applyFont="1" applyFill="1" applyBorder="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Fill="1" applyBorder="1"/>
    <xf numFmtId="9" fontId="21" fillId="0" borderId="33" xfId="0" applyNumberFormat="1" applyFont="1" applyFill="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Fill="1" applyBorder="1" applyAlignment="1">
      <alignment horizontal="right" vertical="center"/>
    </xf>
    <xf numFmtId="9" fontId="0" fillId="0" borderId="1" xfId="0" applyNumberFormat="1" applyFill="1" applyBorder="1"/>
    <xf numFmtId="1" fontId="0" fillId="0" borderId="33" xfId="0" applyNumberFormat="1" applyFill="1" applyBorder="1"/>
    <xf numFmtId="9" fontId="0" fillId="0" borderId="6" xfId="0" applyNumberFormat="1" applyFill="1" applyBorder="1"/>
    <xf numFmtId="178" fontId="0" fillId="0" borderId="58" xfId="0" applyNumberFormat="1" applyFill="1" applyBorder="1"/>
    <xf numFmtId="9" fontId="0" fillId="0" borderId="43" xfId="0" applyNumberFormat="1" applyFill="1" applyBorder="1"/>
    <xf numFmtId="178" fontId="0" fillId="0" borderId="44" xfId="0" applyNumberFormat="1" applyFill="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ont="1" applyFill="1" applyBorder="1"/>
    <xf numFmtId="4" fontId="0" fillId="19" borderId="2" xfId="0" applyNumberFormat="1" applyFont="1" applyFill="1" applyBorder="1"/>
    <xf numFmtId="3" fontId="0" fillId="19" borderId="2" xfId="0" applyNumberFormat="1" applyFont="1" applyFill="1" applyBorder="1"/>
    <xf numFmtId="0" fontId="0" fillId="19" borderId="2" xfId="0" applyFont="1" applyFill="1" applyBorder="1"/>
    <xf numFmtId="3" fontId="4" fillId="19" borderId="33" xfId="0" applyNumberFormat="1" applyFont="1" applyFill="1" applyBorder="1"/>
    <xf numFmtId="3" fontId="0" fillId="11" borderId="1" xfId="0" applyNumberFormat="1" applyFont="1" applyFill="1" applyBorder="1"/>
    <xf numFmtId="2" fontId="0" fillId="11" borderId="2" xfId="0" applyNumberFormat="1" applyFill="1" applyBorder="1"/>
    <xf numFmtId="4" fontId="0" fillId="11" borderId="2" xfId="0" applyNumberFormat="1" applyFill="1" applyBorder="1"/>
    <xf numFmtId="3" fontId="4" fillId="11" borderId="33" xfId="0" applyNumberFormat="1" applyFont="1" applyFill="1" applyBorder="1"/>
    <xf numFmtId="3" fontId="0" fillId="10" borderId="1" xfId="0" applyNumberFormat="1" applyFont="1" applyFill="1" applyBorder="1"/>
    <xf numFmtId="2" fontId="0" fillId="10" borderId="2" xfId="0" applyNumberFormat="1" applyFill="1" applyBorder="1"/>
    <xf numFmtId="4" fontId="0" fillId="10" borderId="2" xfId="0" applyNumberFormat="1" applyFill="1" applyBorder="1"/>
    <xf numFmtId="3" fontId="0" fillId="10" borderId="2" xfId="0" applyNumberFormat="1" applyFont="1" applyFill="1" applyBorder="1"/>
    <xf numFmtId="0" fontId="0" fillId="10" borderId="2" xfId="0" applyFont="1" applyFill="1" applyBorder="1"/>
    <xf numFmtId="3" fontId="4" fillId="10" borderId="33" xfId="0" applyNumberFormat="1" applyFont="1" applyFill="1" applyBorder="1"/>
    <xf numFmtId="3" fontId="0" fillId="10" borderId="6" xfId="0" applyNumberFormat="1" applyFont="1" applyFill="1" applyBorder="1"/>
    <xf numFmtId="2" fontId="0" fillId="10" borderId="0" xfId="0" applyNumberFormat="1" applyFill="1" applyBorder="1"/>
    <xf numFmtId="4" fontId="0" fillId="10" borderId="0" xfId="0" applyNumberFormat="1" applyFill="1" applyBorder="1"/>
    <xf numFmtId="3" fontId="0" fillId="10" borderId="0" xfId="0" applyNumberFormat="1" applyFont="1" applyFill="1" applyBorder="1"/>
    <xf numFmtId="0" fontId="0" fillId="10" borderId="0" xfId="0" applyFont="1" applyFill="1" applyBorder="1"/>
    <xf numFmtId="3" fontId="4" fillId="10" borderId="58" xfId="0" applyNumberFormat="1" applyFont="1" applyFill="1" applyBorder="1"/>
    <xf numFmtId="3" fontId="0" fillId="10" borderId="43" xfId="0" applyNumberFormat="1" applyFont="1" applyFill="1" applyBorder="1"/>
    <xf numFmtId="2" fontId="0" fillId="10" borderId="51" xfId="0" applyNumberFormat="1" applyFill="1" applyBorder="1"/>
    <xf numFmtId="4" fontId="0" fillId="10" borderId="51" xfId="0" applyNumberFormat="1" applyFill="1" applyBorder="1"/>
    <xf numFmtId="3" fontId="0" fillId="10" borderId="51" xfId="0" applyNumberFormat="1" applyFont="1" applyFill="1" applyBorder="1"/>
    <xf numFmtId="0" fontId="0" fillId="10" borderId="51" xfId="0" applyFont="1"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ont="1" applyFill="1" applyBorder="1"/>
    <xf numFmtId="3" fontId="0" fillId="14" borderId="2" xfId="0" applyNumberFormat="1" applyFont="1" applyFill="1" applyBorder="1"/>
    <xf numFmtId="0" fontId="0" fillId="14" borderId="2" xfId="0" applyFont="1"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ont="1" applyFill="1" applyBorder="1"/>
    <xf numFmtId="3" fontId="0" fillId="14" borderId="0" xfId="0" applyNumberFormat="1" applyFont="1" applyFill="1" applyBorder="1"/>
    <xf numFmtId="0" fontId="0" fillId="14" borderId="0" xfId="0" applyFont="1" applyFill="1" applyBorder="1"/>
    <xf numFmtId="169" fontId="4" fillId="14" borderId="58" xfId="0" applyNumberFormat="1" applyFont="1" applyFill="1" applyBorder="1"/>
    <xf numFmtId="3" fontId="0" fillId="14" borderId="43" xfId="0" applyNumberFormat="1" applyFill="1" applyBorder="1"/>
    <xf numFmtId="4" fontId="0" fillId="14" borderId="51" xfId="0" applyNumberFormat="1" applyFont="1" applyFill="1" applyBorder="1"/>
    <xf numFmtId="3" fontId="0" fillId="14" borderId="51" xfId="0" applyNumberFormat="1" applyFont="1" applyFill="1" applyBorder="1"/>
    <xf numFmtId="0" fontId="0" fillId="14" borderId="51" xfId="0" applyFont="1"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applyBorder="1"/>
    <xf numFmtId="3" fontId="0" fillId="2" borderId="43" xfId="0" applyNumberFormat="1" applyFill="1" applyBorder="1"/>
    <xf numFmtId="3" fontId="0" fillId="2" borderId="51" xfId="0" applyNumberFormat="1" applyFill="1" applyBorder="1"/>
    <xf numFmtId="0" fontId="0" fillId="2" borderId="51" xfId="0" applyFill="1" applyBorder="1"/>
    <xf numFmtId="3" fontId="0" fillId="14" borderId="1" xfId="0" applyNumberFormat="1" applyFont="1" applyFill="1" applyBorder="1"/>
    <xf numFmtId="2" fontId="0" fillId="14" borderId="2" xfId="0" applyNumberFormat="1" applyFill="1" applyBorder="1"/>
    <xf numFmtId="4" fontId="0" fillId="14" borderId="2" xfId="0" applyNumberFormat="1" applyFill="1" applyBorder="1"/>
    <xf numFmtId="3" fontId="4" fillId="14" borderId="33" xfId="0" applyNumberFormat="1" applyFont="1" applyFill="1" applyBorder="1"/>
    <xf numFmtId="3" fontId="0" fillId="14" borderId="6" xfId="0" applyNumberFormat="1" applyFont="1" applyFill="1" applyBorder="1"/>
    <xf numFmtId="2" fontId="0" fillId="14" borderId="0" xfId="0" applyNumberFormat="1" applyFill="1" applyBorder="1"/>
    <xf numFmtId="4" fontId="0" fillId="14" borderId="0" xfId="0" applyNumberFormat="1" applyFill="1" applyBorder="1"/>
    <xf numFmtId="3" fontId="4" fillId="14" borderId="58" xfId="0" applyNumberFormat="1" applyFont="1" applyFill="1" applyBorder="1"/>
    <xf numFmtId="3" fontId="0" fillId="14" borderId="43" xfId="0" applyNumberFormat="1" applyFont="1" applyFill="1" applyBorder="1"/>
    <xf numFmtId="2" fontId="0" fillId="14" borderId="51" xfId="0" applyNumberFormat="1" applyFill="1" applyBorder="1"/>
    <xf numFmtId="4"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0" borderId="0" xfId="0" applyNumberFormat="1" applyBorder="1"/>
    <xf numFmtId="169" fontId="0" fillId="2" borderId="2" xfId="0" applyNumberFormat="1" applyFill="1" applyBorder="1"/>
    <xf numFmtId="169" fontId="0" fillId="2" borderId="0" xfId="0" applyNumberFormat="1" applyFill="1" applyBorder="1"/>
    <xf numFmtId="169" fontId="0" fillId="2" borderId="51" xfId="0" applyNumberFormat="1" applyFill="1" applyBorder="1"/>
    <xf numFmtId="0" fontId="1" fillId="0" borderId="1" xfId="0" applyFont="1" applyBorder="1" applyAlignment="1">
      <alignment horizontal="center" vertical="center"/>
    </xf>
    <xf numFmtId="0" fontId="1" fillId="0" borderId="53" xfId="0" applyFont="1" applyBorder="1" applyAlignment="1">
      <alignment horizontal="center" vertical="center"/>
    </xf>
    <xf numFmtId="178" fontId="0" fillId="0" borderId="6" xfId="0" applyNumberFormat="1" applyFill="1" applyBorder="1"/>
    <xf numFmtId="177" fontId="0" fillId="0" borderId="0"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applyBorder="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41" fontId="7" fillId="0" borderId="0"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0" fillId="0" borderId="51" xfId="0" applyBorder="1" applyAlignment="1">
      <alignment horizontal="center"/>
    </xf>
    <xf numFmtId="0" fontId="1" fillId="0" borderId="58" xfId="0" applyFont="1" applyBorder="1" applyAlignment="1">
      <alignment horizontal="center" vertical="center" wrapText="1"/>
    </xf>
    <xf numFmtId="0" fontId="72" fillId="0" borderId="0" xfId="0" applyFont="1"/>
    <xf numFmtId="0" fontId="22" fillId="0" borderId="54" xfId="0" applyFont="1" applyFill="1" applyBorder="1" applyAlignment="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applyBorder="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9" fontId="23" fillId="23" borderId="0" xfId="0" applyNumberFormat="1" applyFont="1" applyFill="1" applyBorder="1"/>
    <xf numFmtId="1" fontId="21" fillId="23" borderId="58" xfId="0" applyNumberFormat="1" applyFont="1" applyFill="1" applyBorder="1"/>
    <xf numFmtId="0" fontId="21" fillId="23" borderId="0" xfId="0" applyFont="1" applyFill="1" applyBorder="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2" fontId="4" fillId="0" borderId="0" xfId="0" applyNumberFormat="1" applyFont="1" applyBorder="1"/>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2" fontId="1" fillId="0" borderId="0" xfId="0" applyNumberFormat="1" applyFont="1"/>
    <xf numFmtId="9" fontId="1" fillId="0" borderId="58"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170" fontId="0" fillId="0" borderId="0" xfId="0" applyNumberFormat="1" applyFill="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Border="1" applyAlignment="1">
      <alignment horizontal="center" vertical="center" wrapText="1"/>
    </xf>
    <xf numFmtId="166" fontId="0" fillId="25" borderId="70" xfId="6" applyNumberFormat="1" applyFont="1"/>
    <xf numFmtId="0" fontId="74" fillId="24" borderId="69" xfId="5"/>
    <xf numFmtId="0" fontId="0" fillId="0" borderId="0" xfId="0" quotePrefix="1"/>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0" fontId="0" fillId="0" borderId="58" xfId="0" applyFill="1" applyBorder="1"/>
    <xf numFmtId="164" fontId="0" fillId="0" borderId="58" xfId="0" applyNumberFormat="1" applyFill="1" applyBorder="1"/>
    <xf numFmtId="2" fontId="0" fillId="0" borderId="58" xfId="0" applyNumberFormat="1" applyFill="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applyFill="1" applyBorder="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6" xfId="0" applyFont="1" applyBorder="1" applyAlignment="1">
      <alignment horizontal="center"/>
    </xf>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0" fontId="0" fillId="0" borderId="2" xfId="0" applyBorder="1" applyAlignment="1">
      <alignment horizontal="center"/>
    </xf>
    <xf numFmtId="41" fontId="4" fillId="0" borderId="1" xfId="0" applyNumberFormat="1" applyFont="1" applyBorder="1"/>
    <xf numFmtId="1" fontId="1" fillId="0" borderId="0" xfId="0" applyNumberFormat="1" applyFont="1" applyAlignment="1">
      <alignment horizontal="right" vertical="center"/>
    </xf>
    <xf numFmtId="9" fontId="7" fillId="0" borderId="0" xfId="0" applyNumberFormat="1" applyFont="1"/>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0" fontId="21" fillId="0" borderId="0" xfId="0" applyFont="1"/>
    <xf numFmtId="0" fontId="1" fillId="0" borderId="0" xfId="0" applyFont="1" applyAlignment="1">
      <alignment horizontal="center"/>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9" fontId="1" fillId="0" borderId="0" xfId="0" applyNumberFormat="1" applyFont="1"/>
    <xf numFmtId="41" fontId="1" fillId="0" borderId="0" xfId="0" applyNumberFormat="1" applyFont="1"/>
    <xf numFmtId="173" fontId="1" fillId="0" borderId="0" xfId="0" applyNumberFormat="1" applyFont="1"/>
    <xf numFmtId="173" fontId="1" fillId="0" borderId="58" xfId="0" applyNumberFormat="1" applyFont="1" applyBorder="1"/>
    <xf numFmtId="178" fontId="1" fillId="0" borderId="6" xfId="0" applyNumberFormat="1" applyFont="1" applyBorder="1"/>
    <xf numFmtId="178" fontId="1" fillId="0" borderId="0" xfId="0" applyNumberFormat="1" applyFont="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9" fontId="21" fillId="0" borderId="0" xfId="0" applyNumberFormat="1" applyFont="1"/>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9" fontId="38" fillId="0" borderId="0" xfId="0" applyNumberFormat="1" applyFont="1"/>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0" fillId="0" borderId="0" xfId="0" applyNumberFormat="1" applyFont="1" applyFill="1"/>
    <xf numFmtId="9" fontId="38" fillId="0" borderId="0" xfId="0" applyNumberFormat="1" applyFont="1" applyFill="1" applyBorder="1"/>
    <xf numFmtId="2" fontId="0" fillId="0" borderId="0" xfId="0" applyNumberFormat="1" applyFont="1" applyFill="1" applyBorder="1"/>
    <xf numFmtId="3" fontId="33" fillId="0" borderId="0" xfId="0" applyNumberFormat="1" applyFont="1" applyFill="1" applyBorder="1"/>
    <xf numFmtId="3" fontId="0" fillId="0" borderId="0" xfId="0" applyNumberFormat="1" applyFill="1" applyBorder="1"/>
    <xf numFmtId="0" fontId="39" fillId="0" borderId="0" xfId="0" applyFont="1" applyFill="1" applyBorder="1"/>
    <xf numFmtId="172" fontId="0" fillId="0" borderId="0" xfId="0" applyNumberFormat="1" applyFill="1" applyBorder="1" applyAlignment="1">
      <alignment horizontal="right" vertical="center"/>
    </xf>
    <xf numFmtId="172" fontId="34" fillId="0" borderId="0" xfId="0" applyNumberFormat="1" applyFont="1" applyFill="1" applyBorder="1" applyAlignment="1">
      <alignment horizontal="right" vertical="center"/>
    </xf>
    <xf numFmtId="9" fontId="0" fillId="0" borderId="0" xfId="0" applyNumberFormat="1" applyFill="1" applyBorder="1" applyAlignment="1">
      <alignment horizontal="right" vertical="center"/>
    </xf>
    <xf numFmtId="2" fontId="22" fillId="0" borderId="0" xfId="0" applyNumberFormat="1" applyFont="1" applyFill="1" applyBorder="1" applyAlignment="1">
      <alignment horizontal="center"/>
    </xf>
    <xf numFmtId="0" fontId="10" fillId="0" borderId="0" xfId="0" applyFont="1" applyFill="1" applyBorder="1" applyAlignment="1">
      <alignment horizontal="center" vertical="center" wrapText="1"/>
    </xf>
    <xf numFmtId="2" fontId="4" fillId="0" borderId="0" xfId="0" applyNumberFormat="1" applyFont="1" applyFill="1" applyBorder="1"/>
    <xf numFmtId="2" fontId="23" fillId="0" borderId="0" xfId="0" applyNumberFormat="1" applyFont="1" applyFill="1" applyBorder="1"/>
    <xf numFmtId="10" fontId="0" fillId="0" borderId="0" xfId="0" applyNumberFormat="1" applyFill="1" applyBorder="1"/>
    <xf numFmtId="172" fontId="0" fillId="0" borderId="0" xfId="0" applyNumberFormat="1" applyFill="1" applyBorder="1"/>
    <xf numFmtId="3" fontId="40" fillId="0" borderId="0" xfId="0" applyNumberFormat="1" applyFont="1" applyFill="1" applyBorder="1"/>
    <xf numFmtId="172" fontId="34" fillId="0" borderId="0" xfId="0" applyNumberFormat="1" applyFont="1" applyBorder="1" applyAlignment="1">
      <alignment horizontal="right" vertical="center"/>
    </xf>
    <xf numFmtId="9" fontId="0" fillId="0" borderId="0" xfId="0" applyNumberFormat="1" applyFont="1" applyBorder="1" applyAlignment="1">
      <alignment horizontal="right" vertical="center"/>
    </xf>
    <xf numFmtId="172" fontId="0" fillId="0" borderId="0" xfId="0" applyNumberFormat="1" applyBorder="1" applyAlignment="1">
      <alignment horizontal="right" vertical="center"/>
    </xf>
    <xf numFmtId="172" fontId="0" fillId="0" borderId="0" xfId="0" applyNumberFormat="1" applyFont="1" applyFill="1" applyBorder="1" applyAlignment="1">
      <alignment horizontal="right" vertical="center"/>
    </xf>
    <xf numFmtId="43" fontId="0" fillId="0" borderId="0" xfId="0" applyNumberFormat="1" applyFont="1" applyFill="1"/>
    <xf numFmtId="0" fontId="22" fillId="4" borderId="13" xfId="0" applyFont="1" applyFill="1" applyBorder="1" applyAlignment="1">
      <alignment horizontal="center" vertical="center"/>
    </xf>
    <xf numFmtId="173" fontId="4" fillId="0" borderId="0" xfId="0" applyNumberFormat="1" applyFont="1" applyBorder="1"/>
    <xf numFmtId="173" fontId="1" fillId="0" borderId="0" xfId="0" applyNumberFormat="1" applyFont="1" applyBorder="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4" fillId="0" borderId="1" xfId="0" applyFont="1" applyBorder="1" applyAlignment="1">
      <alignment horizontal="center" vertical="center"/>
    </xf>
    <xf numFmtId="0" fontId="1" fillId="0" borderId="43" xfId="0" applyFont="1" applyBorder="1" applyAlignment="1">
      <alignment horizontal="right" vertical="center"/>
    </xf>
    <xf numFmtId="178" fontId="7" fillId="0" borderId="0" xfId="0" applyNumberFormat="1" applyFont="1" applyBorder="1"/>
    <xf numFmtId="170" fontId="7" fillId="0" borderId="0" xfId="0" applyNumberFormat="1" applyFont="1" applyBorder="1"/>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0" fillId="0" borderId="51" xfId="0" applyNumberFormat="1" applyFill="1" applyBorder="1"/>
    <xf numFmtId="2" fontId="1" fillId="0" borderId="51" xfId="0" applyNumberFormat="1" applyFont="1" applyFill="1" applyBorder="1"/>
    <xf numFmtId="2" fontId="1" fillId="20" borderId="0" xfId="0" applyNumberFormat="1" applyFont="1" applyFill="1" applyBorder="1"/>
    <xf numFmtId="178" fontId="0" fillId="0" borderId="2" xfId="0" applyNumberFormat="1" applyFill="1" applyBorder="1"/>
    <xf numFmtId="2" fontId="1" fillId="20" borderId="2" xfId="0" applyNumberFormat="1" applyFont="1" applyFill="1" applyBorder="1"/>
    <xf numFmtId="2" fontId="1" fillId="20" borderId="51" xfId="0" applyNumberFormat="1" applyFont="1" applyFill="1" applyBorder="1"/>
    <xf numFmtId="2" fontId="0" fillId="0" borderId="2" xfId="0" applyNumberFormat="1" applyFill="1" applyBorder="1"/>
    <xf numFmtId="2" fontId="1" fillId="0" borderId="33" xfId="0" applyNumberFormat="1" applyFont="1" applyFill="1" applyBorder="1"/>
    <xf numFmtId="2" fontId="1" fillId="0" borderId="58" xfId="0" applyNumberFormat="1" applyFont="1" applyFill="1" applyBorder="1"/>
    <xf numFmtId="2" fontId="1" fillId="0" borderId="44" xfId="0" applyNumberFormat="1" applyFont="1" applyFill="1" applyBorder="1"/>
    <xf numFmtId="164" fontId="0" fillId="0" borderId="2" xfId="0" applyNumberFormat="1" applyFill="1" applyBorder="1"/>
    <xf numFmtId="164" fontId="1" fillId="0" borderId="33" xfId="0" applyNumberFormat="1" applyFont="1" applyFill="1" applyBorder="1"/>
    <xf numFmtId="164" fontId="1" fillId="0" borderId="58" xfId="0" applyNumberFormat="1" applyFont="1" applyFill="1" applyBorder="1"/>
    <xf numFmtId="164" fontId="0" fillId="0" borderId="51" xfId="0" applyNumberFormat="1" applyFill="1" applyBorder="1"/>
    <xf numFmtId="164" fontId="1" fillId="0" borderId="44" xfId="0" applyNumberFormat="1" applyFont="1" applyFill="1" applyBorder="1"/>
    <xf numFmtId="11" fontId="0" fillId="0" borderId="0" xfId="0" applyNumberFormat="1"/>
    <xf numFmtId="11" fontId="0" fillId="0" borderId="0" xfId="0" applyNumberFormat="1" applyFill="1" applyBorder="1"/>
    <xf numFmtId="11" fontId="0" fillId="0" borderId="0" xfId="0" applyNumberFormat="1" applyBorder="1"/>
    <xf numFmtId="11" fontId="0" fillId="0" borderId="0" xfId="0" applyNumberFormat="1" applyFill="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9" fontId="38" fillId="0" borderId="0" xfId="0" applyNumberFormat="1" applyFont="1" applyFill="1"/>
    <xf numFmtId="3" fontId="40" fillId="0" borderId="0" xfId="0" applyNumberFormat="1" applyFont="1" applyFill="1"/>
    <xf numFmtId="184" fontId="32" fillId="0" borderId="0" xfId="0" applyNumberFormat="1" applyFont="1" applyFill="1"/>
    <xf numFmtId="174" fontId="0" fillId="0" borderId="0" xfId="0" applyNumberFormat="1"/>
    <xf numFmtId="41" fontId="4" fillId="0" borderId="0" xfId="0" applyNumberFormat="1" applyFont="1" applyBorder="1"/>
    <xf numFmtId="187" fontId="0" fillId="0" borderId="0" xfId="0" applyNumberFormat="1"/>
    <xf numFmtId="0" fontId="4" fillId="0" borderId="0" xfId="0" applyFont="1" applyBorder="1"/>
    <xf numFmtId="170" fontId="4" fillId="0" borderId="0" xfId="0" applyNumberFormat="1" applyFont="1" applyBorder="1"/>
    <xf numFmtId="164" fontId="4" fillId="0" borderId="0" xfId="0" applyNumberFormat="1" applyFont="1" applyBorder="1"/>
    <xf numFmtId="186" fontId="0" fillId="0" borderId="0" xfId="0" applyNumberFormat="1" applyBorder="1"/>
    <xf numFmtId="171" fontId="4" fillId="0" borderId="0" xfId="0" applyNumberFormat="1" applyFont="1" applyBorder="1"/>
    <xf numFmtId="168" fontId="67" fillId="0" borderId="0" xfId="0" applyNumberFormat="1" applyFont="1"/>
    <xf numFmtId="2" fontId="0" fillId="0" borderId="45" xfId="0" applyNumberFormat="1" applyFont="1" applyBorder="1" applyAlignment="1">
      <alignment horizontal="center"/>
    </xf>
    <xf numFmtId="9" fontId="3" fillId="0" borderId="73" xfId="1" applyNumberFormat="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Font="1" applyBorder="1"/>
    <xf numFmtId="0" fontId="4" fillId="0" borderId="0" xfId="0" applyFont="1" applyFill="1" applyBorder="1" applyAlignment="1">
      <alignment horizontal="center"/>
    </xf>
    <xf numFmtId="10" fontId="1" fillId="0" borderId="0" xfId="0" applyNumberFormat="1" applyFont="1"/>
    <xf numFmtId="0" fontId="21" fillId="0" borderId="0" xfId="0" applyNumberFormat="1" applyFont="1" applyFill="1" applyBorder="1"/>
    <xf numFmtId="2" fontId="7" fillId="0" borderId="0" xfId="0" applyNumberFormat="1" applyFont="1" applyBorder="1" applyAlignment="1">
      <alignment horizontal="center"/>
    </xf>
    <xf numFmtId="41" fontId="7" fillId="0" borderId="0" xfId="0" applyNumberFormat="1" applyFont="1" applyBorder="1" applyAlignment="1">
      <alignment horizontal="center"/>
    </xf>
    <xf numFmtId="41" fontId="37" fillId="0" borderId="0" xfId="0" applyNumberFormat="1" applyFont="1" applyBorder="1" applyAlignment="1">
      <alignment horizontal="center"/>
    </xf>
    <xf numFmtId="41" fontId="7" fillId="0" borderId="0" xfId="0" applyNumberFormat="1" applyFont="1" applyAlignment="1">
      <alignment horizontal="center"/>
    </xf>
    <xf numFmtId="2" fontId="4" fillId="0" borderId="0" xfId="0" applyNumberFormat="1" applyFont="1" applyBorder="1" applyAlignment="1">
      <alignment horizontal="center"/>
    </xf>
    <xf numFmtId="2" fontId="0" fillId="0" borderId="0" xfId="0" applyNumberFormat="1" applyBorder="1" applyAlignment="1">
      <alignment horizontal="center"/>
    </xf>
    <xf numFmtId="43" fontId="0" fillId="0" borderId="0" xfId="0" applyNumberFormat="1" applyBorder="1" applyAlignment="1">
      <alignment horizontal="center"/>
    </xf>
    <xf numFmtId="2" fontId="4" fillId="0" borderId="0" xfId="0" applyNumberFormat="1" applyFont="1" applyBorder="1" applyAlignment="1">
      <alignment horizontal="center" vertical="center"/>
    </xf>
    <xf numFmtId="2" fontId="0" fillId="0" borderId="0" xfId="0" applyNumberFormat="1" applyBorder="1" applyAlignment="1">
      <alignment horizontal="center" vertical="center"/>
    </xf>
    <xf numFmtId="41" fontId="37" fillId="0" borderId="0" xfId="0" applyNumberFormat="1" applyFont="1" applyBorder="1" applyAlignment="1">
      <alignment horizontal="center" vertical="center"/>
    </xf>
    <xf numFmtId="2" fontId="7" fillId="0" borderId="0" xfId="0" applyNumberFormat="1" applyFont="1" applyBorder="1" applyAlignment="1">
      <alignment horizontal="center" vertical="center"/>
    </xf>
    <xf numFmtId="0" fontId="7" fillId="0" borderId="0" xfId="0" applyFont="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0" fontId="4" fillId="0" borderId="0" xfId="0" applyFont="1" applyFill="1"/>
    <xf numFmtId="1" fontId="4" fillId="0" borderId="0" xfId="0" applyNumberFormat="1" applyFont="1" applyFill="1"/>
    <xf numFmtId="170" fontId="4" fillId="0" borderId="0" xfId="0" applyNumberFormat="1" applyFont="1" applyFill="1"/>
    <xf numFmtId="164" fontId="4" fillId="0" borderId="0" xfId="0" applyNumberFormat="1" applyFont="1" applyFill="1"/>
    <xf numFmtId="2" fontId="4" fillId="0" borderId="0" xfId="0" applyNumberFormat="1" applyFont="1" applyFill="1"/>
    <xf numFmtId="41" fontId="4" fillId="0" borderId="0" xfId="0" applyNumberFormat="1" applyFont="1" applyFill="1"/>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Fill="1" applyBorder="1"/>
    <xf numFmtId="0" fontId="1" fillId="0" borderId="2" xfId="0" applyFont="1" applyBorder="1" applyAlignment="1">
      <alignment horizontal="center" vertical="center"/>
    </xf>
    <xf numFmtId="0" fontId="22" fillId="0" borderId="1" xfId="0" applyFont="1" applyFill="1" applyBorder="1" applyAlignment="1">
      <alignment horizontal="left"/>
    </xf>
    <xf numFmtId="10" fontId="22" fillId="0" borderId="6" xfId="0" applyNumberFormat="1" applyFont="1" applyFill="1" applyBorder="1" applyAlignment="1">
      <alignment horizontal="left"/>
    </xf>
    <xf numFmtId="0" fontId="22" fillId="0" borderId="6" xfId="0" applyFont="1" applyFill="1" applyBorder="1" applyAlignment="1">
      <alignment horizontal="left"/>
    </xf>
    <xf numFmtId="0" fontId="22" fillId="0" borderId="43" xfId="0" applyFont="1" applyFill="1" applyBorder="1" applyAlignment="1">
      <alignment horizontal="left"/>
    </xf>
    <xf numFmtId="173" fontId="0" fillId="0" borderId="0" xfId="0" applyNumberFormat="1" applyFill="1" applyBorder="1"/>
    <xf numFmtId="0" fontId="0" fillId="0" borderId="44" xfId="0" applyFont="1" applyBorder="1"/>
    <xf numFmtId="173" fontId="0" fillId="0" borderId="0" xfId="0" applyNumberFormat="1" applyFont="1"/>
    <xf numFmtId="173" fontId="0" fillId="0" borderId="0" xfId="0" applyNumberFormat="1" applyFont="1" applyFill="1" applyBorder="1"/>
    <xf numFmtId="9" fontId="0" fillId="0" borderId="0" xfId="0" applyNumberFormat="1" applyFont="1"/>
    <xf numFmtId="9" fontId="0" fillId="0" borderId="0" xfId="0" applyNumberFormat="1" applyFont="1" applyFill="1" applyBorder="1"/>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ont="1" applyFill="1" applyBorder="1" applyAlignment="1">
      <alignment horizontal="center" wrapText="1"/>
    </xf>
    <xf numFmtId="9" fontId="0" fillId="0" borderId="1" xfId="0" applyNumberFormat="1" applyFont="1" applyBorder="1"/>
    <xf numFmtId="9" fontId="0" fillId="0" borderId="6" xfId="0" applyNumberFormat="1" applyFont="1" applyBorder="1"/>
    <xf numFmtId="9" fontId="0" fillId="0" borderId="6" xfId="0" applyNumberFormat="1" applyFont="1" applyFill="1" applyBorder="1"/>
    <xf numFmtId="9" fontId="0" fillId="0" borderId="43" xfId="0" applyNumberFormat="1" applyFont="1" applyFill="1" applyBorder="1"/>
    <xf numFmtId="9" fontId="0" fillId="0" borderId="53" xfId="0" applyNumberFormat="1" applyFont="1" applyBorder="1"/>
    <xf numFmtId="9" fontId="0" fillId="0" borderId="52" xfId="0" applyNumberFormat="1" applyFont="1" applyBorder="1"/>
    <xf numFmtId="9" fontId="0" fillId="0" borderId="52" xfId="0" applyNumberFormat="1" applyFont="1" applyFill="1" applyBorder="1"/>
    <xf numFmtId="9" fontId="0" fillId="0" borderId="56" xfId="0" applyNumberFormat="1" applyFont="1" applyFill="1" applyBorder="1"/>
    <xf numFmtId="0" fontId="1" fillId="11" borderId="59" xfId="0" applyFont="1" applyFill="1" applyBorder="1" applyAlignment="1">
      <alignment horizontal="center" vertical="center"/>
    </xf>
    <xf numFmtId="0" fontId="1" fillId="11" borderId="17" xfId="0" applyFont="1" applyFill="1" applyBorder="1" applyAlignment="1">
      <alignment horizontal="center" vertical="center"/>
    </xf>
    <xf numFmtId="0" fontId="22" fillId="5" borderId="3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178" fontId="0" fillId="0" borderId="1" xfId="0" applyNumberFormat="1" applyFill="1" applyBorder="1"/>
    <xf numFmtId="178" fontId="0" fillId="0" borderId="43" xfId="0" applyNumberFormat="1" applyFill="1" applyBorder="1"/>
    <xf numFmtId="178" fontId="0" fillId="0" borderId="51" xfId="0" applyNumberFormat="1" applyFill="1" applyBorder="1"/>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Fill="1" applyBorder="1"/>
    <xf numFmtId="180" fontId="0" fillId="0" borderId="58" xfId="0" applyNumberFormat="1" applyFill="1" applyBorder="1"/>
    <xf numFmtId="180" fontId="0" fillId="0" borderId="44" xfId="0" applyNumberFormat="1" applyFill="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Border="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applyBorder="1"/>
    <xf numFmtId="188" fontId="0" fillId="0" borderId="43" xfId="0" applyNumberFormat="1" applyBorder="1"/>
    <xf numFmtId="188" fontId="0" fillId="0" borderId="51" xfId="0" applyNumberFormat="1" applyBorder="1"/>
    <xf numFmtId="178" fontId="0" fillId="0" borderId="2" xfId="0" applyNumberFormat="1" applyFont="1" applyBorder="1"/>
    <xf numFmtId="177" fontId="0" fillId="0" borderId="2" xfId="0" applyNumberFormat="1" applyFont="1" applyBorder="1"/>
    <xf numFmtId="178" fontId="0" fillId="0" borderId="33" xfId="0" applyNumberFormat="1" applyFont="1" applyBorder="1"/>
    <xf numFmtId="9" fontId="0" fillId="0" borderId="0" xfId="0" applyNumberFormat="1" applyFont="1" applyBorder="1"/>
    <xf numFmtId="173" fontId="7" fillId="0" borderId="2" xfId="0" applyNumberFormat="1" applyFont="1" applyBorder="1"/>
    <xf numFmtId="170" fontId="0" fillId="0" borderId="0" xfId="0" applyNumberFormat="1" applyFont="1" applyFill="1" applyBorder="1"/>
    <xf numFmtId="41" fontId="0" fillId="0" borderId="0" xfId="0" applyNumberFormat="1" applyFont="1" applyFill="1" applyBorder="1"/>
    <xf numFmtId="178" fontId="0" fillId="0" borderId="6" xfId="0" applyNumberFormat="1" applyFont="1" applyBorder="1"/>
    <xf numFmtId="178" fontId="0" fillId="0" borderId="0" xfId="0" applyNumberFormat="1" applyFont="1" applyBorder="1"/>
    <xf numFmtId="177" fontId="0" fillId="0" borderId="0" xfId="0" applyNumberFormat="1" applyFont="1" applyFill="1" applyBorder="1"/>
    <xf numFmtId="178" fontId="0" fillId="0" borderId="58" xfId="0" applyNumberFormat="1" applyFont="1" applyBorder="1"/>
    <xf numFmtId="178" fontId="0" fillId="0" borderId="0" xfId="0" applyNumberFormat="1" applyFont="1"/>
    <xf numFmtId="177" fontId="0" fillId="0" borderId="0" xfId="0" applyNumberFormat="1" applyFont="1" applyBorder="1"/>
    <xf numFmtId="173" fontId="7" fillId="0" borderId="0" xfId="0" applyNumberFormat="1" applyFont="1" applyBorder="1"/>
    <xf numFmtId="170" fontId="0" fillId="0" borderId="51" xfId="0" applyNumberFormat="1" applyFont="1" applyFill="1" applyBorder="1"/>
    <xf numFmtId="41" fontId="0" fillId="0" borderId="51" xfId="0" applyNumberFormat="1" applyFont="1" applyFill="1" applyBorder="1"/>
    <xf numFmtId="178" fontId="0" fillId="0" borderId="43" xfId="0" applyNumberFormat="1" applyFont="1" applyBorder="1"/>
    <xf numFmtId="178" fontId="0" fillId="0" borderId="51" xfId="0" applyNumberFormat="1" applyFont="1" applyBorder="1"/>
    <xf numFmtId="177" fontId="0" fillId="0" borderId="51" xfId="0" applyNumberFormat="1" applyFont="1" applyFill="1" applyBorder="1"/>
    <xf numFmtId="178" fontId="0" fillId="0" borderId="44" xfId="0" applyNumberFormat="1" applyFont="1" applyBorder="1"/>
    <xf numFmtId="9" fontId="0" fillId="0" borderId="51" xfId="0" applyNumberFormat="1" applyFont="1" applyBorder="1"/>
    <xf numFmtId="9" fontId="0" fillId="0" borderId="43" xfId="0" applyNumberFormat="1" applyFont="1" applyBorder="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applyBorder="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0"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0" fontId="0" fillId="0" borderId="58" xfId="0" applyNumberFormat="1" applyFont="1" applyFill="1" applyBorder="1"/>
    <xf numFmtId="9" fontId="0" fillId="0" borderId="2" xfId="0" applyNumberFormat="1" applyFont="1" applyBorder="1"/>
    <xf numFmtId="9" fontId="0" fillId="0" borderId="33" xfId="0" applyNumberFormat="1" applyFont="1" applyBorder="1"/>
    <xf numFmtId="185" fontId="0" fillId="0" borderId="33" xfId="0" applyNumberFormat="1" applyFont="1" applyBorder="1"/>
    <xf numFmtId="178" fontId="7" fillId="0" borderId="0" xfId="0" applyNumberFormat="1" applyFont="1" applyBorder="1" applyAlignment="1">
      <alignment horizontal="center"/>
    </xf>
    <xf numFmtId="173" fontId="7" fillId="0" borderId="58" xfId="0" applyNumberFormat="1" applyFont="1" applyBorder="1"/>
    <xf numFmtId="9" fontId="0" fillId="0" borderId="58" xfId="0" applyNumberFormat="1" applyFont="1" applyBorder="1"/>
    <xf numFmtId="43" fontId="0" fillId="0" borderId="0" xfId="0" applyNumberFormat="1" applyFont="1" applyBorder="1"/>
    <xf numFmtId="185" fontId="0"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180" fontId="0" fillId="0" borderId="44" xfId="0" applyNumberFormat="1" applyFont="1" applyFill="1" applyBorder="1"/>
    <xf numFmtId="9" fontId="0" fillId="0" borderId="44" xfId="0" applyNumberFormat="1" applyFont="1" applyBorder="1"/>
    <xf numFmtId="185" fontId="0" fillId="0" borderId="44" xfId="0" applyNumberFormat="1" applyFont="1" applyBorder="1"/>
    <xf numFmtId="43" fontId="0" fillId="0" borderId="0" xfId="0" applyNumberFormat="1" applyFont="1" applyFill="1" applyBorder="1"/>
    <xf numFmtId="41" fontId="0" fillId="0" borderId="0" xfId="0" applyNumberFormat="1" applyFont="1" applyBorder="1"/>
    <xf numFmtId="170" fontId="0" fillId="0" borderId="0" xfId="0" applyNumberFormat="1" applyFont="1" applyBorder="1"/>
    <xf numFmtId="41" fontId="0" fillId="0" borderId="58" xfId="0" applyNumberFormat="1" applyFont="1" applyBorder="1"/>
    <xf numFmtId="180" fontId="0" fillId="0" borderId="33" xfId="0" applyNumberFormat="1" applyFont="1" applyFill="1" applyBorder="1"/>
    <xf numFmtId="178" fontId="0" fillId="0" borderId="58" xfId="0" applyNumberFormat="1" applyFont="1" applyFill="1" applyBorder="1"/>
    <xf numFmtId="188" fontId="0" fillId="0" borderId="6" xfId="0" applyNumberFormat="1" applyFont="1" applyBorder="1"/>
    <xf numFmtId="188" fontId="0" fillId="0" borderId="0" xfId="0" applyNumberFormat="1" applyFont="1" applyBorder="1"/>
    <xf numFmtId="178" fontId="0" fillId="0" borderId="0" xfId="0" applyNumberFormat="1" applyFont="1" applyFill="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1" fontId="0" fillId="0" borderId="6" xfId="0" applyNumberFormat="1" applyFont="1" applyBorder="1"/>
    <xf numFmtId="0" fontId="0" fillId="0" borderId="43" xfId="0" applyFont="1" applyBorder="1"/>
    <xf numFmtId="170" fontId="0" fillId="0" borderId="51" xfId="0" applyNumberFormat="1" applyFont="1" applyBorder="1"/>
    <xf numFmtId="41" fontId="0" fillId="0" borderId="51" xfId="0" applyNumberFormat="1" applyFon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Fill="1" applyBorder="1"/>
    <xf numFmtId="41" fontId="21" fillId="0" borderId="33" xfId="0" applyNumberFormat="1" applyFont="1" applyFill="1" applyBorder="1"/>
    <xf numFmtId="41" fontId="21" fillId="0" borderId="0" xfId="0" applyNumberFormat="1" applyFont="1" applyFill="1" applyBorder="1"/>
    <xf numFmtId="41" fontId="21" fillId="0" borderId="58" xfId="0" applyNumberFormat="1" applyFont="1" applyFill="1" applyBorder="1"/>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3" fontId="0" fillId="5" borderId="1" xfId="0" applyNumberFormat="1" applyFill="1" applyBorder="1"/>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applyBorder="1"/>
    <xf numFmtId="169" fontId="0" fillId="21" borderId="0" xfId="0" applyNumberFormat="1" applyFill="1" applyBorder="1"/>
    <xf numFmtId="0" fontId="0" fillId="21" borderId="0" xfId="0" applyFill="1" applyBorder="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74" fontId="1" fillId="0" borderId="0" xfId="0" applyNumberFormat="1" applyFont="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9" fontId="0" fillId="0" borderId="53" xfId="0" applyNumberFormat="1" applyBorder="1"/>
    <xf numFmtId="0" fontId="1" fillId="0" borderId="2" xfId="0" applyFont="1" applyBorder="1" applyAlignment="1">
      <alignment horizontal="center" vertical="center"/>
    </xf>
    <xf numFmtId="0" fontId="1" fillId="11" borderId="59" xfId="0" applyFont="1" applyFill="1" applyBorder="1" applyAlignment="1">
      <alignment horizontal="center" vertical="center" wrapText="1"/>
    </xf>
    <xf numFmtId="0" fontId="1" fillId="0" borderId="2" xfId="0" applyFont="1" applyBorder="1" applyAlignment="1">
      <alignment horizontal="center" vertical="center"/>
    </xf>
    <xf numFmtId="189" fontId="21" fillId="0" borderId="0" xfId="0" applyNumberFormat="1" applyFont="1" applyFill="1" applyBorder="1"/>
    <xf numFmtId="0" fontId="22" fillId="5" borderId="35" xfId="0" applyFont="1" applyFill="1" applyBorder="1" applyAlignment="1">
      <alignment horizontal="center" vertical="center" wrapText="1"/>
    </xf>
    <xf numFmtId="188" fontId="0" fillId="0" borderId="1" xfId="0" applyNumberFormat="1" applyFont="1" applyBorder="1"/>
    <xf numFmtId="188" fontId="0" fillId="0" borderId="2" xfId="0" applyNumberFormat="1" applyFont="1" applyBorder="1"/>
    <xf numFmtId="188" fontId="0" fillId="0" borderId="43" xfId="0" applyNumberFormat="1" applyFont="1" applyBorder="1"/>
    <xf numFmtId="188" fontId="0" fillId="0" borderId="51" xfId="0" applyNumberFormat="1" applyFon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Fill="1" applyBorder="1" applyAlignment="1" applyProtection="1">
      <alignment horizontal="right"/>
      <protection locked="0"/>
    </xf>
    <xf numFmtId="41" fontId="21" fillId="0" borderId="6" xfId="0" applyNumberFormat="1" applyFont="1" applyFill="1" applyBorder="1" applyAlignment="1" applyProtection="1">
      <alignment horizontal="right"/>
      <protection locked="0"/>
    </xf>
    <xf numFmtId="178" fontId="0" fillId="18" borderId="6" xfId="0" applyNumberFormat="1" applyFill="1" applyBorder="1"/>
    <xf numFmtId="177" fontId="0" fillId="25" borderId="76" xfId="6" applyNumberFormat="1" applyFont="1" applyBorder="1"/>
    <xf numFmtId="177" fontId="0" fillId="25" borderId="70" xfId="6" applyNumberFormat="1" applyFont="1" applyBorder="1"/>
    <xf numFmtId="178" fontId="21" fillId="25" borderId="70" xfId="6" applyNumberFormat="1" applyFont="1" applyBorder="1"/>
    <xf numFmtId="177" fontId="0" fillId="25" borderId="77" xfId="6" applyNumberFormat="1" applyFont="1" applyBorder="1"/>
    <xf numFmtId="177" fontId="0" fillId="25" borderId="78" xfId="6" applyNumberFormat="1" applyFont="1" applyBorder="1"/>
    <xf numFmtId="178" fontId="21" fillId="25" borderId="78" xfId="6" applyNumberFormat="1" applyFont="1" applyBorder="1"/>
    <xf numFmtId="177" fontId="0" fillId="25" borderId="79" xfId="6" applyNumberFormat="1" applyFont="1" applyBorder="1"/>
    <xf numFmtId="177" fontId="0" fillId="25" borderId="80" xfId="6" applyNumberFormat="1" applyFont="1" applyBorder="1"/>
    <xf numFmtId="178" fontId="21" fillId="25" borderId="80" xfId="6" applyNumberFormat="1" applyFont="1" applyBorder="1"/>
    <xf numFmtId="0" fontId="23" fillId="18" borderId="1" xfId="0" applyFont="1" applyFill="1" applyBorder="1"/>
    <xf numFmtId="178" fontId="0" fillId="18" borderId="1" xfId="0" applyNumberForma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applyBorder="1"/>
    <xf numFmtId="41" fontId="24" fillId="18" borderId="0" xfId="0" applyNumberFormat="1" applyFont="1" applyFill="1" applyBorder="1" applyProtection="1">
      <protection locked="0"/>
    </xf>
    <xf numFmtId="43" fontId="23" fillId="18" borderId="0" xfId="0" applyNumberFormat="1" applyFont="1" applyFill="1" applyBorder="1"/>
    <xf numFmtId="0" fontId="23" fillId="18" borderId="43" xfId="0" applyFont="1" applyFill="1" applyBorder="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0"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1" fontId="0" fillId="0" borderId="33" xfId="0" applyNumberFormat="1" applyBorder="1"/>
    <xf numFmtId="9" fontId="0" fillId="0" borderId="0" xfId="1" applyFont="1"/>
    <xf numFmtId="0" fontId="22" fillId="0" borderId="7"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Fill="1" applyBorder="1" applyAlignment="1">
      <alignment horizontal="center"/>
    </xf>
    <xf numFmtId="0" fontId="23" fillId="0" borderId="4" xfId="0" applyFont="1" applyFill="1" applyBorder="1" applyAlignment="1">
      <alignment horizontal="center"/>
    </xf>
    <xf numFmtId="0" fontId="23" fillId="0" borderId="5" xfId="0" applyFont="1" applyFill="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51" xfId="0" applyFont="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14" xfId="0" applyFont="1" applyFill="1" applyBorder="1" applyAlignment="1">
      <alignment horizontal="center" vertical="center"/>
    </xf>
    <xf numFmtId="0" fontId="1" fillId="0" borderId="35" xfId="0" applyFont="1" applyFill="1" applyBorder="1" applyAlignment="1">
      <alignment horizontal="center" vertical="center"/>
    </xf>
    <xf numFmtId="0" fontId="1" fillId="0" borderId="13"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22" fillId="12" borderId="28" xfId="0" applyFont="1" applyFill="1" applyBorder="1" applyAlignment="1">
      <alignment horizontal="center" vertical="center"/>
    </xf>
    <xf numFmtId="0" fontId="22" fillId="12" borderId="64"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22" fillId="0" borderId="0" xfId="0" applyFont="1" applyFill="1" applyBorder="1" applyAlignment="1">
      <alignment horizontal="center" vertical="center"/>
    </xf>
    <xf numFmtId="0" fontId="1" fillId="19" borderId="52" xfId="0" applyFont="1" applyFill="1" applyBorder="1" applyAlignment="1">
      <alignment horizontal="center" vertical="center"/>
    </xf>
    <xf numFmtId="0" fontId="22" fillId="12" borderId="18"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Fill="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70" fillId="5" borderId="7" xfId="0" applyFont="1" applyFill="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center" vertical="center"/>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13" borderId="0" xfId="0" applyFill="1" applyAlignment="1">
      <alignment horizontal="center" vertical="center" wrapText="1"/>
    </xf>
    <xf numFmtId="0" fontId="0" fillId="14" borderId="0" xfId="0" applyFill="1" applyAlignment="1">
      <alignment horizontal="center" vertical="center" wrapText="1"/>
    </xf>
    <xf numFmtId="0" fontId="0" fillId="0" borderId="0" xfId="0" applyBorder="1"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15728.138814822039</c:v>
                </c:pt>
                <c:pt idx="1">
                  <c:v>16224.518348277974</c:v>
                </c:pt>
                <c:pt idx="2">
                  <c:v>16726.565266040841</c:v>
                </c:pt>
                <c:pt idx="3">
                  <c:v>17237.078183932772</c:v>
                </c:pt>
                <c:pt idx="4">
                  <c:v>17684.478970908294</c:v>
                </c:pt>
                <c:pt idx="5">
                  <c:v>18078.645835098909</c:v>
                </c:pt>
                <c:pt idx="6">
                  <c:v>18422.419003066498</c:v>
                </c:pt>
                <c:pt idx="7">
                  <c:v>18715.71768372017</c:v>
                </c:pt>
                <c:pt idx="8">
                  <c:v>18955.139261650384</c:v>
                </c:pt>
                <c:pt idx="9">
                  <c:v>19130.055627916718</c:v>
                </c:pt>
                <c:pt idx="10">
                  <c:v>19224.966297597453</c:v>
                </c:pt>
                <c:pt idx="11">
                  <c:v>19201.852089525579</c:v>
                </c:pt>
                <c:pt idx="12">
                  <c:v>19081.496887575719</c:v>
                </c:pt>
                <c:pt idx="13">
                  <c:v>18848.702616544419</c:v>
                </c:pt>
                <c:pt idx="14">
                  <c:v>18584.362911037679</c:v>
                </c:pt>
                <c:pt idx="15">
                  <c:v>18290.506483548277</c:v>
                </c:pt>
                <c:pt idx="16">
                  <c:v>17968.758988794594</c:v>
                </c:pt>
                <c:pt idx="17">
                  <c:v>17621.856889545634</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318.2494344348973</c:v>
                </c:pt>
                <c:pt idx="1">
                  <c:v>325.89579945775205</c:v>
                </c:pt>
                <c:pt idx="2">
                  <c:v>334.41879147227752</c:v>
                </c:pt>
                <c:pt idx="3">
                  <c:v>341.69456006950077</c:v>
                </c:pt>
                <c:pt idx="4">
                  <c:v>351.97605891913804</c:v>
                </c:pt>
                <c:pt idx="5">
                  <c:v>363.98154828067868</c:v>
                </c:pt>
                <c:pt idx="6">
                  <c:v>377.18912796087932</c:v>
                </c:pt>
                <c:pt idx="7">
                  <c:v>390.48890504642225</c:v>
                </c:pt>
                <c:pt idx="8">
                  <c:v>399.53212592648947</c:v>
                </c:pt>
                <c:pt idx="9">
                  <c:v>397.7357297076386</c:v>
                </c:pt>
                <c:pt idx="10" formatCode="_-* #,##0_-;\-* #,##0_-;_-* &quot;-&quot;??_-;_-@_-">
                  <c:v>457.58567236203919</c:v>
                </c:pt>
                <c:pt idx="11" formatCode="_-* #,##0_-;\-* #,##0_-;_-* &quot;-&quot;??_-;_-@_-">
                  <c:v>488.35925030819283</c:v>
                </c:pt>
                <c:pt idx="12" formatCode="_-* #,##0_-;\-* #,##0_-;_-* &quot;-&quot;??_-;_-@_-">
                  <c:v>539.40416412719242</c:v>
                </c:pt>
                <c:pt idx="13" formatCode="_-* #,##0_-;\-* #,##0_-;_-* &quot;-&quot;??_-;_-@_-">
                  <c:v>589.32083109235896</c:v>
                </c:pt>
                <c:pt idx="14" formatCode="_-* #,##0_-;\-* #,##0_-;_-* &quot;-&quot;??_-;_-@_-">
                  <c:v>635.2764847511985</c:v>
                </c:pt>
                <c:pt idx="15" formatCode="_-* #,##0_-;\-* #,##0_-;_-* &quot;-&quot;??_-;_-@_-">
                  <c:v>676.58213686740248</c:v>
                </c:pt>
                <c:pt idx="16" formatCode="_-* #,##0_-;\-* #,##0_-;_-* &quot;-&quot;??_-;_-@_-">
                  <c:v>715.01824789298109</c:v>
                </c:pt>
                <c:pt idx="17" formatCode="_-* #,##0_-;\-* #,##0_-;_-* &quot;-&quot;??_-;_-@_-">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16861.099911829828</c:v>
                </c:pt>
                <c:pt idx="10">
                  <c:v>16468.545151644186</c:v>
                </c:pt>
                <c:pt idx="11">
                  <c:v>16045.161976583255</c:v>
                </c:pt>
                <c:pt idx="12">
                  <c:v>15513.926852505996</c:v>
                </c:pt>
                <c:pt idx="13">
                  <c:v>14930.665018375896</c:v>
                </c:pt>
                <c:pt idx="14">
                  <c:v>14371.202535529792</c:v>
                </c:pt>
                <c:pt idx="15">
                  <c:v>13833.831253427637</c:v>
                </c:pt>
                <c:pt idx="16">
                  <c:v>13316.916380924082</c:v>
                </c:pt>
                <c:pt idx="17">
                  <c:v>12818.812807035578</c:v>
                </c:pt>
                <c:pt idx="18">
                  <c:v>12338.031493135888</c:v>
                </c:pt>
                <c:pt idx="19">
                  <c:v>11873.145473832952</c:v>
                </c:pt>
                <c:pt idx="20">
                  <c:v>11422.786439494865</c:v>
                </c:pt>
                <c:pt idx="21">
                  <c:v>10985.64146057801</c:v>
                </c:pt>
                <c:pt idx="22">
                  <c:v>10557.812878965282</c:v>
                </c:pt>
                <c:pt idx="23">
                  <c:v>10138.797992811658</c:v>
                </c:pt>
                <c:pt idx="24">
                  <c:v>9740.4620915415217</c:v>
                </c:pt>
                <c:pt idx="25">
                  <c:v>9361.7969880178971</c:v>
                </c:pt>
                <c:pt idx="26">
                  <c:v>8928.427428457635</c:v>
                </c:pt>
                <c:pt idx="27">
                  <c:v>8516.3972609868997</c:v>
                </c:pt>
                <c:pt idx="28">
                  <c:v>8124.6664055705405</c:v>
                </c:pt>
                <c:pt idx="29">
                  <c:v>7752.2454504709603</c:v>
                </c:pt>
                <c:pt idx="30">
                  <c:v>7411.2697318302135</c:v>
                </c:pt>
                <c:pt idx="31">
                  <c:v>7147.4692446047275</c:v>
                </c:pt>
                <c:pt idx="32">
                  <c:v>6896.704219229151</c:v>
                </c:pt>
                <c:pt idx="33">
                  <c:v>6658.3396514415108</c:v>
                </c:pt>
                <c:pt idx="34">
                  <c:v>6431.7714508953713</c:v>
                </c:pt>
                <c:pt idx="35">
                  <c:v>6216.4249374966712</c:v>
                </c:pt>
                <c:pt idx="36">
                  <c:v>6011.7534108331247</c:v>
                </c:pt>
                <c:pt idx="37">
                  <c:v>5817.2005083018012</c:v>
                </c:pt>
                <c:pt idx="38">
                  <c:v>5632.2735235745249</c:v>
                </c:pt>
                <c:pt idx="39">
                  <c:v>5456.5037263416752</c:v>
                </c:pt>
                <c:pt idx="40">
                  <c:v>5289.4451965447415</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752.19459867891726</c:v>
                </c:pt>
                <c:pt idx="9">
                  <c:v>733.11219215399888</c:v>
                </c:pt>
                <c:pt idx="10">
                  <c:v>732.47082332532477</c:v>
                </c:pt>
                <c:pt idx="11">
                  <c:v>807.49839992364991</c:v>
                </c:pt>
                <c:pt idx="12">
                  <c:v>777.27403948413553</c:v>
                </c:pt>
                <c:pt idx="13">
                  <c:v>780.51625101913839</c:v>
                </c:pt>
                <c:pt idx="14">
                  <c:v>784.27712930330836</c:v>
                </c:pt>
                <c:pt idx="15">
                  <c:v>788.06319313406925</c:v>
                </c:pt>
                <c:pt idx="16">
                  <c:v>791.94962199954057</c:v>
                </c:pt>
                <c:pt idx="17">
                  <c:v>795.74382651942346</c:v>
                </c:pt>
                <c:pt idx="18">
                  <c:v>799.71714009365837</c:v>
                </c:pt>
                <c:pt idx="19">
                  <c:v>803.51969150060529</c:v>
                </c:pt>
                <c:pt idx="20">
                  <c:v>807.43672578242808</c:v>
                </c:pt>
                <c:pt idx="21">
                  <c:v>812.03368771708529</c:v>
                </c:pt>
                <c:pt idx="22">
                  <c:v>816.97600715462772</c:v>
                </c:pt>
                <c:pt idx="23">
                  <c:v>822.08541143228138</c:v>
                </c:pt>
                <c:pt idx="24">
                  <c:v>823.23318147001999</c:v>
                </c:pt>
                <c:pt idx="25">
                  <c:v>629.80698598783727</c:v>
                </c:pt>
                <c:pt idx="26">
                  <c:v>629.80698598783727</c:v>
                </c:pt>
                <c:pt idx="27">
                  <c:v>629.80698598783727</c:v>
                </c:pt>
                <c:pt idx="28">
                  <c:v>629.80698598783727</c:v>
                </c:pt>
                <c:pt idx="29">
                  <c:v>629.80698598783727</c:v>
                </c:pt>
                <c:pt idx="30">
                  <c:v>629.80698598783727</c:v>
                </c:pt>
                <c:pt idx="31">
                  <c:v>629.80698598783727</c:v>
                </c:pt>
                <c:pt idx="32">
                  <c:v>629.80698598783727</c:v>
                </c:pt>
                <c:pt idx="33">
                  <c:v>629.80698598783727</c:v>
                </c:pt>
                <c:pt idx="34">
                  <c:v>629.80698598783727</c:v>
                </c:pt>
                <c:pt idx="35">
                  <c:v>629.80698598783727</c:v>
                </c:pt>
                <c:pt idx="36">
                  <c:v>629.80698598783727</c:v>
                </c:pt>
                <c:pt idx="37">
                  <c:v>629.80698598783727</c:v>
                </c:pt>
                <c:pt idx="38">
                  <c:v>629.80698598783727</c:v>
                </c:pt>
                <c:pt idx="39">
                  <c:v>629.80698598783727</c:v>
                </c:pt>
                <c:pt idx="40">
                  <c:v>629.80698598783727</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_-* #,##0_-;\-*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_-* #,##0_-;\-* #,##0_-;_-* "-"??_-;_-@_-</c:formatCode>
                <c:ptCount val="34"/>
                <c:pt idx="0">
                  <c:v>6573.3162308435367</c:v>
                </c:pt>
                <c:pt idx="1">
                  <c:v>6782.3257195400192</c:v>
                </c:pt>
                <c:pt idx="2">
                  <c:v>6996.3761941639132</c:v>
                </c:pt>
                <c:pt idx="3">
                  <c:v>7215.5760361663397</c:v>
                </c:pt>
                <c:pt idx="4">
                  <c:v>7405.9355442178767</c:v>
                </c:pt>
                <c:pt idx="5">
                  <c:v>7599.7221031332629</c:v>
                </c:pt>
                <c:pt idx="6">
                  <c:v>7796.9893950863434</c:v>
                </c:pt>
                <c:pt idx="7">
                  <c:v>7997.7918841172896</c:v>
                </c:pt>
                <c:pt idx="8">
                  <c:v>8202.1848270207192</c:v>
                </c:pt>
                <c:pt idx="9">
                  <c:v>8396.3580112842246</c:v>
                </c:pt>
                <c:pt idx="10">
                  <c:v>8593.5598052314708</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9959.9642573763831</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_-* #,##0_-;\-*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_-* #,##0_-;\-*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_-* #,##0_-;\-* #,##0_-;_-* "-"??_-;_-@_-</c:formatCode>
                <c:ptCount val="34"/>
                <c:pt idx="0">
                  <c:v>68439.708347615408</c:v>
                </c:pt>
                <c:pt idx="1">
                  <c:v>64333.325846758482</c:v>
                </c:pt>
                <c:pt idx="2">
                  <c:v>60911.340429377713</c:v>
                </c:pt>
                <c:pt idx="3">
                  <c:v>55436.163761568474</c:v>
                </c:pt>
                <c:pt idx="4">
                  <c:v>44485.810425950018</c:v>
                </c:pt>
                <c:pt idx="5">
                  <c:v>36990.114545712036</c:v>
                </c:pt>
                <c:pt idx="6">
                  <c:v>35646.599237840281</c:v>
                </c:pt>
                <c:pt idx="7">
                  <c:v>35033.228046348915</c:v>
                </c:pt>
                <c:pt idx="8">
                  <c:v>34173.470194546295</c:v>
                </c:pt>
                <c:pt idx="9">
                  <c:v>32728.158504852316</c:v>
                </c:pt>
                <c:pt idx="10">
                  <c:v>30949.926501104819</c:v>
                </c:pt>
                <c:pt idx="11">
                  <c:v>29184.882794720124</c:v>
                </c:pt>
                <c:pt idx="12">
                  <c:v>26934.091855532108</c:v>
                </c:pt>
                <c:pt idx="13">
                  <c:v>24947.942381405108</c:v>
                </c:pt>
                <c:pt idx="14">
                  <c:v>24103.211210652789</c:v>
                </c:pt>
                <c:pt idx="15">
                  <c:v>23783.167889179564</c:v>
                </c:pt>
                <c:pt idx="16">
                  <c:v>23269.980509190023</c:v>
                </c:pt>
                <c:pt idx="17">
                  <c:v>22949.734382870593</c:v>
                </c:pt>
                <c:pt idx="18">
                  <c:v>22156.739797761405</c:v>
                </c:pt>
                <c:pt idx="19">
                  <c:v>18770.298862305463</c:v>
                </c:pt>
                <c:pt idx="20">
                  <c:v>15749.519733678108</c:v>
                </c:pt>
                <c:pt idx="21">
                  <c:v>14651.766745995763</c:v>
                </c:pt>
                <c:pt idx="22">
                  <c:v>13687.941669523079</c:v>
                </c:pt>
                <c:pt idx="23">
                  <c:v>13208.177770631059</c:v>
                </c:pt>
                <c:pt idx="24">
                  <c:v>12243.335986275051</c:v>
                </c:pt>
                <c:pt idx="25">
                  <c:v>11278.494201919044</c:v>
                </c:pt>
                <c:pt idx="26">
                  <c:v>10313.652417563031</c:v>
                </c:pt>
                <c:pt idx="27">
                  <c:v>9348.8106332070238</c:v>
                </c:pt>
                <c:pt idx="28">
                  <c:v>8383.9688488510146</c:v>
                </c:pt>
                <c:pt idx="29">
                  <c:v>6707.3666210394558</c:v>
                </c:pt>
                <c:pt idx="30">
                  <c:v>5030.7643932278934</c:v>
                </c:pt>
                <c:pt idx="31">
                  <c:v>3354.1621654163328</c:v>
                </c:pt>
                <c:pt idx="32">
                  <c:v>1677.5599376047719</c:v>
                </c:pt>
                <c:pt idx="33">
                  <c:v>0.95770979321135863</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_-* #,##0_-;\-* #,##0_-;_-* "-"??_-;_-@_-</c:formatCode>
                <c:ptCount val="34"/>
                <c:pt idx="0">
                  <c:v>6080.5670370000007</c:v>
                </c:pt>
                <c:pt idx="1">
                  <c:v>7454.7480611260207</c:v>
                </c:pt>
                <c:pt idx="2">
                  <c:v>8563.155476176491</c:v>
                </c:pt>
                <c:pt idx="3">
                  <c:v>9203.2770862680991</c:v>
                </c:pt>
                <c:pt idx="4">
                  <c:v>10517.983465901121</c:v>
                </c:pt>
                <c:pt idx="5">
                  <c:v>11757.063788642328</c:v>
                </c:pt>
                <c:pt idx="6">
                  <c:v>12971.779611845708</c:v>
                </c:pt>
                <c:pt idx="7">
                  <c:v>14418.991233854049</c:v>
                </c:pt>
                <c:pt idx="8">
                  <c:v>15829.700338874749</c:v>
                </c:pt>
                <c:pt idx="9">
                  <c:v>17031.483472706295</c:v>
                </c:pt>
                <c:pt idx="10">
                  <c:v>18048.627314353078</c:v>
                </c:pt>
                <c:pt idx="11">
                  <c:v>19009.527403083772</c:v>
                </c:pt>
                <c:pt idx="12">
                  <c:v>19603.240788447583</c:v>
                </c:pt>
                <c:pt idx="13">
                  <c:v>20225.216684398358</c:v>
                </c:pt>
                <c:pt idx="14">
                  <c:v>19755.05407593066</c:v>
                </c:pt>
                <c:pt idx="15">
                  <c:v>19641.66957103182</c:v>
                </c:pt>
                <c:pt idx="16">
                  <c:v>19402.902303780367</c:v>
                </c:pt>
                <c:pt idx="17">
                  <c:v>19212.62301706522</c:v>
                </c:pt>
                <c:pt idx="18">
                  <c:v>15272.437865174272</c:v>
                </c:pt>
                <c:pt idx="19">
                  <c:v>13014.810574870309</c:v>
                </c:pt>
                <c:pt idx="20">
                  <c:v>11000.957822452074</c:v>
                </c:pt>
                <c:pt idx="21">
                  <c:v>10269.122497330509</c:v>
                </c:pt>
                <c:pt idx="22">
                  <c:v>9537.2871722089421</c:v>
                </c:pt>
                <c:pt idx="23">
                  <c:v>8805.4518470873718</c:v>
                </c:pt>
                <c:pt idx="24">
                  <c:v>8162.2239908500342</c:v>
                </c:pt>
                <c:pt idx="25">
                  <c:v>7518.9961346126966</c:v>
                </c:pt>
                <c:pt idx="26">
                  <c:v>6875.7682783753544</c:v>
                </c:pt>
                <c:pt idx="27">
                  <c:v>6232.5404221380168</c:v>
                </c:pt>
                <c:pt idx="28">
                  <c:v>5589.3125659006773</c:v>
                </c:pt>
                <c:pt idx="29">
                  <c:v>4471.5777473596381</c:v>
                </c:pt>
                <c:pt idx="30">
                  <c:v>3353.8429288185962</c:v>
                </c:pt>
                <c:pt idx="31">
                  <c:v>2236.1081102775552</c:v>
                </c:pt>
                <c:pt idx="32">
                  <c:v>1118.3732917365148</c:v>
                </c:pt>
                <c:pt idx="33">
                  <c:v>0.6384731954742392</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_-* #,##0_-;\-* #,##0_-;_-* "-"??_-;_-@_-</c:formatCode>
                <c:ptCount val="34"/>
                <c:pt idx="0">
                  <c:v>1694.9190000000001</c:v>
                </c:pt>
                <c:pt idx="1">
                  <c:v>1793.8246078249765</c:v>
                </c:pt>
                <c:pt idx="2">
                  <c:v>1878.6693594882986</c:v>
                </c:pt>
                <c:pt idx="3">
                  <c:v>1907.190171140033</c:v>
                </c:pt>
                <c:pt idx="4">
                  <c:v>2248.0613311541611</c:v>
                </c:pt>
                <c:pt idx="5">
                  <c:v>2435.3308526974706</c:v>
                </c:pt>
                <c:pt idx="6">
                  <c:v>2472.3423999006995</c:v>
                </c:pt>
                <c:pt idx="7">
                  <c:v>2515.2748004049222</c:v>
                </c:pt>
                <c:pt idx="8">
                  <c:v>2558.4947071487691</c:v>
                </c:pt>
                <c:pt idx="9">
                  <c:v>2602.8603334669356</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_-* #,##0_-;\-* #,##0_-;_-* "-"??_-;_-@_-</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_-* #,##0_-;\-* #,##0_-;_-* "-"??_-;_-@_-</c:formatCode>
                <c:ptCount val="34"/>
                <c:pt idx="0">
                  <c:v>68439.708347615408</c:v>
                </c:pt>
                <c:pt idx="1">
                  <c:v>64333.325846758482</c:v>
                </c:pt>
                <c:pt idx="2">
                  <c:v>60911.340429377713</c:v>
                </c:pt>
                <c:pt idx="3">
                  <c:v>55436.163761568474</c:v>
                </c:pt>
                <c:pt idx="4">
                  <c:v>44485.810425950018</c:v>
                </c:pt>
                <c:pt idx="5">
                  <c:v>36990.114545712036</c:v>
                </c:pt>
                <c:pt idx="6">
                  <c:v>35646.599237840281</c:v>
                </c:pt>
                <c:pt idx="7">
                  <c:v>35033.228046348915</c:v>
                </c:pt>
                <c:pt idx="8">
                  <c:v>34173.470194546295</c:v>
                </c:pt>
                <c:pt idx="9">
                  <c:v>32728.158504852316</c:v>
                </c:pt>
                <c:pt idx="10">
                  <c:v>30949.926501104819</c:v>
                </c:pt>
                <c:pt idx="11">
                  <c:v>29184.882794720124</c:v>
                </c:pt>
                <c:pt idx="12">
                  <c:v>26934.091855532108</c:v>
                </c:pt>
                <c:pt idx="13">
                  <c:v>24947.942381405108</c:v>
                </c:pt>
                <c:pt idx="14">
                  <c:v>24103.211210652789</c:v>
                </c:pt>
                <c:pt idx="15">
                  <c:v>23783.167889179564</c:v>
                </c:pt>
                <c:pt idx="16">
                  <c:v>23269.980509190023</c:v>
                </c:pt>
                <c:pt idx="17">
                  <c:v>22949.734382870593</c:v>
                </c:pt>
                <c:pt idx="18">
                  <c:v>22156.739797761405</c:v>
                </c:pt>
                <c:pt idx="19">
                  <c:v>18770.298862305463</c:v>
                </c:pt>
                <c:pt idx="20">
                  <c:v>15749.519733678108</c:v>
                </c:pt>
                <c:pt idx="21">
                  <c:v>14651.766745995763</c:v>
                </c:pt>
                <c:pt idx="22">
                  <c:v>13687.941669523079</c:v>
                </c:pt>
                <c:pt idx="23">
                  <c:v>13208.177770631059</c:v>
                </c:pt>
                <c:pt idx="24">
                  <c:v>12243.335986275051</c:v>
                </c:pt>
                <c:pt idx="25">
                  <c:v>11278.494201919044</c:v>
                </c:pt>
                <c:pt idx="26">
                  <c:v>10313.652417563031</c:v>
                </c:pt>
                <c:pt idx="27">
                  <c:v>9348.8106332070238</c:v>
                </c:pt>
                <c:pt idx="28">
                  <c:v>8383.9688488510146</c:v>
                </c:pt>
                <c:pt idx="29">
                  <c:v>6707.3666210394558</c:v>
                </c:pt>
                <c:pt idx="30">
                  <c:v>5030.7643932278934</c:v>
                </c:pt>
                <c:pt idx="31">
                  <c:v>3354.1621654163328</c:v>
                </c:pt>
                <c:pt idx="32">
                  <c:v>1677.5599376047719</c:v>
                </c:pt>
                <c:pt idx="33">
                  <c:v>0.95770979321135863</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_-* #,##0_-;\-* #,##0_-;_-* "-"??_-;_-@_-</c:formatCode>
                <c:ptCount val="34"/>
                <c:pt idx="0">
                  <c:v>6080.5670370000007</c:v>
                </c:pt>
                <c:pt idx="1">
                  <c:v>7454.7480611260207</c:v>
                </c:pt>
                <c:pt idx="2">
                  <c:v>8563.155476176491</c:v>
                </c:pt>
                <c:pt idx="3">
                  <c:v>9203.2770862680991</c:v>
                </c:pt>
                <c:pt idx="4">
                  <c:v>10517.983465901121</c:v>
                </c:pt>
                <c:pt idx="5">
                  <c:v>11757.063788642328</c:v>
                </c:pt>
                <c:pt idx="6">
                  <c:v>12971.779611845708</c:v>
                </c:pt>
                <c:pt idx="7">
                  <c:v>14418.991233854049</c:v>
                </c:pt>
                <c:pt idx="8">
                  <c:v>15829.700338874749</c:v>
                </c:pt>
                <c:pt idx="9">
                  <c:v>17031.483472706295</c:v>
                </c:pt>
                <c:pt idx="10">
                  <c:v>18048.627314353078</c:v>
                </c:pt>
                <c:pt idx="11">
                  <c:v>19009.527403083772</c:v>
                </c:pt>
                <c:pt idx="12">
                  <c:v>19603.240788447583</c:v>
                </c:pt>
                <c:pt idx="13">
                  <c:v>20225.216684398358</c:v>
                </c:pt>
                <c:pt idx="14">
                  <c:v>19755.05407593066</c:v>
                </c:pt>
                <c:pt idx="15">
                  <c:v>19641.66957103182</c:v>
                </c:pt>
                <c:pt idx="16">
                  <c:v>19402.902303780367</c:v>
                </c:pt>
                <c:pt idx="17">
                  <c:v>19212.62301706522</c:v>
                </c:pt>
                <c:pt idx="18">
                  <c:v>15272.437865174272</c:v>
                </c:pt>
                <c:pt idx="19">
                  <c:v>13014.810574870309</c:v>
                </c:pt>
                <c:pt idx="20">
                  <c:v>11000.957822452074</c:v>
                </c:pt>
                <c:pt idx="21">
                  <c:v>10269.122497330509</c:v>
                </c:pt>
                <c:pt idx="22">
                  <c:v>9537.2871722089421</c:v>
                </c:pt>
                <c:pt idx="23">
                  <c:v>8805.4518470873718</c:v>
                </c:pt>
                <c:pt idx="24">
                  <c:v>8162.2239908500342</c:v>
                </c:pt>
                <c:pt idx="25">
                  <c:v>7518.9961346126966</c:v>
                </c:pt>
                <c:pt idx="26">
                  <c:v>6875.7682783753544</c:v>
                </c:pt>
                <c:pt idx="27">
                  <c:v>6232.5404221380168</c:v>
                </c:pt>
                <c:pt idx="28">
                  <c:v>5589.3125659006773</c:v>
                </c:pt>
                <c:pt idx="29">
                  <c:v>4471.5777473596381</c:v>
                </c:pt>
                <c:pt idx="30">
                  <c:v>3353.8429288185962</c:v>
                </c:pt>
                <c:pt idx="31">
                  <c:v>2236.1081102775552</c:v>
                </c:pt>
                <c:pt idx="32">
                  <c:v>1118.3732917365148</c:v>
                </c:pt>
                <c:pt idx="33">
                  <c:v>0.6384731954742392</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1793.8246078249765</c:v>
                </c:pt>
                <c:pt idx="2">
                  <c:v>1878.6693594882986</c:v>
                </c:pt>
                <c:pt idx="3">
                  <c:v>1907.190171140033</c:v>
                </c:pt>
                <c:pt idx="4">
                  <c:v>2248.0613311541611</c:v>
                </c:pt>
                <c:pt idx="5">
                  <c:v>2435.3308526974706</c:v>
                </c:pt>
                <c:pt idx="6">
                  <c:v>2472.3423999006995</c:v>
                </c:pt>
                <c:pt idx="7">
                  <c:v>2515.2748004049222</c:v>
                </c:pt>
                <c:pt idx="8">
                  <c:v>2558.4947071487691</c:v>
                </c:pt>
                <c:pt idx="9">
                  <c:v>2602.8603334669356</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_-* #,##0_-;\-* #,##0_-;_-* "-"??_-;_-@_-</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_-* #,##0_-;\-* #,##0_-;_-* "-"??_-;_-@_-</c:formatCode>
                <c:ptCount val="34"/>
                <c:pt idx="0">
                  <c:v>6573.3162308435367</c:v>
                </c:pt>
                <c:pt idx="1">
                  <c:v>6679.6175321884148</c:v>
                </c:pt>
                <c:pt idx="2">
                  <c:v>6787.6378998722266</c:v>
                </c:pt>
                <c:pt idx="3">
                  <c:v>6897.4051340163305</c:v>
                </c:pt>
                <c:pt idx="4">
                  <c:v>6976.8230420886903</c:v>
                </c:pt>
                <c:pt idx="5">
                  <c:v>7057.1553816030291</c:v>
                </c:pt>
                <c:pt idx="6">
                  <c:v>7138.4126814801166</c:v>
                </c:pt>
                <c:pt idx="7">
                  <c:v>7220.6055918725297</c:v>
                </c:pt>
                <c:pt idx="8">
                  <c:v>7303.7448855605326</c:v>
                </c:pt>
                <c:pt idx="9">
                  <c:v>7375.6608297153634</c:v>
                </c:pt>
                <c:pt idx="10">
                  <c:v>7448.2848904740404</c:v>
                </c:pt>
                <c:pt idx="11">
                  <c:v>7521.6240402698641</c:v>
                </c:pt>
                <c:pt idx="12">
                  <c:v>7595.6853201898566</c:v>
                </c:pt>
                <c:pt idx="13">
                  <c:v>7670.4758406507226</c:v>
                </c:pt>
                <c:pt idx="14">
                  <c:v>7735.9377653521624</c:v>
                </c:pt>
                <c:pt idx="15">
                  <c:v>7801.9583599033831</c:v>
                </c:pt>
                <c:pt idx="16">
                  <c:v>7868.5423921446545</c:v>
                </c:pt>
                <c:pt idx="17">
                  <c:v>7935.6946706062963</c:v>
                </c:pt>
                <c:pt idx="18">
                  <c:v>8003.4200448559322</c:v>
                </c:pt>
                <c:pt idx="19">
                  <c:v>8062.0143350648113</c:v>
                </c:pt>
                <c:pt idx="20">
                  <c:v>8121.0376032388403</c:v>
                </c:pt>
                <c:pt idx="21">
                  <c:v>8180.4929899928129</c:v>
                </c:pt>
                <c:pt idx="22">
                  <c:v>8240.3836589344519</c:v>
                </c:pt>
                <c:pt idx="23">
                  <c:v>8300.7127968327495</c:v>
                </c:pt>
                <c:pt idx="24">
                  <c:v>8352.2679389695077</c:v>
                </c:pt>
                <c:pt idx="25">
                  <c:v>8404.1432864604067</c:v>
                </c:pt>
                <c:pt idx="26">
                  <c:v>8456.3408280783351</c:v>
                </c:pt>
                <c:pt idx="27">
                  <c:v>8508.8625649483038</c:v>
                </c:pt>
                <c:pt idx="28">
                  <c:v>8561.7105106241779</c:v>
                </c:pt>
                <c:pt idx="29">
                  <c:v>8605.4166727417341</c:v>
                </c:pt>
                <c:pt idx="30">
                  <c:v>8649.3459478230707</c:v>
                </c:pt>
                <c:pt idx="31">
                  <c:v>8693.4994748241606</c:v>
                </c:pt>
                <c:pt idx="32">
                  <c:v>8737.8783985151767</c:v>
                </c:pt>
                <c:pt idx="33">
                  <c:v>8782.483869510148</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_-* #,##0_-;\-* #,##0_-;_-* "-"??_-;_-@_-</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_-* #,##0_-;\-* #,##0_-;_-* "-"??_-;_-@_-</c:formatCode>
                <c:ptCount val="34"/>
                <c:pt idx="0">
                  <c:v>2912.8310946643915</c:v>
                </c:pt>
                <c:pt idx="1">
                  <c:v>2837.6019857013189</c:v>
                </c:pt>
                <c:pt idx="2">
                  <c:v>2763.9217434216189</c:v>
                </c:pt>
                <c:pt idx="3">
                  <c:v>2691.7426737450974</c:v>
                </c:pt>
                <c:pt idx="4">
                  <c:v>2622.3922545804858</c:v>
                </c:pt>
                <c:pt idx="5">
                  <c:v>2555.094934363724</c:v>
                </c:pt>
                <c:pt idx="6">
                  <c:v>2489.7823118381648</c:v>
                </c:pt>
                <c:pt idx="7">
                  <c:v>2426.3881713851051</c:v>
                </c:pt>
                <c:pt idx="8">
                  <c:v>2364.8484024198983</c:v>
                </c:pt>
                <c:pt idx="9">
                  <c:v>2306.1624894407255</c:v>
                </c:pt>
                <c:pt idx="10">
                  <c:v>2249.4265329688442</c:v>
                </c:pt>
                <c:pt idx="11">
                  <c:v>2126.0760747520476</c:v>
                </c:pt>
                <c:pt idx="12">
                  <c:v>2009.5687327082351</c:v>
                </c:pt>
                <c:pt idx="13">
                  <c:v>1899.5194208179271</c:v>
                </c:pt>
                <c:pt idx="14">
                  <c:v>1804.937840798731</c:v>
                </c:pt>
                <c:pt idx="15">
                  <c:v>1710.8778518716094</c:v>
                </c:pt>
                <c:pt idx="16">
                  <c:v>1617.3290932825464</c:v>
                </c:pt>
                <c:pt idx="17">
                  <c:v>1524.2814449886839</c:v>
                </c:pt>
                <c:pt idx="18">
                  <c:v>1431.7250208472356</c:v>
                </c:pt>
                <c:pt idx="19">
                  <c:v>1340.1098167011321</c:v>
                </c:pt>
                <c:pt idx="20">
                  <c:v>1307.5919202588843</c:v>
                </c:pt>
                <c:pt idx="21">
                  <c:v>1248.9870080777011</c:v>
                </c:pt>
                <c:pt idx="22">
                  <c:v>1190.6395454279671</c:v>
                </c:pt>
                <c:pt idx="23">
                  <c:v>1132.5452479369364</c:v>
                </c:pt>
                <c:pt idx="24">
                  <c:v>1075.0228489899325</c:v>
                </c:pt>
                <c:pt idx="25">
                  <c:v>1017.70554841936</c:v>
                </c:pt>
                <c:pt idx="26">
                  <c:v>960.59046118844435</c:v>
                </c:pt>
                <c:pt idx="27">
                  <c:v>903.67474911515569</c:v>
                </c:pt>
                <c:pt idx="28">
                  <c:v>846.95561994806178</c:v>
                </c:pt>
                <c:pt idx="29">
                  <c:v>790.65841959034776</c:v>
                </c:pt>
                <c:pt idx="30">
                  <c:v>734.51689490546516</c:v>
                </c:pt>
                <c:pt idx="31">
                  <c:v>733.54514400029723</c:v>
                </c:pt>
                <c:pt idx="32">
                  <c:v>732.58087683720362</c:v>
                </c:pt>
                <c:pt idx="33">
                  <c:v>731.62401965267998</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_-* #,##0_-;\-* #,##0_-;_-* "-"??_-;_-@_-</c:formatCode>
                <c:ptCount val="34"/>
                <c:pt idx="0">
                  <c:v>68439.708347615408</c:v>
                </c:pt>
                <c:pt idx="1">
                  <c:v>64886.148572305057</c:v>
                </c:pt>
                <c:pt idx="2">
                  <c:v>61517.098453473154</c:v>
                </c:pt>
                <c:pt idx="3">
                  <c:v>58322.977791126912</c:v>
                </c:pt>
                <c:pt idx="4">
                  <c:v>55294.7038130703</c:v>
                </c:pt>
                <c:pt idx="5">
                  <c:v>52423.665347216403</c:v>
                </c:pt>
                <c:pt idx="6">
                  <c:v>49701.698334937471</c:v>
                </c:pt>
                <c:pt idx="7">
                  <c:v>47121.062615822855</c:v>
                </c:pt>
                <c:pt idx="8">
                  <c:v>44674.419917829786</c:v>
                </c:pt>
                <c:pt idx="9">
                  <c:v>42354.812990240433</c:v>
                </c:pt>
                <c:pt idx="10">
                  <c:v>40155.6458200876</c:v>
                </c:pt>
                <c:pt idx="11">
                  <c:v>38070.664875792791</c:v>
                </c:pt>
                <c:pt idx="12">
                  <c:v>36093.941324681233</c:v>
                </c:pt>
                <c:pt idx="13">
                  <c:v>34219.854173807704</c:v>
                </c:pt>
                <c:pt idx="14">
                  <c:v>33020.827958397946</c:v>
                </c:pt>
                <c:pt idx="15">
                  <c:v>31863.814308498775</c:v>
                </c:pt>
                <c:pt idx="16">
                  <c:v>31026.640678920034</c:v>
                </c:pt>
                <c:pt idx="17">
                  <c:v>30599.645843827457</c:v>
                </c:pt>
                <c:pt idx="18">
                  <c:v>29792.958730348542</c:v>
                </c:pt>
                <c:pt idx="19">
                  <c:v>26029.621149740618</c:v>
                </c:pt>
                <c:pt idx="20">
                  <c:v>22001.915644904147</c:v>
                </c:pt>
                <c:pt idx="21">
                  <c:v>20538.244994661018</c:v>
                </c:pt>
                <c:pt idx="22">
                  <c:v>19074.574344417884</c:v>
                </c:pt>
                <c:pt idx="23">
                  <c:v>17610.903694174744</c:v>
                </c:pt>
                <c:pt idx="24">
                  <c:v>16324.447981700068</c:v>
                </c:pt>
                <c:pt idx="25">
                  <c:v>15037.992269225393</c:v>
                </c:pt>
                <c:pt idx="26">
                  <c:v>13751.536556750709</c:v>
                </c:pt>
                <c:pt idx="27">
                  <c:v>12465.080844276034</c:v>
                </c:pt>
                <c:pt idx="28">
                  <c:v>11178.625131801355</c:v>
                </c:pt>
                <c:pt idx="29">
                  <c:v>8943.1554947192762</c:v>
                </c:pt>
                <c:pt idx="30">
                  <c:v>6707.6858576371924</c:v>
                </c:pt>
                <c:pt idx="31">
                  <c:v>4472.2162205551103</c:v>
                </c:pt>
                <c:pt idx="32">
                  <c:v>2236.7465834730297</c:v>
                </c:pt>
                <c:pt idx="33">
                  <c:v>1.2769463909484784</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_-* #,##0_-;\-* #,##0_-;_-* "-"??_-;_-@_-</c:formatCode>
                <c:ptCount val="34"/>
                <c:pt idx="0">
                  <c:v>6080.5670370000007</c:v>
                </c:pt>
                <c:pt idx="1">
                  <c:v>6438.0790075299101</c:v>
                </c:pt>
                <c:pt idx="2">
                  <c:v>6634.6363936607713</c:v>
                </c:pt>
                <c:pt idx="3">
                  <c:v>6523.7374137082334</c:v>
                </c:pt>
                <c:pt idx="4">
                  <c:v>6975.0063256406702</c:v>
                </c:pt>
                <c:pt idx="5">
                  <c:v>7414.9963085309673</c:v>
                </c:pt>
                <c:pt idx="6">
                  <c:v>7880.5158774965339</c:v>
                </c:pt>
                <c:pt idx="7">
                  <c:v>8503.0592769430677</c:v>
                </c:pt>
                <c:pt idx="8">
                  <c:v>9150.2913877054598</c:v>
                </c:pt>
                <c:pt idx="9">
                  <c:v>9748.5730662157803</c:v>
                </c:pt>
                <c:pt idx="10">
                  <c:v>10311.466237506627</c:v>
                </c:pt>
                <c:pt idx="11">
                  <c:v>10904.210565287234</c:v>
                </c:pt>
                <c:pt idx="12">
                  <c:v>11372.944828410727</c:v>
                </c:pt>
                <c:pt idx="13">
                  <c:v>11909.235890596654</c:v>
                </c:pt>
                <c:pt idx="14">
                  <c:v>11720.650339046395</c:v>
                </c:pt>
                <c:pt idx="15">
                  <c:v>11713.946941305298</c:v>
                </c:pt>
                <c:pt idx="16">
                  <c:v>11646.242134050357</c:v>
                </c:pt>
                <c:pt idx="17">
                  <c:v>11562.711556108356</c:v>
                </c:pt>
                <c:pt idx="18">
                  <c:v>7636.2189325871359</c:v>
                </c:pt>
                <c:pt idx="19">
                  <c:v>6507.4052874351546</c:v>
                </c:pt>
                <c:pt idx="20">
                  <c:v>5500.4789112260369</c:v>
                </c:pt>
                <c:pt idx="21">
                  <c:v>5134.5612486652544</c:v>
                </c:pt>
                <c:pt idx="22">
                  <c:v>4768.6435861044711</c:v>
                </c:pt>
                <c:pt idx="23">
                  <c:v>4402.7259235436859</c:v>
                </c:pt>
                <c:pt idx="24">
                  <c:v>4081.1119954250171</c:v>
                </c:pt>
                <c:pt idx="25">
                  <c:v>3759.4980673063483</c:v>
                </c:pt>
                <c:pt idx="26">
                  <c:v>3437.8841391876772</c:v>
                </c:pt>
                <c:pt idx="27">
                  <c:v>3116.2702110690084</c:v>
                </c:pt>
                <c:pt idx="28">
                  <c:v>2794.6562829503387</c:v>
                </c:pt>
                <c:pt idx="29">
                  <c:v>2235.7888736798191</c:v>
                </c:pt>
                <c:pt idx="30">
                  <c:v>1676.9214644092981</c:v>
                </c:pt>
                <c:pt idx="31">
                  <c:v>1118.0540551387776</c:v>
                </c:pt>
                <c:pt idx="32">
                  <c:v>559.18664586825741</c:v>
                </c:pt>
                <c:pt idx="33">
                  <c:v>0.3192365977371196</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_-* #,##0_-;\-* #,##0_-;_-* "-"??_-;_-@_-</c:formatCode>
                <c:ptCount val="34"/>
                <c:pt idx="0">
                  <c:v>1694.9190000000001</c:v>
                </c:pt>
                <c:pt idx="1">
                  <c:v>1793.8246078249765</c:v>
                </c:pt>
                <c:pt idx="2">
                  <c:v>1878.6693594882986</c:v>
                </c:pt>
                <c:pt idx="3">
                  <c:v>1831.998471140033</c:v>
                </c:pt>
                <c:pt idx="4">
                  <c:v>1947.2945311541612</c:v>
                </c:pt>
                <c:pt idx="5">
                  <c:v>2059.3723526974704</c:v>
                </c:pt>
                <c:pt idx="6">
                  <c:v>2171.5755999006997</c:v>
                </c:pt>
                <c:pt idx="7">
                  <c:v>2289.6997004049217</c:v>
                </c:pt>
                <c:pt idx="8">
                  <c:v>2408.1113071487689</c:v>
                </c:pt>
                <c:pt idx="9">
                  <c:v>2527.6686334669353</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_-* #,##0_-;\-* #,##0_-;_-* "-"??_-;_-@_-</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_-* #,##0_-;\-* #,##0_-;_-* "-"??_-;_-@_-</c:formatCode>
                <c:ptCount val="34"/>
                <c:pt idx="0">
                  <c:v>68439.708347615408</c:v>
                </c:pt>
                <c:pt idx="1">
                  <c:v>64886.148572305057</c:v>
                </c:pt>
                <c:pt idx="2">
                  <c:v>61517.098453473154</c:v>
                </c:pt>
                <c:pt idx="3">
                  <c:v>58322.977791126912</c:v>
                </c:pt>
                <c:pt idx="4">
                  <c:v>55294.7038130703</c:v>
                </c:pt>
                <c:pt idx="5">
                  <c:v>52423.665347216403</c:v>
                </c:pt>
                <c:pt idx="6">
                  <c:v>49701.698334937471</c:v>
                </c:pt>
                <c:pt idx="7">
                  <c:v>47121.062615822855</c:v>
                </c:pt>
                <c:pt idx="8">
                  <c:v>44674.419917829786</c:v>
                </c:pt>
                <c:pt idx="9">
                  <c:v>42354.812990240433</c:v>
                </c:pt>
                <c:pt idx="10">
                  <c:v>40155.6458200876</c:v>
                </c:pt>
                <c:pt idx="11">
                  <c:v>38070.664875792791</c:v>
                </c:pt>
                <c:pt idx="12">
                  <c:v>36093.941324681233</c:v>
                </c:pt>
                <c:pt idx="13">
                  <c:v>34219.854173807704</c:v>
                </c:pt>
                <c:pt idx="14">
                  <c:v>33020.827958397946</c:v>
                </c:pt>
                <c:pt idx="15">
                  <c:v>31863.814308498775</c:v>
                </c:pt>
                <c:pt idx="16">
                  <c:v>31026.640678920034</c:v>
                </c:pt>
                <c:pt idx="17">
                  <c:v>30599.645843827457</c:v>
                </c:pt>
                <c:pt idx="18">
                  <c:v>29792.958730348542</c:v>
                </c:pt>
                <c:pt idx="19">
                  <c:v>26029.621149740618</c:v>
                </c:pt>
                <c:pt idx="20">
                  <c:v>22001.915644904147</c:v>
                </c:pt>
                <c:pt idx="21">
                  <c:v>20538.244994661018</c:v>
                </c:pt>
                <c:pt idx="22">
                  <c:v>19074.574344417884</c:v>
                </c:pt>
                <c:pt idx="23">
                  <c:v>17610.903694174744</c:v>
                </c:pt>
                <c:pt idx="24">
                  <c:v>16324.447981700068</c:v>
                </c:pt>
                <c:pt idx="25">
                  <c:v>15037.992269225393</c:v>
                </c:pt>
                <c:pt idx="26">
                  <c:v>13751.536556750709</c:v>
                </c:pt>
                <c:pt idx="27">
                  <c:v>12465.080844276034</c:v>
                </c:pt>
                <c:pt idx="28">
                  <c:v>11178.625131801355</c:v>
                </c:pt>
                <c:pt idx="29">
                  <c:v>8943.1554947192762</c:v>
                </c:pt>
                <c:pt idx="30">
                  <c:v>6707.6858576371924</c:v>
                </c:pt>
                <c:pt idx="31">
                  <c:v>4472.2162205551103</c:v>
                </c:pt>
                <c:pt idx="32">
                  <c:v>2236.7465834730297</c:v>
                </c:pt>
                <c:pt idx="33">
                  <c:v>1.2769463909484784</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_-* #,##0_-;\-* #,##0_-;_-* "-"??_-;_-@_-</c:formatCode>
                <c:ptCount val="34"/>
                <c:pt idx="0">
                  <c:v>6080.5670370000007</c:v>
                </c:pt>
                <c:pt idx="1">
                  <c:v>6438.0790075299101</c:v>
                </c:pt>
                <c:pt idx="2">
                  <c:v>6634.6363936607713</c:v>
                </c:pt>
                <c:pt idx="3">
                  <c:v>6523.7374137082334</c:v>
                </c:pt>
                <c:pt idx="4">
                  <c:v>6975.0063256406702</c:v>
                </c:pt>
                <c:pt idx="5">
                  <c:v>7414.9963085309673</c:v>
                </c:pt>
                <c:pt idx="6">
                  <c:v>7880.5158774965339</c:v>
                </c:pt>
                <c:pt idx="7">
                  <c:v>8503.0592769430677</c:v>
                </c:pt>
                <c:pt idx="8">
                  <c:v>9150.2913877054598</c:v>
                </c:pt>
                <c:pt idx="9">
                  <c:v>9748.5730662157803</c:v>
                </c:pt>
                <c:pt idx="10">
                  <c:v>10311.466237506627</c:v>
                </c:pt>
                <c:pt idx="11">
                  <c:v>10904.210565287234</c:v>
                </c:pt>
                <c:pt idx="12">
                  <c:v>11372.944828410727</c:v>
                </c:pt>
                <c:pt idx="13">
                  <c:v>11909.235890596654</c:v>
                </c:pt>
                <c:pt idx="14">
                  <c:v>11720.650339046395</c:v>
                </c:pt>
                <c:pt idx="15">
                  <c:v>11713.946941305298</c:v>
                </c:pt>
                <c:pt idx="16">
                  <c:v>11646.242134050357</c:v>
                </c:pt>
                <c:pt idx="17">
                  <c:v>11562.711556108356</c:v>
                </c:pt>
                <c:pt idx="18">
                  <c:v>7636.2189325871359</c:v>
                </c:pt>
                <c:pt idx="19">
                  <c:v>6507.4052874351546</c:v>
                </c:pt>
                <c:pt idx="20">
                  <c:v>5500.4789112260369</c:v>
                </c:pt>
                <c:pt idx="21">
                  <c:v>5134.5612486652544</c:v>
                </c:pt>
                <c:pt idx="22">
                  <c:v>4768.6435861044711</c:v>
                </c:pt>
                <c:pt idx="23">
                  <c:v>4402.7259235436859</c:v>
                </c:pt>
                <c:pt idx="24">
                  <c:v>4081.1119954250171</c:v>
                </c:pt>
                <c:pt idx="25">
                  <c:v>3759.4980673063483</c:v>
                </c:pt>
                <c:pt idx="26">
                  <c:v>3437.8841391876772</c:v>
                </c:pt>
                <c:pt idx="27">
                  <c:v>3116.2702110690084</c:v>
                </c:pt>
                <c:pt idx="28">
                  <c:v>2794.6562829503387</c:v>
                </c:pt>
                <c:pt idx="29">
                  <c:v>2235.7888736798191</c:v>
                </c:pt>
                <c:pt idx="30">
                  <c:v>1676.9214644092981</c:v>
                </c:pt>
                <c:pt idx="31">
                  <c:v>1118.0540551387776</c:v>
                </c:pt>
                <c:pt idx="32">
                  <c:v>559.18664586825741</c:v>
                </c:pt>
                <c:pt idx="33">
                  <c:v>0.3192365977371196</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1793.8246078249765</c:v>
                </c:pt>
                <c:pt idx="2">
                  <c:v>1878.6693594882986</c:v>
                </c:pt>
                <c:pt idx="3">
                  <c:v>1831.998471140033</c:v>
                </c:pt>
                <c:pt idx="4">
                  <c:v>1947.2945311541612</c:v>
                </c:pt>
                <c:pt idx="5">
                  <c:v>2059.3723526974704</c:v>
                </c:pt>
                <c:pt idx="6">
                  <c:v>2171.5755999006997</c:v>
                </c:pt>
                <c:pt idx="7">
                  <c:v>2289.6997004049217</c:v>
                </c:pt>
                <c:pt idx="8">
                  <c:v>2408.1113071487689</c:v>
                </c:pt>
                <c:pt idx="9">
                  <c:v>2527.6686334669353</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_-* #,##0_-;\-* #,##0_-;_-* "-"??_-;_-@_-</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_-* #,##0_-;\-* #,##0_-;_-* "-"??_-;_-@_-</c:formatCode>
                <c:ptCount val="34"/>
                <c:pt idx="0">
                  <c:v>6573.3162308435367</c:v>
                </c:pt>
                <c:pt idx="1">
                  <c:v>6782.3257195400192</c:v>
                </c:pt>
                <c:pt idx="2">
                  <c:v>6996.3761941639132</c:v>
                </c:pt>
                <c:pt idx="3">
                  <c:v>7215.5760361663397</c:v>
                </c:pt>
                <c:pt idx="4">
                  <c:v>7405.9355442178767</c:v>
                </c:pt>
                <c:pt idx="5">
                  <c:v>7599.7221031332638</c:v>
                </c:pt>
                <c:pt idx="6">
                  <c:v>7796.9893950863434</c:v>
                </c:pt>
                <c:pt idx="7">
                  <c:v>7997.7918841172905</c:v>
                </c:pt>
                <c:pt idx="8">
                  <c:v>8202.1848270207192</c:v>
                </c:pt>
                <c:pt idx="9">
                  <c:v>8396.3580112842246</c:v>
                </c:pt>
                <c:pt idx="10">
                  <c:v>8593.5598052314726</c:v>
                </c:pt>
                <c:pt idx="11">
                  <c:v>8793.8310253748859</c:v>
                </c:pt>
                <c:pt idx="12">
                  <c:v>8997.2129983908544</c:v>
                </c:pt>
                <c:pt idx="13">
                  <c:v>9203.7475672090277</c:v>
                </c:pt>
                <c:pt idx="14">
                  <c:v>9282.2948493766726</c:v>
                </c:pt>
                <c:pt idx="15">
                  <c:v>9361.5124753896816</c:v>
                </c:pt>
                <c:pt idx="16">
                  <c:v>9441.4061661445412</c:v>
                </c:pt>
                <c:pt idx="17">
                  <c:v>9521.9816913614286</c:v>
                </c:pt>
                <c:pt idx="18">
                  <c:v>9603.2448700008808</c:v>
                </c:pt>
                <c:pt idx="19">
                  <c:v>9673.5517280323329</c:v>
                </c:pt>
                <c:pt idx="20">
                  <c:v>9744.373313570286</c:v>
                </c:pt>
                <c:pt idx="21">
                  <c:v>9815.7133950153402</c:v>
                </c:pt>
                <c:pt idx="22">
                  <c:v>9887.5757683571446</c:v>
                </c:pt>
                <c:pt idx="23">
                  <c:v>9959.9642573763813</c:v>
                </c:pt>
                <c:pt idx="24">
                  <c:v>10021.82489338851</c:v>
                </c:pt>
                <c:pt idx="25">
                  <c:v>10084.069741450892</c:v>
                </c:pt>
                <c:pt idx="26">
                  <c:v>10146.701187877499</c:v>
                </c:pt>
                <c:pt idx="27">
                  <c:v>10209.721633803518</c:v>
                </c:pt>
                <c:pt idx="28">
                  <c:v>10273.133495277429</c:v>
                </c:pt>
                <c:pt idx="29">
                  <c:v>10325.57619787088</c:v>
                </c:pt>
                <c:pt idx="30">
                  <c:v>10378.286612069227</c:v>
                </c:pt>
                <c:pt idx="31">
                  <c:v>10431.266104497367</c:v>
                </c:pt>
                <c:pt idx="32">
                  <c:v>10484.516048756612</c:v>
                </c:pt>
                <c:pt idx="33">
                  <c:v>10538.037825460278</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_-* #,##0_-;\-* #,##0_-;_-* "-"??_-;_-@_-</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_-* #,##0_-;\-* #,##0_-;_-* "-"??_-;_-@_-</c:formatCode>
                <c:ptCount val="34"/>
                <c:pt idx="0">
                  <c:v>2912.8310946643915</c:v>
                </c:pt>
                <c:pt idx="1">
                  <c:v>2839.8920266362888</c:v>
                </c:pt>
                <c:pt idx="2">
                  <c:v>2790.1340039583492</c:v>
                </c:pt>
                <c:pt idx="3">
                  <c:v>2714.9921597943135</c:v>
                </c:pt>
                <c:pt idx="4">
                  <c:v>2495.9999708032969</c:v>
                </c:pt>
                <c:pt idx="5">
                  <c:v>2077.3097892951496</c:v>
                </c:pt>
                <c:pt idx="6">
                  <c:v>1970.0466539559834</c:v>
                </c:pt>
                <c:pt idx="7">
                  <c:v>1860.9462287798847</c:v>
                </c:pt>
                <c:pt idx="8">
                  <c:v>1749.9415912754064</c:v>
                </c:pt>
                <c:pt idx="9">
                  <c:v>1637.9319391935446</c:v>
                </c:pt>
                <c:pt idx="10">
                  <c:v>1523.7384504067129</c:v>
                </c:pt>
                <c:pt idx="11">
                  <c:v>1407.2822804818311</c:v>
                </c:pt>
                <c:pt idx="12">
                  <c:v>1288.4810408660949</c:v>
                </c:pt>
                <c:pt idx="13">
                  <c:v>1167.2485919680901</c:v>
                </c:pt>
                <c:pt idx="14">
                  <c:v>1029.4341404879635</c:v>
                </c:pt>
                <c:pt idx="15">
                  <c:v>892.47602065707667</c:v>
                </c:pt>
                <c:pt idx="16">
                  <c:v>889.83047765739286</c:v>
                </c:pt>
                <c:pt idx="17">
                  <c:v>887.22276171023486</c:v>
                </c:pt>
                <c:pt idx="18">
                  <c:v>884.65215943695455</c:v>
                </c:pt>
                <c:pt idx="19">
                  <c:v>882.47470165118193</c:v>
                </c:pt>
                <c:pt idx="20">
                  <c:v>880.32364615924473</c:v>
                </c:pt>
                <c:pt idx="21">
                  <c:v>878.19857184859723</c:v>
                </c:pt>
                <c:pt idx="22">
                  <c:v>876.09906635235745</c:v>
                </c:pt>
                <c:pt idx="23">
                  <c:v>874.0247258231359</c:v>
                </c:pt>
                <c:pt idx="24">
                  <c:v>872.2834308675798</c:v>
                </c:pt>
                <c:pt idx="25">
                  <c:v>870.55974478933149</c:v>
                </c:pt>
                <c:pt idx="26">
                  <c:v>868.85343437032486</c:v>
                </c:pt>
                <c:pt idx="27">
                  <c:v>867.16427041134273</c:v>
                </c:pt>
                <c:pt idx="28">
                  <c:v>865.49202764570771</c:v>
                </c:pt>
                <c:pt idx="29">
                  <c:v>864.12935707133613</c:v>
                </c:pt>
                <c:pt idx="30">
                  <c:v>862.77785899073763</c:v>
                </c:pt>
                <c:pt idx="31">
                  <c:v>861.43741386644547</c:v>
                </c:pt>
                <c:pt idx="32">
                  <c:v>860.10790382401149</c:v>
                </c:pt>
                <c:pt idx="33">
                  <c:v>858.78921262314645</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_-* #,##0_-;\-* #,##0_-;_-* "-"??_-;_-@_-</c:formatCode>
                <c:ptCount val="34"/>
                <c:pt idx="0">
                  <c:v>68439.708347615408</c:v>
                </c:pt>
                <c:pt idx="1">
                  <c:v>64333.325846758482</c:v>
                </c:pt>
                <c:pt idx="2">
                  <c:v>60911.340429377713</c:v>
                </c:pt>
                <c:pt idx="3">
                  <c:v>55436.163761568474</c:v>
                </c:pt>
                <c:pt idx="4">
                  <c:v>44485.810425950018</c:v>
                </c:pt>
                <c:pt idx="5">
                  <c:v>36990.114545712036</c:v>
                </c:pt>
                <c:pt idx="6">
                  <c:v>35646.599237840281</c:v>
                </c:pt>
                <c:pt idx="7">
                  <c:v>35033.228046348915</c:v>
                </c:pt>
                <c:pt idx="8">
                  <c:v>34173.470194546295</c:v>
                </c:pt>
                <c:pt idx="9">
                  <c:v>32728.158504852316</c:v>
                </c:pt>
                <c:pt idx="10">
                  <c:v>30949.926501104819</c:v>
                </c:pt>
                <c:pt idx="11">
                  <c:v>29184.882794720124</c:v>
                </c:pt>
                <c:pt idx="12">
                  <c:v>26934.091855532108</c:v>
                </c:pt>
                <c:pt idx="13">
                  <c:v>24947.942381405108</c:v>
                </c:pt>
                <c:pt idx="14">
                  <c:v>24103.211210652789</c:v>
                </c:pt>
                <c:pt idx="15">
                  <c:v>23783.167889179564</c:v>
                </c:pt>
                <c:pt idx="16">
                  <c:v>23269.980509190023</c:v>
                </c:pt>
                <c:pt idx="17">
                  <c:v>22949.734382870593</c:v>
                </c:pt>
                <c:pt idx="18">
                  <c:v>22156.739797761405</c:v>
                </c:pt>
                <c:pt idx="19">
                  <c:v>18770.298862305463</c:v>
                </c:pt>
                <c:pt idx="20">
                  <c:v>15749.519733678108</c:v>
                </c:pt>
                <c:pt idx="21">
                  <c:v>14651.766745995763</c:v>
                </c:pt>
                <c:pt idx="22">
                  <c:v>13687.941669523079</c:v>
                </c:pt>
                <c:pt idx="23">
                  <c:v>13208.177770631059</c:v>
                </c:pt>
                <c:pt idx="24">
                  <c:v>12243.335986275051</c:v>
                </c:pt>
                <c:pt idx="25">
                  <c:v>11278.494201919044</c:v>
                </c:pt>
                <c:pt idx="26">
                  <c:v>10313.652417563031</c:v>
                </c:pt>
                <c:pt idx="27">
                  <c:v>9348.8106332070238</c:v>
                </c:pt>
                <c:pt idx="28">
                  <c:v>8383.9688488510146</c:v>
                </c:pt>
                <c:pt idx="29">
                  <c:v>6707.3666210394558</c:v>
                </c:pt>
                <c:pt idx="30">
                  <c:v>5030.7643932278934</c:v>
                </c:pt>
                <c:pt idx="31">
                  <c:v>3354.1621654163328</c:v>
                </c:pt>
                <c:pt idx="32">
                  <c:v>1677.5599376047719</c:v>
                </c:pt>
                <c:pt idx="33">
                  <c:v>0.95770979321135863</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_-* #,##0_-;\-* #,##0_-;_-* "-"??_-;_-@_-</c:formatCode>
                <c:ptCount val="34"/>
                <c:pt idx="0">
                  <c:v>6080.5670370000007</c:v>
                </c:pt>
                <c:pt idx="1">
                  <c:v>7454.7480611260207</c:v>
                </c:pt>
                <c:pt idx="2">
                  <c:v>8563.155476176491</c:v>
                </c:pt>
                <c:pt idx="3">
                  <c:v>9203.2770862680991</c:v>
                </c:pt>
                <c:pt idx="4">
                  <c:v>10517.983465901121</c:v>
                </c:pt>
                <c:pt idx="5">
                  <c:v>11757.063788642328</c:v>
                </c:pt>
                <c:pt idx="6">
                  <c:v>12971.779611845708</c:v>
                </c:pt>
                <c:pt idx="7">
                  <c:v>14418.991233854049</c:v>
                </c:pt>
                <c:pt idx="8">
                  <c:v>15829.700338874749</c:v>
                </c:pt>
                <c:pt idx="9">
                  <c:v>17031.483472706295</c:v>
                </c:pt>
                <c:pt idx="10">
                  <c:v>18048.627314353078</c:v>
                </c:pt>
                <c:pt idx="11">
                  <c:v>19009.527403083772</c:v>
                </c:pt>
                <c:pt idx="12">
                  <c:v>19603.240788447583</c:v>
                </c:pt>
                <c:pt idx="13">
                  <c:v>20225.216684398358</c:v>
                </c:pt>
                <c:pt idx="14">
                  <c:v>19755.05407593066</c:v>
                </c:pt>
                <c:pt idx="15">
                  <c:v>19641.66957103182</c:v>
                </c:pt>
                <c:pt idx="16">
                  <c:v>19402.902303780367</c:v>
                </c:pt>
                <c:pt idx="17">
                  <c:v>19212.62301706522</c:v>
                </c:pt>
                <c:pt idx="18">
                  <c:v>15272.437865174272</c:v>
                </c:pt>
                <c:pt idx="19">
                  <c:v>13014.810574870309</c:v>
                </c:pt>
                <c:pt idx="20">
                  <c:v>11000.957822452074</c:v>
                </c:pt>
                <c:pt idx="21">
                  <c:v>10269.122497330509</c:v>
                </c:pt>
                <c:pt idx="22">
                  <c:v>9537.2871722089421</c:v>
                </c:pt>
                <c:pt idx="23">
                  <c:v>8805.4518470873718</c:v>
                </c:pt>
                <c:pt idx="24">
                  <c:v>8162.2239908500342</c:v>
                </c:pt>
                <c:pt idx="25">
                  <c:v>7518.9961346126966</c:v>
                </c:pt>
                <c:pt idx="26">
                  <c:v>6875.7682783753544</c:v>
                </c:pt>
                <c:pt idx="27">
                  <c:v>6232.5404221380168</c:v>
                </c:pt>
                <c:pt idx="28">
                  <c:v>5589.3125659006773</c:v>
                </c:pt>
                <c:pt idx="29">
                  <c:v>4471.5777473596381</c:v>
                </c:pt>
                <c:pt idx="30">
                  <c:v>3353.8429288185962</c:v>
                </c:pt>
                <c:pt idx="31">
                  <c:v>2236.1081102775552</c:v>
                </c:pt>
                <c:pt idx="32">
                  <c:v>1118.3732917365148</c:v>
                </c:pt>
                <c:pt idx="33">
                  <c:v>0.6384731954742392</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_-* #,##0_-;\-* #,##0_-;_-* "-"??_-;_-@_-</c:formatCode>
                <c:ptCount val="34"/>
                <c:pt idx="0">
                  <c:v>1694.9190000000001</c:v>
                </c:pt>
                <c:pt idx="1">
                  <c:v>1793.8246078249765</c:v>
                </c:pt>
                <c:pt idx="2">
                  <c:v>1878.6693594882986</c:v>
                </c:pt>
                <c:pt idx="3">
                  <c:v>1907.190171140033</c:v>
                </c:pt>
                <c:pt idx="4">
                  <c:v>2248.0613311541611</c:v>
                </c:pt>
                <c:pt idx="5">
                  <c:v>2435.3308526974706</c:v>
                </c:pt>
                <c:pt idx="6">
                  <c:v>2472.3423999006995</c:v>
                </c:pt>
                <c:pt idx="7">
                  <c:v>2515.2748004049222</c:v>
                </c:pt>
                <c:pt idx="8">
                  <c:v>2558.4947071487691</c:v>
                </c:pt>
                <c:pt idx="9">
                  <c:v>2602.8603334669356</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_-* #,##0_-;\-* #,##0_-;_-*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_-* #,##0_-;\-* #,##0_-;_-* "-"??_-;_-@_-</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_-* #,##0_-;\-* #,##0_-;_-* "-"??_-;_-@_-</c:formatCode>
                <c:ptCount val="34"/>
                <c:pt idx="0">
                  <c:v>68439.708347615408</c:v>
                </c:pt>
                <c:pt idx="1">
                  <c:v>64333.325846758482</c:v>
                </c:pt>
                <c:pt idx="2">
                  <c:v>60911.340429377713</c:v>
                </c:pt>
                <c:pt idx="3">
                  <c:v>55436.163761568474</c:v>
                </c:pt>
                <c:pt idx="4">
                  <c:v>44485.810425950018</c:v>
                </c:pt>
                <c:pt idx="5">
                  <c:v>36990.114545712036</c:v>
                </c:pt>
                <c:pt idx="6">
                  <c:v>35646.599237840281</c:v>
                </c:pt>
                <c:pt idx="7">
                  <c:v>35033.228046348915</c:v>
                </c:pt>
                <c:pt idx="8">
                  <c:v>34173.470194546295</c:v>
                </c:pt>
                <c:pt idx="9">
                  <c:v>32728.158504852316</c:v>
                </c:pt>
                <c:pt idx="10">
                  <c:v>30949.926501104819</c:v>
                </c:pt>
                <c:pt idx="11">
                  <c:v>29184.882794720124</c:v>
                </c:pt>
                <c:pt idx="12">
                  <c:v>26934.091855532108</c:v>
                </c:pt>
                <c:pt idx="13">
                  <c:v>24947.942381405108</c:v>
                </c:pt>
                <c:pt idx="14">
                  <c:v>24103.211210652789</c:v>
                </c:pt>
                <c:pt idx="15">
                  <c:v>23783.167889179564</c:v>
                </c:pt>
                <c:pt idx="16">
                  <c:v>23269.980509190023</c:v>
                </c:pt>
                <c:pt idx="17">
                  <c:v>22949.734382870593</c:v>
                </c:pt>
                <c:pt idx="18">
                  <c:v>22156.739797761405</c:v>
                </c:pt>
                <c:pt idx="19">
                  <c:v>18770.298862305463</c:v>
                </c:pt>
                <c:pt idx="20">
                  <c:v>15749.519733678108</c:v>
                </c:pt>
                <c:pt idx="21">
                  <c:v>14651.766745995763</c:v>
                </c:pt>
                <c:pt idx="22">
                  <c:v>13687.941669523079</c:v>
                </c:pt>
                <c:pt idx="23">
                  <c:v>13208.177770631059</c:v>
                </c:pt>
                <c:pt idx="24">
                  <c:v>12243.335986275051</c:v>
                </c:pt>
                <c:pt idx="25">
                  <c:v>11278.494201919044</c:v>
                </c:pt>
                <c:pt idx="26">
                  <c:v>10313.652417563031</c:v>
                </c:pt>
                <c:pt idx="27">
                  <c:v>9348.8106332070238</c:v>
                </c:pt>
                <c:pt idx="28">
                  <c:v>8383.9688488510146</c:v>
                </c:pt>
                <c:pt idx="29">
                  <c:v>6707.3666210394558</c:v>
                </c:pt>
                <c:pt idx="30">
                  <c:v>5030.7643932278934</c:v>
                </c:pt>
                <c:pt idx="31">
                  <c:v>3354.1621654163328</c:v>
                </c:pt>
                <c:pt idx="32">
                  <c:v>1677.5599376047719</c:v>
                </c:pt>
                <c:pt idx="33">
                  <c:v>0.95770979321135863</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_-* #,##0_-;\-* #,##0_-;_-* "-"??_-;_-@_-</c:formatCode>
                <c:ptCount val="34"/>
                <c:pt idx="0">
                  <c:v>6080.5670370000007</c:v>
                </c:pt>
                <c:pt idx="1">
                  <c:v>7454.7480611260207</c:v>
                </c:pt>
                <c:pt idx="2">
                  <c:v>8563.155476176491</c:v>
                </c:pt>
                <c:pt idx="3">
                  <c:v>9203.2770862680991</c:v>
                </c:pt>
                <c:pt idx="4">
                  <c:v>10517.983465901121</c:v>
                </c:pt>
                <c:pt idx="5">
                  <c:v>11757.063788642328</c:v>
                </c:pt>
                <c:pt idx="6">
                  <c:v>12971.779611845708</c:v>
                </c:pt>
                <c:pt idx="7">
                  <c:v>14418.991233854049</c:v>
                </c:pt>
                <c:pt idx="8">
                  <c:v>15829.700338874749</c:v>
                </c:pt>
                <c:pt idx="9">
                  <c:v>17031.483472706295</c:v>
                </c:pt>
                <c:pt idx="10">
                  <c:v>18048.627314353078</c:v>
                </c:pt>
                <c:pt idx="11">
                  <c:v>19009.527403083772</c:v>
                </c:pt>
                <c:pt idx="12">
                  <c:v>19603.240788447583</c:v>
                </c:pt>
                <c:pt idx="13">
                  <c:v>20225.216684398358</c:v>
                </c:pt>
                <c:pt idx="14">
                  <c:v>19755.05407593066</c:v>
                </c:pt>
                <c:pt idx="15">
                  <c:v>19641.66957103182</c:v>
                </c:pt>
                <c:pt idx="16">
                  <c:v>19402.902303780367</c:v>
                </c:pt>
                <c:pt idx="17">
                  <c:v>19212.62301706522</c:v>
                </c:pt>
                <c:pt idx="18">
                  <c:v>15272.437865174272</c:v>
                </c:pt>
                <c:pt idx="19">
                  <c:v>13014.810574870309</c:v>
                </c:pt>
                <c:pt idx="20">
                  <c:v>11000.957822452074</c:v>
                </c:pt>
                <c:pt idx="21">
                  <c:v>10269.122497330509</c:v>
                </c:pt>
                <c:pt idx="22">
                  <c:v>9537.2871722089421</c:v>
                </c:pt>
                <c:pt idx="23">
                  <c:v>8805.4518470873718</c:v>
                </c:pt>
                <c:pt idx="24">
                  <c:v>8162.2239908500342</c:v>
                </c:pt>
                <c:pt idx="25">
                  <c:v>7518.9961346126966</c:v>
                </c:pt>
                <c:pt idx="26">
                  <c:v>6875.7682783753544</c:v>
                </c:pt>
                <c:pt idx="27">
                  <c:v>6232.5404221380168</c:v>
                </c:pt>
                <c:pt idx="28">
                  <c:v>5589.3125659006773</c:v>
                </c:pt>
                <c:pt idx="29">
                  <c:v>4471.5777473596381</c:v>
                </c:pt>
                <c:pt idx="30">
                  <c:v>3353.8429288185962</c:v>
                </c:pt>
                <c:pt idx="31">
                  <c:v>2236.1081102775552</c:v>
                </c:pt>
                <c:pt idx="32">
                  <c:v>1118.3732917365148</c:v>
                </c:pt>
                <c:pt idx="33">
                  <c:v>0.6384731954742392</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1793.8246078249765</c:v>
                </c:pt>
                <c:pt idx="2">
                  <c:v>1878.6693594882986</c:v>
                </c:pt>
                <c:pt idx="3">
                  <c:v>1907.190171140033</c:v>
                </c:pt>
                <c:pt idx="4">
                  <c:v>2248.0613311541611</c:v>
                </c:pt>
                <c:pt idx="5">
                  <c:v>2435.3308526974706</c:v>
                </c:pt>
                <c:pt idx="6">
                  <c:v>2472.3423999006995</c:v>
                </c:pt>
                <c:pt idx="7">
                  <c:v>2515.2748004049222</c:v>
                </c:pt>
                <c:pt idx="8">
                  <c:v>2558.4947071487691</c:v>
                </c:pt>
                <c:pt idx="9">
                  <c:v>2602.8603334669356</c:v>
                </c:pt>
                <c:pt idx="10">
                  <c:v>2646.1731704518984</c:v>
                </c:pt>
                <c:pt idx="11">
                  <c:v>2691.530631344991</c:v>
                </c:pt>
                <c:pt idx="12">
                  <c:v>2734.9387524288591</c:v>
                </c:pt>
                <c:pt idx="13">
                  <c:v>2779.6537556460157</c:v>
                </c:pt>
                <c:pt idx="14">
                  <c:v>2832.1304900599107</c:v>
                </c:pt>
                <c:pt idx="15">
                  <c:v>2888.549661721353</c:v>
                </c:pt>
                <c:pt idx="16">
                  <c:v>2946.8761945712818</c:v>
                </c:pt>
                <c:pt idx="17">
                  <c:v>2959.9785922623614</c:v>
                </c:pt>
                <c:pt idx="18">
                  <c:v>751.91700000000026</c:v>
                </c:pt>
                <c:pt idx="19">
                  <c:v>751.91700000000026</c:v>
                </c:pt>
                <c:pt idx="20">
                  <c:v>751.91700000000026</c:v>
                </c:pt>
                <c:pt idx="21">
                  <c:v>751.91700000000026</c:v>
                </c:pt>
                <c:pt idx="22">
                  <c:v>751.91700000000026</c:v>
                </c:pt>
                <c:pt idx="23">
                  <c:v>751.91700000000026</c:v>
                </c:pt>
                <c:pt idx="24">
                  <c:v>751.91700000000026</c:v>
                </c:pt>
                <c:pt idx="25">
                  <c:v>751.91700000000026</c:v>
                </c:pt>
                <c:pt idx="26">
                  <c:v>751.91700000000026</c:v>
                </c:pt>
                <c:pt idx="27">
                  <c:v>751.91700000000026</c:v>
                </c:pt>
                <c:pt idx="28">
                  <c:v>751.91700000000026</c:v>
                </c:pt>
                <c:pt idx="29">
                  <c:v>751.91700000000026</c:v>
                </c:pt>
                <c:pt idx="30">
                  <c:v>751.91700000000026</c:v>
                </c:pt>
                <c:pt idx="31">
                  <c:v>751.91700000000026</c:v>
                </c:pt>
                <c:pt idx="32">
                  <c:v>751.91700000000026</c:v>
                </c:pt>
                <c:pt idx="33">
                  <c:v>751.91700000000026</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11444.695310738029</c:v>
                </c:pt>
                <c:pt idx="2">
                  <c:v>11508.976772243002</c:v>
                </c:pt>
                <c:pt idx="3">
                  <c:v>10697.471192969046</c:v>
                </c:pt>
                <c:pt idx="4">
                  <c:v>10964.533564988158</c:v>
                </c:pt>
                <c:pt idx="5">
                  <c:v>11210.165090100914</c:v>
                </c:pt>
                <c:pt idx="6">
                  <c:v>11456.631847947434</c:v>
                </c:pt>
                <c:pt idx="7">
                  <c:v>11742.526666144084</c:v>
                </c:pt>
                <c:pt idx="8">
                  <c:v>12030.33604171797</c:v>
                </c:pt>
                <c:pt idx="9">
                  <c:v>12325.774976448984</c:v>
                </c:pt>
                <c:pt idx="10">
                  <c:v>12614.203191735462</c:v>
                </c:pt>
                <c:pt idx="11">
                  <c:v>12916.246936869558</c:v>
                </c:pt>
                <c:pt idx="12">
                  <c:v>13205.309666644245</c:v>
                </c:pt>
                <c:pt idx="13">
                  <c:v>13503.075166949178</c:v>
                </c:pt>
                <c:pt idx="14">
                  <c:v>13852.527474963932</c:v>
                </c:pt>
                <c:pt idx="15">
                  <c:v>14228.233203865982</c:v>
                </c:pt>
                <c:pt idx="16">
                  <c:v>14616.640404705622</c:v>
                </c:pt>
                <c:pt idx="17">
                  <c:v>14703.891701205175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111.05358464486912</c:v>
                </c:pt>
                <c:pt idx="7">
                  <c:v>111.48215319455257</c:v>
                </c:pt>
                <c:pt idx="8">
                  <c:v>108.35289622576529</c:v>
                </c:pt>
                <c:pt idx="9">
                  <c:v>105.1186362544142</c:v>
                </c:pt>
                <c:pt idx="10">
                  <c:v>100.77627847921866</c:v>
                </c:pt>
                <c:pt idx="11">
                  <c:v>98.401954304803496</c:v>
                </c:pt>
                <c:pt idx="12">
                  <c:v>96.177507802704497</c:v>
                </c:pt>
                <c:pt idx="13">
                  <c:v>94.1558059479229</c:v>
                </c:pt>
                <c:pt idx="14">
                  <c:v>92.503675184629756</c:v>
                </c:pt>
                <c:pt idx="15">
                  <c:v>91.037047043609661</c:v>
                </c:pt>
                <c:pt idx="16">
                  <c:v>89.669595248859622</c:v>
                </c:pt>
                <c:pt idx="17">
                  <c:v>88.401400463402908</c:v>
                </c:pt>
                <c:pt idx="18">
                  <c:v>86.867056487076852</c:v>
                </c:pt>
                <c:pt idx="19">
                  <c:v>85.327222271885603</c:v>
                </c:pt>
                <c:pt idx="20">
                  <c:v>83.991490455063186</c:v>
                </c:pt>
                <c:pt idx="21">
                  <c:v>82.7128751616263</c:v>
                </c:pt>
                <c:pt idx="22">
                  <c:v>81.689430706585838</c:v>
                </c:pt>
                <c:pt idx="23">
                  <c:v>80.940508363506183</c:v>
                </c:pt>
                <c:pt idx="24">
                  <c:v>80.240628361242258</c:v>
                </c:pt>
                <c:pt idx="25">
                  <c:v>58.306851367295017</c:v>
                </c:pt>
                <c:pt idx="26">
                  <c:v>53.117866314010143</c:v>
                </c:pt>
                <c:pt idx="27">
                  <c:v>48.021012563928778</c:v>
                </c:pt>
                <c:pt idx="28">
                  <c:v>46.025114253468232</c:v>
                </c:pt>
                <c:pt idx="29">
                  <c:v>44.029908674726798</c:v>
                </c:pt>
                <c:pt idx="30">
                  <c:v>42.035394730100741</c:v>
                </c:pt>
                <c:pt idx="31">
                  <c:v>40.254197360467735</c:v>
                </c:pt>
                <c:pt idx="32">
                  <c:v>38.473525294565306</c:v>
                </c:pt>
                <c:pt idx="33">
                  <c:v>36.69337763612954</c:v>
                </c:pt>
                <c:pt idx="34">
                  <c:v>34.913753548103472</c:v>
                </c:pt>
                <c:pt idx="35">
                  <c:v>33.13465225178949</c:v>
                </c:pt>
                <c:pt idx="36">
                  <c:v>30.16056369496733</c:v>
                </c:pt>
                <c:pt idx="37">
                  <c:v>27.186853926781762</c:v>
                </c:pt>
                <c:pt idx="38">
                  <c:v>24.435698656525084</c:v>
                </c:pt>
                <c:pt idx="39">
                  <c:v>21.684776266700407</c:v>
                </c:pt>
                <c:pt idx="40">
                  <c:v>18.934087834158248</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111.05358464486912</c:v>
                </c:pt>
                <c:pt idx="7">
                  <c:v>111.48215319455257</c:v>
                </c:pt>
                <c:pt idx="8">
                  <c:v>108.35289622576529</c:v>
                </c:pt>
                <c:pt idx="9">
                  <c:v>105.1186362544142</c:v>
                </c:pt>
                <c:pt idx="10">
                  <c:v>100.77627847921866</c:v>
                </c:pt>
                <c:pt idx="11">
                  <c:v>98.401954304803496</c:v>
                </c:pt>
                <c:pt idx="12">
                  <c:v>96.177507802704497</c:v>
                </c:pt>
                <c:pt idx="13">
                  <c:v>94.1558059479229</c:v>
                </c:pt>
                <c:pt idx="14">
                  <c:v>92.503675184629756</c:v>
                </c:pt>
                <c:pt idx="15">
                  <c:v>91.037047043609661</c:v>
                </c:pt>
                <c:pt idx="16">
                  <c:v>89.669595248859622</c:v>
                </c:pt>
                <c:pt idx="17">
                  <c:v>88.401400463402908</c:v>
                </c:pt>
                <c:pt idx="18">
                  <c:v>86.867056487076852</c:v>
                </c:pt>
                <c:pt idx="19">
                  <c:v>85.327222271885603</c:v>
                </c:pt>
                <c:pt idx="20">
                  <c:v>83.991490455063186</c:v>
                </c:pt>
                <c:pt idx="21">
                  <c:v>82.7128751616263</c:v>
                </c:pt>
                <c:pt idx="22">
                  <c:v>81.689430706585838</c:v>
                </c:pt>
                <c:pt idx="23">
                  <c:v>80.940508363506183</c:v>
                </c:pt>
                <c:pt idx="24">
                  <c:v>80.240628361242258</c:v>
                </c:pt>
                <c:pt idx="25">
                  <c:v>58.306851367295017</c:v>
                </c:pt>
                <c:pt idx="26">
                  <c:v>53.117866314010143</c:v>
                </c:pt>
                <c:pt idx="27">
                  <c:v>48.021012563928778</c:v>
                </c:pt>
                <c:pt idx="28">
                  <c:v>46.025114253468232</c:v>
                </c:pt>
                <c:pt idx="29">
                  <c:v>44.029908674726798</c:v>
                </c:pt>
                <c:pt idx="30">
                  <c:v>42.035394730100741</c:v>
                </c:pt>
                <c:pt idx="31">
                  <c:v>40.254197360467735</c:v>
                </c:pt>
                <c:pt idx="32">
                  <c:v>38.473525294565306</c:v>
                </c:pt>
                <c:pt idx="33">
                  <c:v>36.69337763612954</c:v>
                </c:pt>
                <c:pt idx="34">
                  <c:v>34.913753548103472</c:v>
                </c:pt>
                <c:pt idx="35">
                  <c:v>33.13465225178949</c:v>
                </c:pt>
                <c:pt idx="36">
                  <c:v>30.16056369496733</c:v>
                </c:pt>
                <c:pt idx="37">
                  <c:v>27.186853926781762</c:v>
                </c:pt>
                <c:pt idx="38">
                  <c:v>24.435698656525084</c:v>
                </c:pt>
                <c:pt idx="39">
                  <c:v>21.684776266700407</c:v>
                </c:pt>
                <c:pt idx="40">
                  <c:v>18.934087834158248</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111.05358464486912</c:v>
                </c:pt>
                <c:pt idx="7">
                  <c:v>111.48215319455257</c:v>
                </c:pt>
                <c:pt idx="8">
                  <c:v>108.83172470800969</c:v>
                </c:pt>
                <c:pt idx="9">
                  <c:v>106.57771234372578</c:v>
                </c:pt>
                <c:pt idx="10">
                  <c:v>100.8189050917279</c:v>
                </c:pt>
                <c:pt idx="11">
                  <c:v>91.192908137843304</c:v>
                </c:pt>
                <c:pt idx="12">
                  <c:v>84.079382376176127</c:v>
                </c:pt>
                <c:pt idx="13">
                  <c:v>83.98974440871261</c:v>
                </c:pt>
                <c:pt idx="14">
                  <c:v>84.909793177326478</c:v>
                </c:pt>
                <c:pt idx="15">
                  <c:v>85.550841073802417</c:v>
                </c:pt>
                <c:pt idx="16">
                  <c:v>85.394959666711983</c:v>
                </c:pt>
                <c:pt idx="17">
                  <c:v>84.714299917584299</c:v>
                </c:pt>
                <c:pt idx="18">
                  <c:v>84.007051611717188</c:v>
                </c:pt>
                <c:pt idx="19">
                  <c:v>82.432704697692955</c:v>
                </c:pt>
                <c:pt idx="20">
                  <c:v>81.161992798500165</c:v>
                </c:pt>
                <c:pt idx="21">
                  <c:v>79.855439947937498</c:v>
                </c:pt>
                <c:pt idx="22">
                  <c:v>79.462075583852211</c:v>
                </c:pt>
                <c:pt idx="23">
                  <c:v>79.234102818055973</c:v>
                </c:pt>
                <c:pt idx="24">
                  <c:v>78.901898908481755</c:v>
                </c:pt>
                <c:pt idx="25">
                  <c:v>57.335458454380252</c:v>
                </c:pt>
                <c:pt idx="26">
                  <c:v>51.759519628866023</c:v>
                </c:pt>
                <c:pt idx="27">
                  <c:v>46.793558277866452</c:v>
                </c:pt>
                <c:pt idx="28">
                  <c:v>45.033184972196949</c:v>
                </c:pt>
                <c:pt idx="29">
                  <c:v>43.407287438448272</c:v>
                </c:pt>
                <c:pt idx="30">
                  <c:v>42.266002362924688</c:v>
                </c:pt>
                <c:pt idx="31">
                  <c:v>40.718052063387915</c:v>
                </c:pt>
                <c:pt idx="32">
                  <c:v>39.170503584778714</c:v>
                </c:pt>
                <c:pt idx="33">
                  <c:v>37.623359080192948</c:v>
                </c:pt>
                <c:pt idx="34">
                  <c:v>36.076620721566641</c:v>
                </c:pt>
                <c:pt idx="35">
                  <c:v>34.530290699681565</c:v>
                </c:pt>
                <c:pt idx="36">
                  <c:v>31.78703368534805</c:v>
                </c:pt>
                <c:pt idx="37">
                  <c:v>29.044055555113193</c:v>
                </c:pt>
                <c:pt idx="38">
                  <c:v>26.301357556064438</c:v>
                </c:pt>
                <c:pt idx="39">
                  <c:v>23.558940943928651</c:v>
                </c:pt>
                <c:pt idx="40">
                  <c:v>20.816806983078848</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111.48215319455257</c:v>
                </c:pt>
                <c:pt idx="7">
                  <c:v>111.48215319455257</c:v>
                </c:pt>
                <c:pt idx="8">
                  <c:v>108.83172470800969</c:v>
                </c:pt>
                <c:pt idx="9">
                  <c:v>106.57771234372578</c:v>
                </c:pt>
                <c:pt idx="10">
                  <c:v>100.8189050917279</c:v>
                </c:pt>
                <c:pt idx="11">
                  <c:v>91.192908137843304</c:v>
                </c:pt>
                <c:pt idx="12">
                  <c:v>84.079382376176127</c:v>
                </c:pt>
                <c:pt idx="13">
                  <c:v>83.98974440871261</c:v>
                </c:pt>
                <c:pt idx="14">
                  <c:v>84.909793177326478</c:v>
                </c:pt>
                <c:pt idx="15">
                  <c:v>85.550841073802417</c:v>
                </c:pt>
                <c:pt idx="16">
                  <c:v>85.394959666711983</c:v>
                </c:pt>
                <c:pt idx="17">
                  <c:v>84.714299917584299</c:v>
                </c:pt>
                <c:pt idx="18">
                  <c:v>84.007051611717188</c:v>
                </c:pt>
                <c:pt idx="19">
                  <c:v>82.432704697692955</c:v>
                </c:pt>
                <c:pt idx="20">
                  <c:v>81.161992798500165</c:v>
                </c:pt>
                <c:pt idx="21">
                  <c:v>79.855439947937498</c:v>
                </c:pt>
                <c:pt idx="22">
                  <c:v>79.462075583852211</c:v>
                </c:pt>
                <c:pt idx="23">
                  <c:v>79.234102818055973</c:v>
                </c:pt>
                <c:pt idx="24">
                  <c:v>78.901898908481755</c:v>
                </c:pt>
                <c:pt idx="25">
                  <c:v>57.335458454380252</c:v>
                </c:pt>
                <c:pt idx="26">
                  <c:v>51.759519628866023</c:v>
                </c:pt>
                <c:pt idx="27">
                  <c:v>46.793558277866452</c:v>
                </c:pt>
                <c:pt idx="28">
                  <c:v>45.033184972196949</c:v>
                </c:pt>
                <c:pt idx="29">
                  <c:v>43.407287438448272</c:v>
                </c:pt>
                <c:pt idx="30">
                  <c:v>42.266002362924688</c:v>
                </c:pt>
                <c:pt idx="31">
                  <c:v>40.718052063387915</c:v>
                </c:pt>
                <c:pt idx="32">
                  <c:v>39.170503584778714</c:v>
                </c:pt>
                <c:pt idx="33">
                  <c:v>37.623359080192948</c:v>
                </c:pt>
                <c:pt idx="34">
                  <c:v>36.076620721566641</c:v>
                </c:pt>
                <c:pt idx="35">
                  <c:v>34.530290699681565</c:v>
                </c:pt>
                <c:pt idx="36">
                  <c:v>31.78703368534805</c:v>
                </c:pt>
                <c:pt idx="37">
                  <c:v>29.044055555113193</c:v>
                </c:pt>
                <c:pt idx="38">
                  <c:v>26.301357556064438</c:v>
                </c:pt>
                <c:pt idx="39">
                  <c:v>23.558940943928651</c:v>
                </c:pt>
                <c:pt idx="40">
                  <c:v>20.816806983078848</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111.05358464486912</c:v>
                </c:pt>
                <c:pt idx="7">
                  <c:v>111.48215319455257</c:v>
                </c:pt>
                <c:pt idx="8">
                  <c:v>108.83172470800969</c:v>
                </c:pt>
                <c:pt idx="9">
                  <c:v>106.57771234372578</c:v>
                </c:pt>
                <c:pt idx="10">
                  <c:v>100.8189050917279</c:v>
                </c:pt>
                <c:pt idx="11">
                  <c:v>91.192908137843304</c:v>
                </c:pt>
                <c:pt idx="12">
                  <c:v>84.079382376176127</c:v>
                </c:pt>
                <c:pt idx="13">
                  <c:v>83.98974440871261</c:v>
                </c:pt>
                <c:pt idx="14">
                  <c:v>84.909793177326478</c:v>
                </c:pt>
                <c:pt idx="15">
                  <c:v>85.550841073802417</c:v>
                </c:pt>
                <c:pt idx="16">
                  <c:v>85.394959666711983</c:v>
                </c:pt>
                <c:pt idx="17">
                  <c:v>84.714299917584299</c:v>
                </c:pt>
                <c:pt idx="18">
                  <c:v>84.007051611717188</c:v>
                </c:pt>
                <c:pt idx="19">
                  <c:v>82.432704697692955</c:v>
                </c:pt>
                <c:pt idx="20">
                  <c:v>81.161992798500165</c:v>
                </c:pt>
                <c:pt idx="21">
                  <c:v>79.855439947937498</c:v>
                </c:pt>
                <c:pt idx="22">
                  <c:v>79.462075583852211</c:v>
                </c:pt>
                <c:pt idx="23">
                  <c:v>79.234102818055973</c:v>
                </c:pt>
                <c:pt idx="24">
                  <c:v>78.901898908481755</c:v>
                </c:pt>
                <c:pt idx="25">
                  <c:v>57.335458454380252</c:v>
                </c:pt>
                <c:pt idx="26">
                  <c:v>51.759519628866023</c:v>
                </c:pt>
                <c:pt idx="27">
                  <c:v>46.793558277866452</c:v>
                </c:pt>
                <c:pt idx="28">
                  <c:v>45.033184972196949</c:v>
                </c:pt>
                <c:pt idx="29">
                  <c:v>43.407287438448272</c:v>
                </c:pt>
                <c:pt idx="30">
                  <c:v>42.266002362924688</c:v>
                </c:pt>
                <c:pt idx="31">
                  <c:v>40.718052063387915</c:v>
                </c:pt>
                <c:pt idx="32">
                  <c:v>39.170503584778714</c:v>
                </c:pt>
                <c:pt idx="33">
                  <c:v>37.623359080192948</c:v>
                </c:pt>
                <c:pt idx="34">
                  <c:v>36.076620721566641</c:v>
                </c:pt>
                <c:pt idx="35">
                  <c:v>34.530290699681565</c:v>
                </c:pt>
                <c:pt idx="36">
                  <c:v>31.78703368534805</c:v>
                </c:pt>
                <c:pt idx="37">
                  <c:v>29.044055555113193</c:v>
                </c:pt>
                <c:pt idx="38">
                  <c:v>26.301357556064438</c:v>
                </c:pt>
                <c:pt idx="39">
                  <c:v>23.558940943928651</c:v>
                </c:pt>
                <c:pt idx="40">
                  <c:v>20.816806983078848</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105.08595489277583</c:v>
                </c:pt>
                <c:pt idx="1">
                  <c:v>107.68477290866026</c:v>
                </c:pt>
                <c:pt idx="2">
                  <c:v>108.73845456301778</c:v>
                </c:pt>
                <c:pt idx="3">
                  <c:v>110.03003078445566</c:v>
                </c:pt>
                <c:pt idx="4">
                  <c:v>110.83655376145735</c:v>
                </c:pt>
                <c:pt idx="5">
                  <c:v>110.95094690302808</c:v>
                </c:pt>
                <c:pt idx="6">
                  <c:v>111.05358464486912</c:v>
                </c:pt>
                <c:pt idx="7">
                  <c:v>111.48215319455257</c:v>
                </c:pt>
                <c:pt idx="8">
                  <c:v>108.83172470800969</c:v>
                </c:pt>
                <c:pt idx="9">
                  <c:v>106.57771234372578</c:v>
                </c:pt>
                <c:pt idx="10">
                  <c:v>100.8189050917279</c:v>
                </c:pt>
                <c:pt idx="11">
                  <c:v>91.192908137843304</c:v>
                </c:pt>
                <c:pt idx="12">
                  <c:v>84.079382376176127</c:v>
                </c:pt>
                <c:pt idx="13">
                  <c:v>83.98974440871261</c:v>
                </c:pt>
                <c:pt idx="14">
                  <c:v>84.909793177326478</c:v>
                </c:pt>
                <c:pt idx="15">
                  <c:v>85.550841073802417</c:v>
                </c:pt>
                <c:pt idx="16">
                  <c:v>85.394959666711983</c:v>
                </c:pt>
                <c:pt idx="17">
                  <c:v>84.714299917584299</c:v>
                </c:pt>
                <c:pt idx="18">
                  <c:v>84.007051611717188</c:v>
                </c:pt>
                <c:pt idx="19">
                  <c:v>82.432704697692955</c:v>
                </c:pt>
                <c:pt idx="20">
                  <c:v>81.161992798500165</c:v>
                </c:pt>
                <c:pt idx="21">
                  <c:v>79.855439947937498</c:v>
                </c:pt>
                <c:pt idx="22">
                  <c:v>79.462075583852211</c:v>
                </c:pt>
                <c:pt idx="23">
                  <c:v>79.234102818055973</c:v>
                </c:pt>
                <c:pt idx="24">
                  <c:v>78.901898908481755</c:v>
                </c:pt>
                <c:pt idx="25">
                  <c:v>57.335458454380252</c:v>
                </c:pt>
                <c:pt idx="26">
                  <c:v>51.759519628866023</c:v>
                </c:pt>
                <c:pt idx="27">
                  <c:v>46.793558277866452</c:v>
                </c:pt>
                <c:pt idx="28">
                  <c:v>45.033184972196949</c:v>
                </c:pt>
                <c:pt idx="29">
                  <c:v>43.407287438448272</c:v>
                </c:pt>
                <c:pt idx="30">
                  <c:v>42.266002362924688</c:v>
                </c:pt>
                <c:pt idx="31">
                  <c:v>40.718052063387915</c:v>
                </c:pt>
                <c:pt idx="32">
                  <c:v>39.170503584778714</c:v>
                </c:pt>
                <c:pt idx="33">
                  <c:v>37.623359080192948</c:v>
                </c:pt>
                <c:pt idx="34">
                  <c:v>36.076620721566641</c:v>
                </c:pt>
                <c:pt idx="35">
                  <c:v>34.530290699681565</c:v>
                </c:pt>
                <c:pt idx="36">
                  <c:v>31.78703368534805</c:v>
                </c:pt>
                <c:pt idx="37">
                  <c:v>29.044055555113193</c:v>
                </c:pt>
                <c:pt idx="38">
                  <c:v>26.301357556064438</c:v>
                </c:pt>
                <c:pt idx="39">
                  <c:v>23.558940943928651</c:v>
                </c:pt>
                <c:pt idx="40">
                  <c:v>20.816806983078848</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0.30364986200065908</c:v>
                </c:pt>
                <c:pt idx="9">
                  <c:v>0.31949343574792161</c:v>
                </c:pt>
                <c:pt idx="10">
                  <c:v>0.32702711411175933</c:v>
                </c:pt>
                <c:pt idx="11">
                  <c:v>0.34657460964899484</c:v>
                </c:pt>
                <c:pt idx="12">
                  <c:v>0.3661739901807825</c:v>
                </c:pt>
                <c:pt idx="13">
                  <c:v>0.38618101380033737</c:v>
                </c:pt>
                <c:pt idx="14">
                  <c:v>0.40765833526081857</c:v>
                </c:pt>
                <c:pt idx="15">
                  <c:v>0.42936690792905707</c:v>
                </c:pt>
                <c:pt idx="16">
                  <c:v>0.45074533683016904</c:v>
                </c:pt>
                <c:pt idx="17">
                  <c:v>0.47179359455982506</c:v>
                </c:pt>
                <c:pt idx="18">
                  <c:v>0.49037403173060734</c:v>
                </c:pt>
                <c:pt idx="19">
                  <c:v>0.50811577608664127</c:v>
                </c:pt>
                <c:pt idx="20">
                  <c:v>0.52623926901169349</c:v>
                </c:pt>
                <c:pt idx="21">
                  <c:v>0.53660139717192534</c:v>
                </c:pt>
                <c:pt idx="22">
                  <c:v>0.54818874482218549</c:v>
                </c:pt>
                <c:pt idx="23">
                  <c:v>0.55761066488085442</c:v>
                </c:pt>
                <c:pt idx="24">
                  <c:v>0.5623612296209447</c:v>
                </c:pt>
                <c:pt idx="25">
                  <c:v>0.41609074911414473</c:v>
                </c:pt>
                <c:pt idx="26">
                  <c:v>0.43486511239483194</c:v>
                </c:pt>
                <c:pt idx="27">
                  <c:v>0.46060432130398071</c:v>
                </c:pt>
                <c:pt idx="28">
                  <c:v>0.47264670745952791</c:v>
                </c:pt>
                <c:pt idx="29">
                  <c:v>0.48578897617289196</c:v>
                </c:pt>
                <c:pt idx="30">
                  <c:v>0.50018708207519103</c:v>
                </c:pt>
                <c:pt idx="31">
                  <c:v>0.51418191409092184</c:v>
                </c:pt>
                <c:pt idx="32">
                  <c:v>0.52947901737193426</c:v>
                </c:pt>
                <c:pt idx="33">
                  <c:v>0.54626731539515305</c:v>
                </c:pt>
                <c:pt idx="34">
                  <c:v>0.56477413588829528</c:v>
                </c:pt>
                <c:pt idx="35">
                  <c:v>0.58527549140310686</c:v>
                </c:pt>
                <c:pt idx="36">
                  <c:v>0.62404143443668714</c:v>
                </c:pt>
                <c:pt idx="37">
                  <c:v>0.67129362676179261</c:v>
                </c:pt>
                <c:pt idx="38">
                  <c:v>0.72576914574292761</c:v>
                </c:pt>
                <c:pt idx="39">
                  <c:v>0.79406968165391756</c:v>
                </c:pt>
                <c:pt idx="40">
                  <c:v>0.88221860686840703</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0.30364986200065908</c:v>
                </c:pt>
                <c:pt idx="9">
                  <c:v>0.31949343574792161</c:v>
                </c:pt>
                <c:pt idx="10">
                  <c:v>0.32702711411175933</c:v>
                </c:pt>
                <c:pt idx="11">
                  <c:v>0.34657460964899484</c:v>
                </c:pt>
                <c:pt idx="12">
                  <c:v>0.3661739901807825</c:v>
                </c:pt>
                <c:pt idx="13">
                  <c:v>0.38618101380033737</c:v>
                </c:pt>
                <c:pt idx="14">
                  <c:v>0.40765833526081857</c:v>
                </c:pt>
                <c:pt idx="15">
                  <c:v>0.42936690792905707</c:v>
                </c:pt>
                <c:pt idx="16">
                  <c:v>0.45074533683016904</c:v>
                </c:pt>
                <c:pt idx="17">
                  <c:v>0.47179359455982506</c:v>
                </c:pt>
                <c:pt idx="18">
                  <c:v>0.49037403173060734</c:v>
                </c:pt>
                <c:pt idx="19">
                  <c:v>0.50811577608664127</c:v>
                </c:pt>
                <c:pt idx="20">
                  <c:v>0.52623926901169349</c:v>
                </c:pt>
                <c:pt idx="21">
                  <c:v>0.53660139717192534</c:v>
                </c:pt>
                <c:pt idx="22">
                  <c:v>0.54818874482218549</c:v>
                </c:pt>
                <c:pt idx="23">
                  <c:v>0.55761066488085442</c:v>
                </c:pt>
                <c:pt idx="24">
                  <c:v>0.5623612296209447</c:v>
                </c:pt>
                <c:pt idx="25">
                  <c:v>0.41609074911414473</c:v>
                </c:pt>
                <c:pt idx="26">
                  <c:v>0.43486511239483194</c:v>
                </c:pt>
                <c:pt idx="27">
                  <c:v>0.46060432130398071</c:v>
                </c:pt>
                <c:pt idx="28">
                  <c:v>0.47264670745952791</c:v>
                </c:pt>
                <c:pt idx="29">
                  <c:v>0.48578897617289196</c:v>
                </c:pt>
                <c:pt idx="30">
                  <c:v>0.50018708207519103</c:v>
                </c:pt>
                <c:pt idx="31">
                  <c:v>0.51418191409092184</c:v>
                </c:pt>
                <c:pt idx="32">
                  <c:v>0.52947901737193426</c:v>
                </c:pt>
                <c:pt idx="33">
                  <c:v>0.54626731539515305</c:v>
                </c:pt>
                <c:pt idx="34">
                  <c:v>0.56477413588829528</c:v>
                </c:pt>
                <c:pt idx="35">
                  <c:v>0.58527549140310686</c:v>
                </c:pt>
                <c:pt idx="36">
                  <c:v>0.62404143443668714</c:v>
                </c:pt>
                <c:pt idx="37">
                  <c:v>0.67129362676179261</c:v>
                </c:pt>
                <c:pt idx="38">
                  <c:v>0.72576914574292761</c:v>
                </c:pt>
                <c:pt idx="39">
                  <c:v>0.79406968165391756</c:v>
                </c:pt>
                <c:pt idx="40">
                  <c:v>0.88221860686840703</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0.31262032609967511</c:v>
                </c:pt>
                <c:pt idx="9">
                  <c:v>0.33541894556819557</c:v>
                </c:pt>
                <c:pt idx="10">
                  <c:v>0.36060772329052165</c:v>
                </c:pt>
                <c:pt idx="11">
                  <c:v>0.43274721745870259</c:v>
                </c:pt>
                <c:pt idx="12">
                  <c:v>0.49378635898790341</c:v>
                </c:pt>
                <c:pt idx="13">
                  <c:v>0.51322278306491953</c:v>
                </c:pt>
                <c:pt idx="14">
                  <c:v>0.5296584716087146</c:v>
                </c:pt>
                <c:pt idx="15">
                  <c:v>0.54714035986241105</c:v>
                </c:pt>
                <c:pt idx="16">
                  <c:v>0.56715372180911028</c:v>
                </c:pt>
                <c:pt idx="17">
                  <c:v>0.58861328543473979</c:v>
                </c:pt>
                <c:pt idx="18">
                  <c:v>0.61014019370274497</c:v>
                </c:pt>
                <c:pt idx="19">
                  <c:v>0.63405469836360973</c:v>
                </c:pt>
                <c:pt idx="20">
                  <c:v>0.65691588381958144</c:v>
                </c:pt>
                <c:pt idx="21">
                  <c:v>0.66606735284547747</c:v>
                </c:pt>
                <c:pt idx="22">
                  <c:v>0.67264919781609989</c:v>
                </c:pt>
                <c:pt idx="23">
                  <c:v>0.67818419217625725</c:v>
                </c:pt>
                <c:pt idx="24">
                  <c:v>0.68088802642801638</c:v>
                </c:pt>
                <c:pt idx="25">
                  <c:v>0.57468647235887615</c:v>
                </c:pt>
                <c:pt idx="26">
                  <c:v>0.59429482133395761</c:v>
                </c:pt>
                <c:pt idx="27">
                  <c:v>0.61579485100678721</c:v>
                </c:pt>
                <c:pt idx="28">
                  <c:v>0.62515258352679648</c:v>
                </c:pt>
                <c:pt idx="29">
                  <c:v>0.6333162262561266</c:v>
                </c:pt>
                <c:pt idx="30">
                  <c:v>0.63476592996728776</c:v>
                </c:pt>
                <c:pt idx="31">
                  <c:v>0.64457675283341964</c:v>
                </c:pt>
                <c:pt idx="32">
                  <c:v>0.65516653445425665</c:v>
                </c:pt>
                <c:pt idx="33">
                  <c:v>0.66663107652824538</c:v>
                </c:pt>
                <c:pt idx="34">
                  <c:v>0.67908255546013296</c:v>
                </c:pt>
                <c:pt idx="35">
                  <c:v>0.69265317695859885</c:v>
                </c:pt>
                <c:pt idx="36">
                  <c:v>0.71887364496201267</c:v>
                </c:pt>
                <c:pt idx="37">
                  <c:v>0.75004969000129851</c:v>
                </c:pt>
                <c:pt idx="38">
                  <c:v>0.787730787283214</c:v>
                </c:pt>
                <c:pt idx="39">
                  <c:v>0.83418752806867424</c:v>
                </c:pt>
                <c:pt idx="40">
                  <c:v>0.89288635822017004</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0.31262032609967511</c:v>
                </c:pt>
                <c:pt idx="9">
                  <c:v>0.33541894556819557</c:v>
                </c:pt>
                <c:pt idx="10">
                  <c:v>0.36060772329052165</c:v>
                </c:pt>
                <c:pt idx="11">
                  <c:v>0.43274721745870259</c:v>
                </c:pt>
                <c:pt idx="12">
                  <c:v>0.49378635898790341</c:v>
                </c:pt>
                <c:pt idx="13">
                  <c:v>0.51322278306491953</c:v>
                </c:pt>
                <c:pt idx="14">
                  <c:v>0.5296584716087146</c:v>
                </c:pt>
                <c:pt idx="15">
                  <c:v>0.54714035986241105</c:v>
                </c:pt>
                <c:pt idx="16">
                  <c:v>0.56715372180911028</c:v>
                </c:pt>
                <c:pt idx="17">
                  <c:v>0.58861328543473979</c:v>
                </c:pt>
                <c:pt idx="18">
                  <c:v>0.61014019370274497</c:v>
                </c:pt>
                <c:pt idx="19">
                  <c:v>0.63405469836360973</c:v>
                </c:pt>
                <c:pt idx="20">
                  <c:v>0.65691588381958144</c:v>
                </c:pt>
                <c:pt idx="21">
                  <c:v>0.66606735284547747</c:v>
                </c:pt>
                <c:pt idx="22">
                  <c:v>0.67264919781609989</c:v>
                </c:pt>
                <c:pt idx="23">
                  <c:v>0.67818419217625725</c:v>
                </c:pt>
                <c:pt idx="24">
                  <c:v>0.68088802642801638</c:v>
                </c:pt>
                <c:pt idx="25">
                  <c:v>0.57468647235887615</c:v>
                </c:pt>
                <c:pt idx="26">
                  <c:v>0.59429482133395761</c:v>
                </c:pt>
                <c:pt idx="27">
                  <c:v>0.61579485100678721</c:v>
                </c:pt>
                <c:pt idx="28">
                  <c:v>0.62515258352679648</c:v>
                </c:pt>
                <c:pt idx="29">
                  <c:v>0.6333162262561266</c:v>
                </c:pt>
                <c:pt idx="30">
                  <c:v>0.63476592996728776</c:v>
                </c:pt>
                <c:pt idx="31">
                  <c:v>0.64457675283341964</c:v>
                </c:pt>
                <c:pt idx="32">
                  <c:v>0.65516653445425665</c:v>
                </c:pt>
                <c:pt idx="33">
                  <c:v>0.66663107652824538</c:v>
                </c:pt>
                <c:pt idx="34">
                  <c:v>0.67908255546013296</c:v>
                </c:pt>
                <c:pt idx="35">
                  <c:v>0.69265317695859885</c:v>
                </c:pt>
                <c:pt idx="36">
                  <c:v>0.71887364496201267</c:v>
                </c:pt>
                <c:pt idx="37">
                  <c:v>0.75004969000129851</c:v>
                </c:pt>
                <c:pt idx="38">
                  <c:v>0.787730787283214</c:v>
                </c:pt>
                <c:pt idx="39">
                  <c:v>0.83418752806867424</c:v>
                </c:pt>
                <c:pt idx="40">
                  <c:v>0.89288635822017004</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0.31262032609967511</c:v>
                </c:pt>
                <c:pt idx="9">
                  <c:v>0.33541894556819557</c:v>
                </c:pt>
                <c:pt idx="10">
                  <c:v>0.36060772329052165</c:v>
                </c:pt>
                <c:pt idx="11">
                  <c:v>0.43274721745870259</c:v>
                </c:pt>
                <c:pt idx="12">
                  <c:v>0.49378635898790341</c:v>
                </c:pt>
                <c:pt idx="13">
                  <c:v>0.51322278306491953</c:v>
                </c:pt>
                <c:pt idx="14">
                  <c:v>0.5296584716087146</c:v>
                </c:pt>
                <c:pt idx="15">
                  <c:v>0.54714035986241105</c:v>
                </c:pt>
                <c:pt idx="16">
                  <c:v>0.56715372180911028</c:v>
                </c:pt>
                <c:pt idx="17">
                  <c:v>0.58861328543473979</c:v>
                </c:pt>
                <c:pt idx="18">
                  <c:v>0.61014019370274497</c:v>
                </c:pt>
                <c:pt idx="19">
                  <c:v>0.63405469836360973</c:v>
                </c:pt>
                <c:pt idx="20">
                  <c:v>0.65691588381958144</c:v>
                </c:pt>
                <c:pt idx="21">
                  <c:v>0.66606735284547747</c:v>
                </c:pt>
                <c:pt idx="22">
                  <c:v>0.67264919781609989</c:v>
                </c:pt>
                <c:pt idx="23">
                  <c:v>0.67818419217625725</c:v>
                </c:pt>
                <c:pt idx="24">
                  <c:v>0.68088802642801638</c:v>
                </c:pt>
                <c:pt idx="25">
                  <c:v>0.57468647235887615</c:v>
                </c:pt>
                <c:pt idx="26">
                  <c:v>0.59429482133395761</c:v>
                </c:pt>
                <c:pt idx="27">
                  <c:v>0.61579485100678721</c:v>
                </c:pt>
                <c:pt idx="28">
                  <c:v>0.62515258352679648</c:v>
                </c:pt>
                <c:pt idx="29">
                  <c:v>0.6333162262561266</c:v>
                </c:pt>
                <c:pt idx="30">
                  <c:v>0.63476592996728776</c:v>
                </c:pt>
                <c:pt idx="31">
                  <c:v>0.64457675283341964</c:v>
                </c:pt>
                <c:pt idx="32">
                  <c:v>0.65516653445425665</c:v>
                </c:pt>
                <c:pt idx="33">
                  <c:v>0.66663107652824538</c:v>
                </c:pt>
                <c:pt idx="34">
                  <c:v>0.67908255546013296</c:v>
                </c:pt>
                <c:pt idx="35">
                  <c:v>0.69265317695859885</c:v>
                </c:pt>
                <c:pt idx="36">
                  <c:v>0.71887364496201267</c:v>
                </c:pt>
                <c:pt idx="37">
                  <c:v>0.75004969000129851</c:v>
                </c:pt>
                <c:pt idx="38">
                  <c:v>0.787730787283214</c:v>
                </c:pt>
                <c:pt idx="39">
                  <c:v>0.83418752806867424</c:v>
                </c:pt>
                <c:pt idx="40">
                  <c:v>0.89288635822017004</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0.20918157256289699</c:v>
                </c:pt>
                <c:pt idx="1">
                  <c:v>0.22739261384230819</c:v>
                </c:pt>
                <c:pt idx="2">
                  <c:v>0.2448860138442206</c:v>
                </c:pt>
                <c:pt idx="3">
                  <c:v>0.25410501929868723</c:v>
                </c:pt>
                <c:pt idx="4">
                  <c:v>0.26281172544541681</c:v>
                </c:pt>
                <c:pt idx="5">
                  <c:v>0.27121003098768603</c:v>
                </c:pt>
                <c:pt idx="6">
                  <c:v>0.27905887115605288</c:v>
                </c:pt>
                <c:pt idx="7">
                  <c:v>0.28613022309776337</c:v>
                </c:pt>
                <c:pt idx="8">
                  <c:v>0.31262032609967511</c:v>
                </c:pt>
                <c:pt idx="9">
                  <c:v>0.33541894556819557</c:v>
                </c:pt>
                <c:pt idx="10">
                  <c:v>0.36060772329052165</c:v>
                </c:pt>
                <c:pt idx="11">
                  <c:v>0.43274721745870259</c:v>
                </c:pt>
                <c:pt idx="12">
                  <c:v>0.49378635898790341</c:v>
                </c:pt>
                <c:pt idx="13">
                  <c:v>0.51322278306491953</c:v>
                </c:pt>
                <c:pt idx="14">
                  <c:v>0.5296584716087146</c:v>
                </c:pt>
                <c:pt idx="15">
                  <c:v>0.54714035986241105</c:v>
                </c:pt>
                <c:pt idx="16">
                  <c:v>0.56715372180911028</c:v>
                </c:pt>
                <c:pt idx="17">
                  <c:v>0.58861328543473979</c:v>
                </c:pt>
                <c:pt idx="18">
                  <c:v>0.61014019370274497</c:v>
                </c:pt>
                <c:pt idx="19">
                  <c:v>0.63405469836360973</c:v>
                </c:pt>
                <c:pt idx="20">
                  <c:v>0.65691588381958144</c:v>
                </c:pt>
                <c:pt idx="21">
                  <c:v>0.66606735284547747</c:v>
                </c:pt>
                <c:pt idx="22">
                  <c:v>0.67264919781609989</c:v>
                </c:pt>
                <c:pt idx="23">
                  <c:v>0.67818419217625725</c:v>
                </c:pt>
                <c:pt idx="24">
                  <c:v>0.68088802642801638</c:v>
                </c:pt>
                <c:pt idx="25">
                  <c:v>0.57468647235887615</c:v>
                </c:pt>
                <c:pt idx="26">
                  <c:v>0.59429482133395761</c:v>
                </c:pt>
                <c:pt idx="27">
                  <c:v>0.61579485100678721</c:v>
                </c:pt>
                <c:pt idx="28">
                  <c:v>0.62515258352679648</c:v>
                </c:pt>
                <c:pt idx="29">
                  <c:v>0.6333162262561266</c:v>
                </c:pt>
                <c:pt idx="30">
                  <c:v>0.63476592996728776</c:v>
                </c:pt>
                <c:pt idx="31">
                  <c:v>0.64457675283341964</c:v>
                </c:pt>
                <c:pt idx="32">
                  <c:v>0.65516653445425665</c:v>
                </c:pt>
                <c:pt idx="33">
                  <c:v>0.66663107652824538</c:v>
                </c:pt>
                <c:pt idx="34">
                  <c:v>0.67908255546013296</c:v>
                </c:pt>
                <c:pt idx="35">
                  <c:v>0.69265317695859885</c:v>
                </c:pt>
                <c:pt idx="36">
                  <c:v>0.71887364496201267</c:v>
                </c:pt>
                <c:pt idx="37">
                  <c:v>0.75004969000129851</c:v>
                </c:pt>
                <c:pt idx="38">
                  <c:v>0.787730787283214</c:v>
                </c:pt>
                <c:pt idx="39">
                  <c:v>0.83418752806867424</c:v>
                </c:pt>
                <c:pt idx="40">
                  <c:v>0.89288635822017004</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22109.32141069245</c:v>
                </c:pt>
                <c:pt idx="9">
                  <c:v>21848.333501491365</c:v>
                </c:pt>
                <c:pt idx="10">
                  <c:v>21559.513332874714</c:v>
                </c:pt>
                <c:pt idx="11">
                  <c:v>21273.936533235927</c:v>
                </c:pt>
                <c:pt idx="12">
                  <c:v>20971.977371280405</c:v>
                </c:pt>
                <c:pt idx="13">
                  <c:v>20668.065697714825</c:v>
                </c:pt>
                <c:pt idx="14">
                  <c:v>20360.386651925161</c:v>
                </c:pt>
                <c:pt idx="15">
                  <c:v>20047.26779304165</c:v>
                </c:pt>
                <c:pt idx="16">
                  <c:v>19726.062060139848</c:v>
                </c:pt>
                <c:pt idx="17">
                  <c:v>19408.773856981104</c:v>
                </c:pt>
                <c:pt idx="18">
                  <c:v>19037.137916414711</c:v>
                </c:pt>
                <c:pt idx="19">
                  <c:v>18679.15295628188</c:v>
                </c:pt>
                <c:pt idx="20">
                  <c:v>18338.191047526263</c:v>
                </c:pt>
                <c:pt idx="21">
                  <c:v>18008.968703431005</c:v>
                </c:pt>
                <c:pt idx="22">
                  <c:v>17694.5274788159</c:v>
                </c:pt>
                <c:pt idx="23">
                  <c:v>17390.995681373424</c:v>
                </c:pt>
                <c:pt idx="24">
                  <c:v>17093.345849196368</c:v>
                </c:pt>
                <c:pt idx="25">
                  <c:v>16487.672195805426</c:v>
                </c:pt>
                <c:pt idx="26">
                  <c:v>16132.528023879095</c:v>
                </c:pt>
                <c:pt idx="27">
                  <c:v>15871.611945104458</c:v>
                </c:pt>
                <c:pt idx="28">
                  <c:v>15623.417143589761</c:v>
                </c:pt>
                <c:pt idx="29">
                  <c:v>15387.522157284839</c:v>
                </c:pt>
                <c:pt idx="30">
                  <c:v>15163.285062321333</c:v>
                </c:pt>
                <c:pt idx="31">
                  <c:v>14943.967922586471</c:v>
                </c:pt>
                <c:pt idx="32">
                  <c:v>14734.901478693417</c:v>
                </c:pt>
                <c:pt idx="33">
                  <c:v>14535.535930931166</c:v>
                </c:pt>
                <c:pt idx="34">
                  <c:v>14345.348504223932</c:v>
                </c:pt>
                <c:pt idx="35">
                  <c:v>14163.842136929579</c:v>
                </c:pt>
                <c:pt idx="36">
                  <c:v>13984.008359143583</c:v>
                </c:pt>
                <c:pt idx="37">
                  <c:v>13811.729175307155</c:v>
                </c:pt>
                <c:pt idx="38">
                  <c:v>13652.648608940808</c:v>
                </c:pt>
                <c:pt idx="39">
                  <c:v>13506.220816813846</c:v>
                </c:pt>
                <c:pt idx="40">
                  <c:v>13371.863433473576</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22158.97259245834</c:v>
                </c:pt>
                <c:pt idx="9">
                  <c:v>21957.50797021369</c:v>
                </c:pt>
                <c:pt idx="10">
                  <c:v>21791.902236043363</c:v>
                </c:pt>
                <c:pt idx="11">
                  <c:v>21695.696938149857</c:v>
                </c:pt>
                <c:pt idx="12">
                  <c:v>21358.999875563029</c:v>
                </c:pt>
                <c:pt idx="13">
                  <c:v>20906.240317752003</c:v>
                </c:pt>
                <c:pt idx="14">
                  <c:v>20480.505736266896</c:v>
                </c:pt>
                <c:pt idx="15">
                  <c:v>20079.309492718101</c:v>
                </c:pt>
                <c:pt idx="16">
                  <c:v>19693.203143129009</c:v>
                </c:pt>
                <c:pt idx="17">
                  <c:v>19327.742863062085</c:v>
                </c:pt>
                <c:pt idx="18">
                  <c:v>18981.908572144581</c:v>
                </c:pt>
                <c:pt idx="19">
                  <c:v>18653.719388068203</c:v>
                </c:pt>
                <c:pt idx="20">
                  <c:v>18342.29881863507</c:v>
                </c:pt>
                <c:pt idx="21">
                  <c:v>17944.048981942375</c:v>
                </c:pt>
                <c:pt idx="22">
                  <c:v>17556.180298705476</c:v>
                </c:pt>
                <c:pt idx="23">
                  <c:v>17192.622887687539</c:v>
                </c:pt>
                <c:pt idx="24">
                  <c:v>16843.6335022028</c:v>
                </c:pt>
                <c:pt idx="25">
                  <c:v>16194.349559853807</c:v>
                </c:pt>
                <c:pt idx="26">
                  <c:v>15802.396526802113</c:v>
                </c:pt>
                <c:pt idx="27">
                  <c:v>15432.094192377674</c:v>
                </c:pt>
                <c:pt idx="28">
                  <c:v>15082.404488825667</c:v>
                </c:pt>
                <c:pt idx="29">
                  <c:v>14752.340044318384</c:v>
                </c:pt>
                <c:pt idx="30">
                  <c:v>14454.038262032544</c:v>
                </c:pt>
                <c:pt idx="31">
                  <c:v>14226.703217429686</c:v>
                </c:pt>
                <c:pt idx="32">
                  <c:v>14012.635864911517</c:v>
                </c:pt>
                <c:pt idx="33">
                  <c:v>13811.20245278372</c:v>
                </c:pt>
                <c:pt idx="34">
                  <c:v>13621.800160502262</c:v>
                </c:pt>
                <c:pt idx="35">
                  <c:v>13443.855594589506</c:v>
                </c:pt>
                <c:pt idx="36">
                  <c:v>13270.112539698781</c:v>
                </c:pt>
                <c:pt idx="37">
                  <c:v>13106.650020533478</c:v>
                </c:pt>
                <c:pt idx="38">
                  <c:v>12952.976019792995</c:v>
                </c:pt>
                <c:pt idx="39">
                  <c:v>12808.622506836738</c:v>
                </c:pt>
                <c:pt idx="40">
                  <c:v>12673.144271566576</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23181.332264215729</c:v>
                </c:pt>
                <c:pt idx="1">
                  <c:v>23324.137454536201</c:v>
                </c:pt>
                <c:pt idx="2">
                  <c:v>23294.661667464505</c:v>
                </c:pt>
                <c:pt idx="3">
                  <c:v>23166.515588111128</c:v>
                </c:pt>
                <c:pt idx="4">
                  <c:v>23003.998742904365</c:v>
                </c:pt>
                <c:pt idx="5">
                  <c:v>22808.487487133527</c:v>
                </c:pt>
                <c:pt idx="6">
                  <c:v>22583.425341520102</c:v>
                </c:pt>
                <c:pt idx="7">
                  <c:v>22332.399235106299</c:v>
                </c:pt>
                <c:pt idx="8">
                  <c:v>22096.653320613241</c:v>
                </c:pt>
                <c:pt idx="9">
                  <c:v>21824.082098833725</c:v>
                </c:pt>
                <c:pt idx="10">
                  <c:v>21570.187356939219</c:v>
                </c:pt>
                <c:pt idx="11">
                  <c:v>21329.664881290559</c:v>
                </c:pt>
                <c:pt idx="12">
                  <c:v>20856.507421784263</c:v>
                </c:pt>
                <c:pt idx="13">
                  <c:v>20401.687274127355</c:v>
                </c:pt>
                <c:pt idx="14">
                  <c:v>19973.563225421429</c:v>
                </c:pt>
                <c:pt idx="15">
                  <c:v>19569.967524547767</c:v>
                </c:pt>
                <c:pt idx="16">
                  <c:v>19181.402946905757</c:v>
                </c:pt>
                <c:pt idx="17">
                  <c:v>18813.54990909986</c:v>
                </c:pt>
                <c:pt idx="18">
                  <c:v>18465.21272440557</c:v>
                </c:pt>
                <c:pt idx="19">
                  <c:v>18134.636572085401</c:v>
                </c:pt>
                <c:pt idx="20">
                  <c:v>17820.760382642533</c:v>
                </c:pt>
                <c:pt idx="21">
                  <c:v>17419.620537635947</c:v>
                </c:pt>
                <c:pt idx="22">
                  <c:v>17028.634720855756</c:v>
                </c:pt>
                <c:pt idx="23">
                  <c:v>16661.848548799113</c:v>
                </c:pt>
                <c:pt idx="24">
                  <c:v>16312.188520375796</c:v>
                </c:pt>
                <c:pt idx="25">
                  <c:v>15788.037491602761</c:v>
                </c:pt>
                <c:pt idx="26">
                  <c:v>15396.149784834724</c:v>
                </c:pt>
                <c:pt idx="27">
                  <c:v>15025.909836754458</c:v>
                </c:pt>
                <c:pt idx="28">
                  <c:v>14676.279757144053</c:v>
                </c:pt>
                <c:pt idx="29">
                  <c:v>14346.272341420108</c:v>
                </c:pt>
                <c:pt idx="30">
                  <c:v>14048.025150310748</c:v>
                </c:pt>
                <c:pt idx="31">
                  <c:v>13820.742407700869</c:v>
                </c:pt>
                <c:pt idx="32">
                  <c:v>13606.725071872235</c:v>
                </c:pt>
                <c:pt idx="33">
                  <c:v>13405.339528939818</c:v>
                </c:pt>
                <c:pt idx="34">
                  <c:v>13215.98308817283</c:v>
                </c:pt>
                <c:pt idx="35">
                  <c:v>13038.082478376669</c:v>
                </c:pt>
                <c:pt idx="36">
                  <c:v>12864.38159939618</c:v>
                </c:pt>
                <c:pt idx="37">
                  <c:v>12700.959444748789</c:v>
                </c:pt>
                <c:pt idx="38">
                  <c:v>12547.324105912476</c:v>
                </c:pt>
                <c:pt idx="39">
                  <c:v>12403.007654707249</c:v>
                </c:pt>
                <c:pt idx="40">
                  <c:v>12267.564977545633</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50.343843445756853</c:v>
                </c:pt>
                <c:pt idx="9" formatCode="_(* #,##0_);_(* \(#,##0\);_(* &quot;-&quot;_);_(@_)">
                  <c:v>48.412890850439844</c:v>
                </c:pt>
                <c:pt idx="10" formatCode="_(* #,##0_);_(* \(#,##0\);_(* &quot;-&quot;_);_(@_)">
                  <c:v>45.517474780710387</c:v>
                </c:pt>
                <c:pt idx="11" formatCode="_(* #,##0_);_(* \(#,##0\);_(* &quot;-&quot;_);_(@_)">
                  <c:v>45.871162972715418</c:v>
                </c:pt>
                <c:pt idx="12" formatCode="_(* #,##0_);_(* \(#,##0\);_(* &quot;-&quot;_);_(@_)">
                  <c:v>45.764081347342724</c:v>
                </c:pt>
                <c:pt idx="13" formatCode="_(* #,##0_);_(* \(#,##0\);_(* &quot;-&quot;_);_(@_)">
                  <c:v>45.569695474175937</c:v>
                </c:pt>
                <c:pt idx="14" formatCode="_(* #,##0_);_(* \(#,##0\);_(* &quot;-&quot;_);_(@_)">
                  <c:v>46.327457455900245</c:v>
                </c:pt>
                <c:pt idx="15" formatCode="_(* #,##0_);_(* \(#,##0\);_(* &quot;-&quot;_);_(@_)">
                  <c:v>46.801820784301206</c:v>
                </c:pt>
                <c:pt idx="16" formatCode="_(* #,##0_);_(* \(#,##0\);_(* &quot;-&quot;_);_(@_)">
                  <c:v>46.479674028888766</c:v>
                </c:pt>
                <c:pt idx="17" formatCode="_(* #,##0_);_(* \(#,##0\);_(* &quot;-&quot;_);_(@_)">
                  <c:v>45.641833264745635</c:v>
                </c:pt>
                <c:pt idx="18" formatCode="_(* #,##0_);_(* \(#,##0\);_(* &quot;-&quot;_);_(@_)">
                  <c:v>44.757313865039073</c:v>
                </c:pt>
                <c:pt idx="19" formatCode="_(* #,##0_);_(* \(#,##0\);_(* &quot;-&quot;_);_(@_)">
                  <c:v>43.023314860788631</c:v>
                </c:pt>
                <c:pt idx="20" formatCode="_(* #,##0_);_(* \(#,##0\);_(* &quot;-&quot;_);_(@_)">
                  <c:v>41.579903969008512</c:v>
                </c:pt>
                <c:pt idx="21" formatCode="_(* #,##0_);_(* \(#,##0\);_(* &quot;-&quot;_);_(@_)">
                  <c:v>40.172018684421317</c:v>
                </c:pt>
                <c:pt idx="22" formatCode="_(* #,##0_);_(* \(#,##0\);_(* &quot;-&quot;_);_(@_)">
                  <c:v>39.638613148632608</c:v>
                </c:pt>
                <c:pt idx="23" formatCode="_(* #,##0_);_(* \(#,##0\);_(* &quot;-&quot;_);_(@_)">
                  <c:v>38.783300848650036</c:v>
                </c:pt>
                <c:pt idx="24" formatCode="_(* #,##0_);_(* \(#,##0\);_(* &quot;-&quot;_);_(@_)">
                  <c:v>38.249557304784318</c:v>
                </c:pt>
                <c:pt idx="25" formatCode="_(* #,##0_);_(* \(#,##0\);_(* &quot;-&quot;_);_(@_)">
                  <c:v>38.181094662935671</c:v>
                </c:pt>
                <c:pt idx="26" formatCode="_(* #,##0_);_(* \(#,##0\);_(* &quot;-&quot;_);_(@_)">
                  <c:v>32.537026437175776</c:v>
                </c:pt>
                <c:pt idx="27" formatCode="_(* #,##0_);_(* \(#,##0\);_(* &quot;-&quot;_);_(@_)">
                  <c:v>27.502394556130181</c:v>
                </c:pt>
                <c:pt idx="28" formatCode="_(* #,##0_);_(* \(#,##0\);_(* &quot;-&quot;_);_(@_)">
                  <c:v>25.672806243326274</c:v>
                </c:pt>
                <c:pt idx="29" formatCode="_(* #,##0_);_(* \(#,##0\);_(* &quot;-&quot;_);_(@_)">
                  <c:v>23.843217930522357</c:v>
                </c:pt>
                <c:pt idx="30" formatCode="_(* #,##0_);_(* \(#,##0\);_(* &quot;-&quot;_);_(@_)">
                  <c:v>22.013629617718433</c:v>
                </c:pt>
                <c:pt idx="31" formatCode="_(* #,##0_);_(* \(#,##0\);_(* &quot;-&quot;_);_(@_)">
                  <c:v>20.405559977125087</c:v>
                </c:pt>
                <c:pt idx="32" formatCode="_(* #,##0_);_(* \(#,##0\);_(* &quot;-&quot;_);_(@_)">
                  <c:v>18.797490336531741</c:v>
                </c:pt>
                <c:pt idx="33" formatCode="_(* #,##0_);_(* \(#,##0\);_(* &quot;-&quot;_);_(@_)">
                  <c:v>17.189420695938384</c:v>
                </c:pt>
                <c:pt idx="34" formatCode="_(* #,##0_);_(* \(#,##0\);_(* &quot;-&quot;_);_(@_)">
                  <c:v>15.581351055345042</c:v>
                </c:pt>
                <c:pt idx="35" formatCode="_(* #,##0_);_(* \(#,##0\);_(* &quot;-&quot;_);_(@_)">
                  <c:v>13.973281414751694</c:v>
                </c:pt>
                <c:pt idx="36" formatCode="_(* #,##0_);_(* \(#,##0\);_(* &quot;-&quot;_);_(@_)">
                  <c:v>11.178944368399096</c:v>
                </c:pt>
                <c:pt idx="37" formatCode="_(* #,##0_);_(* \(#,##0\);_(* &quot;-&quot;_);_(@_)">
                  <c:v>8.3846073220464898</c:v>
                </c:pt>
                <c:pt idx="38" formatCode="_(* #,##0_);_(* \(#,##0\);_(* &quot;-&quot;_);_(@_)">
                  <c:v>5.5902702756938876</c:v>
                </c:pt>
                <c:pt idx="39" formatCode="_(* #,##0_);_(* \(#,##0\);_(* &quot;-&quot;_);_(@_)">
                  <c:v>2.7959332293412866</c:v>
                </c:pt>
                <c:pt idx="40" formatCode="_(* #,##0_);_(* \(#,##0\);_(* &quot;-&quot;_);_(@_)">
                  <c:v>1.5961829886855978E-3</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7.0040644951311681E-2</c:v>
                </c:pt>
                <c:pt idx="21">
                  <c:v>8.7685876347071812E-2</c:v>
                </c:pt>
                <c:pt idx="22">
                  <c:v>0.10394016738010314</c:v>
                </c:pt>
                <c:pt idx="23">
                  <c:v>0.11889879957863858</c:v>
                </c:pt>
                <c:pt idx="24">
                  <c:v>0.13265100107403016</c:v>
                </c:pt>
                <c:pt idx="25">
                  <c:v>0.14528032436176563</c:v>
                </c:pt>
                <c:pt idx="26">
                  <c:v>0.15588583154405877</c:v>
                </c:pt>
                <c:pt idx="27">
                  <c:v>0.16554621920854717</c:v>
                </c:pt>
                <c:pt idx="28">
                  <c:v>0.18787758011779954</c:v>
                </c:pt>
                <c:pt idx="29">
                  <c:v>0.20894363003364869</c:v>
                </c:pt>
                <c:pt idx="30">
                  <c:v>0.22882200098597416</c:v>
                </c:pt>
                <c:pt idx="31">
                  <c:v>0.24572749882361522</c:v>
                </c:pt>
                <c:pt idx="32">
                  <c:v>0.26236415346842734</c:v>
                </c:pt>
                <c:pt idx="33">
                  <c:v>0.27873582031809607</c:v>
                </c:pt>
                <c:pt idx="34">
                  <c:v>0.29484629303664733</c:v>
                </c:pt>
                <c:pt idx="35">
                  <c:v>0.31069930485615582</c:v>
                </c:pt>
                <c:pt idx="36">
                  <c:v>0.32580167937132221</c:v>
                </c:pt>
                <c:pt idx="37">
                  <c:v>0.33280193124638935</c:v>
                </c:pt>
                <c:pt idx="38">
                  <c:v>0.3432238595609628</c:v>
                </c:pt>
                <c:pt idx="39">
                  <c:v>0.35350649570399229</c:v>
                </c:pt>
                <c:pt idx="40">
                  <c:v>0.36365151761921655</c:v>
                </c:pt>
                <c:pt idx="41">
                  <c:v>0.37326134680596657</c:v>
                </c:pt>
                <c:pt idx="42">
                  <c:v>0.38275965270757828</c:v>
                </c:pt>
                <c:pt idx="43">
                  <c:v>0.39214758076794598</c:v>
                </c:pt>
                <c:pt idx="44">
                  <c:v>0.40142626362055789</c:v>
                </c:pt>
                <c:pt idx="45">
                  <c:v>0.41059682127280317</c:v>
                </c:pt>
                <c:pt idx="46">
                  <c:v>0.41931610360905747</c:v>
                </c:pt>
                <c:pt idx="47">
                  <c:v>0.4279500163115344</c:v>
                </c:pt>
                <c:pt idx="48">
                  <c:v>0.42949384463559215</c:v>
                </c:pt>
                <c:pt idx="49">
                  <c:v>0.43102944159952994</c:v>
                </c:pt>
                <c:pt idx="50">
                  <c:v>0.43255685448712144</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4.314299592681492E-2</c:v>
                </c:pt>
                <c:pt idx="19">
                  <c:v>5.9068989673516037E-2</c:v>
                </c:pt>
                <c:pt idx="20">
                  <c:v>4.5517071588236813E-2</c:v>
                </c:pt>
                <c:pt idx="21">
                  <c:v>8.6574358424417741E-2</c:v>
                </c:pt>
                <c:pt idx="22">
                  <c:v>0.11935240495334909</c:v>
                </c:pt>
                <c:pt idx="23">
                  <c:v>0.14861875961590143</c:v>
                </c:pt>
                <c:pt idx="24">
                  <c:v>0.18386322018205858</c:v>
                </c:pt>
                <c:pt idx="25">
                  <c:v>0.21337360078530376</c:v>
                </c:pt>
                <c:pt idx="26">
                  <c:v>0.23424757410658759</c:v>
                </c:pt>
                <c:pt idx="27">
                  <c:v>0.24934254852117821</c:v>
                </c:pt>
                <c:pt idx="28">
                  <c:v>0.2634201562795454</c:v>
                </c:pt>
                <c:pt idx="29">
                  <c:v>0.27039131778212488</c:v>
                </c:pt>
                <c:pt idx="30">
                  <c:v>0.27807349992019603</c:v>
                </c:pt>
                <c:pt idx="31">
                  <c:v>0.28744228100760905</c:v>
                </c:pt>
                <c:pt idx="32">
                  <c:v>0.30172134476474588</c:v>
                </c:pt>
                <c:pt idx="33">
                  <c:v>0.31044629548126956</c:v>
                </c:pt>
                <c:pt idx="34">
                  <c:v>0.31322500466537995</c:v>
                </c:pt>
                <c:pt idx="35">
                  <c:v>0</c:v>
                </c:pt>
                <c:pt idx="36">
                  <c:v>-2.310957952632342E-2</c:v>
                </c:pt>
                <c:pt idx="37">
                  <c:v>-2.7340055734616175E-2</c:v>
                </c:pt>
                <c:pt idx="38">
                  <c:v>-2.9288461606937322E-2</c:v>
                </c:pt>
                <c:pt idx="39">
                  <c:v>-3.1535885893885673E-2</c:v>
                </c:pt>
                <c:pt idx="40">
                  <c:v>-3.4156884305657442E-2</c:v>
                </c:pt>
                <c:pt idx="41">
                  <c:v>-3.6848633452985835E-2</c:v>
                </c:pt>
                <c:pt idx="42">
                  <c:v>-4.0000924939362692E-2</c:v>
                </c:pt>
                <c:pt idx="43">
                  <c:v>-4.3743009918750131E-2</c:v>
                </c:pt>
                <c:pt idx="44">
                  <c:v>-4.8257496883882922E-2</c:v>
                </c:pt>
                <c:pt idx="45">
                  <c:v>-5.3811053945152398E-2</c:v>
                </c:pt>
                <c:pt idx="46">
                  <c:v>-6.7261896581714664E-2</c:v>
                </c:pt>
                <c:pt idx="47">
                  <c:v>-8.9678260545715593E-2</c:v>
                </c:pt>
                <c:pt idx="48">
                  <c:v>-0.13450458795691578</c:v>
                </c:pt>
                <c:pt idx="49">
                  <c:v>-0.26893238798022012</c:v>
                </c:pt>
                <c:pt idx="50">
                  <c:v>-471.0719293025283</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4.314299592681492E-2</c:v>
                </c:pt>
                <c:pt idx="19">
                  <c:v>5.9068989673516037E-2</c:v>
                </c:pt>
                <c:pt idx="20">
                  <c:v>4.5517071588236813E-2</c:v>
                </c:pt>
                <c:pt idx="21">
                  <c:v>8.6574358424417741E-2</c:v>
                </c:pt>
                <c:pt idx="22">
                  <c:v>0.11935240495334909</c:v>
                </c:pt>
                <c:pt idx="23">
                  <c:v>0.14861875961590143</c:v>
                </c:pt>
                <c:pt idx="24">
                  <c:v>0.18386322018205858</c:v>
                </c:pt>
                <c:pt idx="25">
                  <c:v>0.21337360078530376</c:v>
                </c:pt>
                <c:pt idx="26">
                  <c:v>0.23424757410658759</c:v>
                </c:pt>
                <c:pt idx="27">
                  <c:v>0.24934254852117821</c:v>
                </c:pt>
                <c:pt idx="28">
                  <c:v>0.2634201562795454</c:v>
                </c:pt>
                <c:pt idx="29">
                  <c:v>0.27039131778212488</c:v>
                </c:pt>
                <c:pt idx="30">
                  <c:v>0.27807349992019603</c:v>
                </c:pt>
                <c:pt idx="31">
                  <c:v>0.28744228100760905</c:v>
                </c:pt>
                <c:pt idx="32">
                  <c:v>0.30172134476474588</c:v>
                </c:pt>
                <c:pt idx="33">
                  <c:v>0.31044629548126956</c:v>
                </c:pt>
                <c:pt idx="34">
                  <c:v>0.31322500466537995</c:v>
                </c:pt>
                <c:pt idx="35">
                  <c:v>0</c:v>
                </c:pt>
                <c:pt idx="36">
                  <c:v>-2.310957952632342E-2</c:v>
                </c:pt>
                <c:pt idx="37">
                  <c:v>-2.7340055734616175E-2</c:v>
                </c:pt>
                <c:pt idx="38">
                  <c:v>-2.9288461606937322E-2</c:v>
                </c:pt>
                <c:pt idx="39">
                  <c:v>-3.1535885893885673E-2</c:v>
                </c:pt>
                <c:pt idx="40">
                  <c:v>-3.4156884305657442E-2</c:v>
                </c:pt>
                <c:pt idx="41">
                  <c:v>-3.6848633452985835E-2</c:v>
                </c:pt>
                <c:pt idx="42">
                  <c:v>-4.0000924939362692E-2</c:v>
                </c:pt>
                <c:pt idx="43">
                  <c:v>-4.3743009918750131E-2</c:v>
                </c:pt>
                <c:pt idx="44">
                  <c:v>-4.8257496883882922E-2</c:v>
                </c:pt>
                <c:pt idx="45">
                  <c:v>-5.3811053945152398E-2</c:v>
                </c:pt>
                <c:pt idx="46">
                  <c:v>-6.7261896581714664E-2</c:v>
                </c:pt>
                <c:pt idx="47">
                  <c:v>-8.9678260545715593E-2</c:v>
                </c:pt>
                <c:pt idx="48">
                  <c:v>-0.13450458795691578</c:v>
                </c:pt>
                <c:pt idx="49">
                  <c:v>-0.26893238798022012</c:v>
                </c:pt>
                <c:pt idx="50">
                  <c:v>-471.0719293025283</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3.7894412822106371E-2</c:v>
                </c:pt>
                <c:pt idx="19">
                  <c:v>4.3804869635095334E-2</c:v>
                </c:pt>
                <c:pt idx="20">
                  <c:v>4.7146392566751349E-2</c:v>
                </c:pt>
                <c:pt idx="21">
                  <c:v>0.17119814042650427</c:v>
                </c:pt>
                <c:pt idx="22">
                  <c:v>0.24842959848266077</c:v>
                </c:pt>
                <c:pt idx="23">
                  <c:v>0.25219312256056914</c:v>
                </c:pt>
                <c:pt idx="24">
                  <c:v>0.25353406439254278</c:v>
                </c:pt>
                <c:pt idx="25">
                  <c:v>0.25567796175396307</c:v>
                </c:pt>
                <c:pt idx="26">
                  <c:v>0.26019189518724284</c:v>
                </c:pt>
                <c:pt idx="27">
                  <c:v>0.26611459038514973</c:v>
                </c:pt>
                <c:pt idx="28">
                  <c:v>0.27232153985756047</c:v>
                </c:pt>
                <c:pt idx="29">
                  <c:v>0.28108743763378785</c:v>
                </c:pt>
                <c:pt idx="30">
                  <c:v>0.28913089147421367</c:v>
                </c:pt>
                <c:pt idx="31">
                  <c:v>0.29768776097259209</c:v>
                </c:pt>
                <c:pt idx="32">
                  <c:v>0.3034807025407471</c:v>
                </c:pt>
                <c:pt idx="33">
                  <c:v>0.31044629548126956</c:v>
                </c:pt>
                <c:pt idx="34">
                  <c:v>0.31322500466537995</c:v>
                </c:pt>
                <c:pt idx="35">
                  <c:v>0</c:v>
                </c:pt>
                <c:pt idx="36">
                  <c:v>0</c:v>
                </c:pt>
                <c:pt idx="37">
                  <c:v>0</c:v>
                </c:pt>
                <c:pt idx="38">
                  <c:v>-2.2204460492503131E-16</c:v>
                </c:pt>
                <c:pt idx="39">
                  <c:v>-5.6170233229393407E-3</c:v>
                </c:pt>
                <c:pt idx="40">
                  <c:v>-3.4156884305657442E-2</c:v>
                </c:pt>
                <c:pt idx="41">
                  <c:v>-3.6848633452985835E-2</c:v>
                </c:pt>
                <c:pt idx="42">
                  <c:v>-4.0000924939362692E-2</c:v>
                </c:pt>
                <c:pt idx="43">
                  <c:v>-4.3743009918750131E-2</c:v>
                </c:pt>
                <c:pt idx="44">
                  <c:v>-4.8257496883882922E-2</c:v>
                </c:pt>
                <c:pt idx="45">
                  <c:v>-5.3811053945152398E-2</c:v>
                </c:pt>
                <c:pt idx="46">
                  <c:v>-6.7261896581714442E-2</c:v>
                </c:pt>
                <c:pt idx="47">
                  <c:v>-8.9678260545715593E-2</c:v>
                </c:pt>
                <c:pt idx="48">
                  <c:v>-0.13450458795691578</c:v>
                </c:pt>
                <c:pt idx="49">
                  <c:v>-0.2689323879802199</c:v>
                </c:pt>
                <c:pt idx="50">
                  <c:v>-471.07192930252825</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3.7894412822106371E-2</c:v>
                </c:pt>
                <c:pt idx="19">
                  <c:v>4.3804869635095334E-2</c:v>
                </c:pt>
                <c:pt idx="20">
                  <c:v>4.7146392566751349E-2</c:v>
                </c:pt>
                <c:pt idx="21">
                  <c:v>0.17119814042650427</c:v>
                </c:pt>
                <c:pt idx="22">
                  <c:v>0.24842959848266077</c:v>
                </c:pt>
                <c:pt idx="23">
                  <c:v>0.25219312256056914</c:v>
                </c:pt>
                <c:pt idx="24">
                  <c:v>0.25353406439254278</c:v>
                </c:pt>
                <c:pt idx="25">
                  <c:v>0.25567796175396307</c:v>
                </c:pt>
                <c:pt idx="26">
                  <c:v>0.26019189518724284</c:v>
                </c:pt>
                <c:pt idx="27">
                  <c:v>0.26611459038514973</c:v>
                </c:pt>
                <c:pt idx="28">
                  <c:v>0.27232153985756047</c:v>
                </c:pt>
                <c:pt idx="29">
                  <c:v>0.28108743763378785</c:v>
                </c:pt>
                <c:pt idx="30">
                  <c:v>0.28913089147421367</c:v>
                </c:pt>
                <c:pt idx="31">
                  <c:v>0.29768776097259209</c:v>
                </c:pt>
                <c:pt idx="32">
                  <c:v>0.3034807025407471</c:v>
                </c:pt>
                <c:pt idx="33">
                  <c:v>0.31044629548126956</c:v>
                </c:pt>
                <c:pt idx="34">
                  <c:v>0.31322500466537995</c:v>
                </c:pt>
                <c:pt idx="35">
                  <c:v>0</c:v>
                </c:pt>
                <c:pt idx="36">
                  <c:v>0</c:v>
                </c:pt>
                <c:pt idx="37">
                  <c:v>0</c:v>
                </c:pt>
                <c:pt idx="38">
                  <c:v>-2.2204460492503131E-16</c:v>
                </c:pt>
                <c:pt idx="39">
                  <c:v>-5.6170233229393407E-3</c:v>
                </c:pt>
                <c:pt idx="40">
                  <c:v>-3.4156884305657442E-2</c:v>
                </c:pt>
                <c:pt idx="41">
                  <c:v>-3.6848633452985835E-2</c:v>
                </c:pt>
                <c:pt idx="42">
                  <c:v>-4.0000924939362692E-2</c:v>
                </c:pt>
                <c:pt idx="43">
                  <c:v>-4.3743009918750131E-2</c:v>
                </c:pt>
                <c:pt idx="44">
                  <c:v>-4.8257496883882922E-2</c:v>
                </c:pt>
                <c:pt idx="45">
                  <c:v>-5.3811053945152398E-2</c:v>
                </c:pt>
                <c:pt idx="46">
                  <c:v>-6.7261896581714442E-2</c:v>
                </c:pt>
                <c:pt idx="47">
                  <c:v>-8.9678260545715593E-2</c:v>
                </c:pt>
                <c:pt idx="48">
                  <c:v>-0.13450458795691578</c:v>
                </c:pt>
                <c:pt idx="49">
                  <c:v>-0.2689323879802199</c:v>
                </c:pt>
                <c:pt idx="50">
                  <c:v>-471.07192930252825</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6.3097402659273327E-2</c:v>
                </c:pt>
                <c:pt idx="21">
                  <c:v>9.726841017376453E-2</c:v>
                </c:pt>
                <c:pt idx="22">
                  <c:v>0.15764324460297707</c:v>
                </c:pt>
                <c:pt idx="23">
                  <c:v>0.17661362793734681</c:v>
                </c:pt>
                <c:pt idx="24">
                  <c:v>0.19519681863773264</c:v>
                </c:pt>
                <c:pt idx="25">
                  <c:v>0.21340034507035144</c:v>
                </c:pt>
                <c:pt idx="26">
                  <c:v>0.23044140465623386</c:v>
                </c:pt>
                <c:pt idx="27">
                  <c:v>0.24719384179753368</c:v>
                </c:pt>
                <c:pt idx="28">
                  <c:v>0.26366335378378059</c:v>
                </c:pt>
                <c:pt idx="29">
                  <c:v>0.27985563375052358</c:v>
                </c:pt>
                <c:pt idx="30">
                  <c:v>0.29577637461695849</c:v>
                </c:pt>
                <c:pt idx="31">
                  <c:v>0.31568192095747505</c:v>
                </c:pt>
                <c:pt idx="32">
                  <c:v>0.33524737223917422</c:v>
                </c:pt>
                <c:pt idx="33">
                  <c:v>0.33818146943254268</c:v>
                </c:pt>
                <c:pt idx="34">
                  <c:v>0.34108865163413971</c:v>
                </c:pt>
                <c:pt idx="35">
                  <c:v>0.34396919974586804</c:v>
                </c:pt>
                <c:pt idx="36">
                  <c:v>0.34642074566368197</c:v>
                </c:pt>
                <c:pt idx="37">
                  <c:v>0.34885304461912336</c:v>
                </c:pt>
                <c:pt idx="38">
                  <c:v>0.35126626747362921</c:v>
                </c:pt>
                <c:pt idx="39">
                  <c:v>0.35366058307858594</c:v>
                </c:pt>
                <c:pt idx="40">
                  <c:v>0.3560361583119136</c:v>
                </c:pt>
                <c:pt idx="41">
                  <c:v>0.35803801704304605</c:v>
                </c:pt>
                <c:pt idx="42">
                  <c:v>0.36002659202487586</c:v>
                </c:pt>
                <c:pt idx="43">
                  <c:v>0.36200198208013235</c:v>
                </c:pt>
                <c:pt idx="44">
                  <c:v>0.36396428507300427</c:v>
                </c:pt>
                <c:pt idx="45">
                  <c:v>0.36591359792336786</c:v>
                </c:pt>
                <c:pt idx="46">
                  <c:v>0.36750697834425616</c:v>
                </c:pt>
                <c:pt idx="47">
                  <c:v>0.36909169159072286</c:v>
                </c:pt>
                <c:pt idx="48">
                  <c:v>0.3706677901680655</c:v>
                </c:pt>
                <c:pt idx="49">
                  <c:v>0.37223532617222466</c:v>
                </c:pt>
                <c:pt idx="50">
                  <c:v>0.37379435129462157</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3.7894412822106371E-2</c:v>
                </c:pt>
                <c:pt idx="19">
                  <c:v>4.3804869635095334E-2</c:v>
                </c:pt>
                <c:pt idx="20">
                  <c:v>4.7146392566751349E-2</c:v>
                </c:pt>
                <c:pt idx="21">
                  <c:v>0.17119814042650427</c:v>
                </c:pt>
                <c:pt idx="22">
                  <c:v>0.24842959848266077</c:v>
                </c:pt>
                <c:pt idx="23">
                  <c:v>0.25219312256056914</c:v>
                </c:pt>
                <c:pt idx="24">
                  <c:v>0.25353406439254278</c:v>
                </c:pt>
                <c:pt idx="25">
                  <c:v>0.25567796175396307</c:v>
                </c:pt>
                <c:pt idx="26">
                  <c:v>0.26019189518724284</c:v>
                </c:pt>
                <c:pt idx="27">
                  <c:v>0.26611459038514973</c:v>
                </c:pt>
                <c:pt idx="28">
                  <c:v>0.27232153985756047</c:v>
                </c:pt>
                <c:pt idx="29">
                  <c:v>0.28108743763378785</c:v>
                </c:pt>
                <c:pt idx="30">
                  <c:v>0.28913089147421367</c:v>
                </c:pt>
                <c:pt idx="31">
                  <c:v>0.29768776097259209</c:v>
                </c:pt>
                <c:pt idx="32">
                  <c:v>0.3034807025407471</c:v>
                </c:pt>
                <c:pt idx="33">
                  <c:v>0.31044629548126956</c:v>
                </c:pt>
                <c:pt idx="34">
                  <c:v>0.31322500466537995</c:v>
                </c:pt>
                <c:pt idx="35">
                  <c:v>0</c:v>
                </c:pt>
                <c:pt idx="36">
                  <c:v>0</c:v>
                </c:pt>
                <c:pt idx="37">
                  <c:v>0</c:v>
                </c:pt>
                <c:pt idx="38">
                  <c:v>-2.2204460492503131E-16</c:v>
                </c:pt>
                <c:pt idx="39">
                  <c:v>-5.6170233229393407E-3</c:v>
                </c:pt>
                <c:pt idx="40">
                  <c:v>-3.4156884305657442E-2</c:v>
                </c:pt>
                <c:pt idx="41">
                  <c:v>-3.6848633452985835E-2</c:v>
                </c:pt>
                <c:pt idx="42">
                  <c:v>-4.0000924939362692E-2</c:v>
                </c:pt>
                <c:pt idx="43">
                  <c:v>-4.3743009918750131E-2</c:v>
                </c:pt>
                <c:pt idx="44">
                  <c:v>-4.8257496883882922E-2</c:v>
                </c:pt>
                <c:pt idx="45">
                  <c:v>-5.3811053945152398E-2</c:v>
                </c:pt>
                <c:pt idx="46">
                  <c:v>-6.7261896581714442E-2</c:v>
                </c:pt>
                <c:pt idx="47">
                  <c:v>-8.9678260545715593E-2</c:v>
                </c:pt>
                <c:pt idx="48">
                  <c:v>-0.13450458795691578</c:v>
                </c:pt>
                <c:pt idx="49">
                  <c:v>-0.2689323879802199</c:v>
                </c:pt>
                <c:pt idx="50">
                  <c:v>-471.07192930252825</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3.7894412822106371E-2</c:v>
                </c:pt>
                <c:pt idx="19">
                  <c:v>4.3804869635095334E-2</c:v>
                </c:pt>
                <c:pt idx="20">
                  <c:v>4.7146392566751349E-2</c:v>
                </c:pt>
                <c:pt idx="21">
                  <c:v>0.17119814042650427</c:v>
                </c:pt>
                <c:pt idx="22">
                  <c:v>0.24842959848266077</c:v>
                </c:pt>
                <c:pt idx="23">
                  <c:v>0.25219312256056914</c:v>
                </c:pt>
                <c:pt idx="24">
                  <c:v>0.25353406439254278</c:v>
                </c:pt>
                <c:pt idx="25">
                  <c:v>0.25567796175396307</c:v>
                </c:pt>
                <c:pt idx="26">
                  <c:v>0.26019189518724284</c:v>
                </c:pt>
                <c:pt idx="27">
                  <c:v>0.26611459038514973</c:v>
                </c:pt>
                <c:pt idx="28">
                  <c:v>0.27232153985756047</c:v>
                </c:pt>
                <c:pt idx="29">
                  <c:v>0.28108743763378785</c:v>
                </c:pt>
                <c:pt idx="30">
                  <c:v>0.28913089147421367</c:v>
                </c:pt>
                <c:pt idx="31">
                  <c:v>0.29768776097259209</c:v>
                </c:pt>
                <c:pt idx="32">
                  <c:v>0.3034807025407471</c:v>
                </c:pt>
                <c:pt idx="33">
                  <c:v>0.31044629548126956</c:v>
                </c:pt>
                <c:pt idx="34">
                  <c:v>0.31322500466537995</c:v>
                </c:pt>
                <c:pt idx="35">
                  <c:v>0</c:v>
                </c:pt>
                <c:pt idx="36">
                  <c:v>0</c:v>
                </c:pt>
                <c:pt idx="37">
                  <c:v>0</c:v>
                </c:pt>
                <c:pt idx="38">
                  <c:v>-2.2204460492503131E-16</c:v>
                </c:pt>
                <c:pt idx="39">
                  <c:v>-5.6170233229393407E-3</c:v>
                </c:pt>
                <c:pt idx="40">
                  <c:v>-3.4156884305657442E-2</c:v>
                </c:pt>
                <c:pt idx="41">
                  <c:v>-3.6848633452985835E-2</c:v>
                </c:pt>
                <c:pt idx="42">
                  <c:v>-4.0000924939362692E-2</c:v>
                </c:pt>
                <c:pt idx="43">
                  <c:v>-4.3743009918750131E-2</c:v>
                </c:pt>
                <c:pt idx="44">
                  <c:v>-4.8257496883882922E-2</c:v>
                </c:pt>
                <c:pt idx="45">
                  <c:v>-5.3811053945152398E-2</c:v>
                </c:pt>
                <c:pt idx="46">
                  <c:v>-6.7261896581714442E-2</c:v>
                </c:pt>
                <c:pt idx="47">
                  <c:v>-8.9678260545715593E-2</c:v>
                </c:pt>
                <c:pt idx="48">
                  <c:v>-0.13450458795691578</c:v>
                </c:pt>
                <c:pt idx="49">
                  <c:v>-0.2689323879802199</c:v>
                </c:pt>
                <c:pt idx="50">
                  <c:v>-471.07192930252825</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15728.138814822039</c:v>
                </c:pt>
                <c:pt idx="1">
                  <c:v>16224.518348277974</c:v>
                </c:pt>
                <c:pt idx="2">
                  <c:v>16726.565266040841</c:v>
                </c:pt>
                <c:pt idx="3">
                  <c:v>17237.078183932772</c:v>
                </c:pt>
                <c:pt idx="4">
                  <c:v>17684.478970908294</c:v>
                </c:pt>
                <c:pt idx="5">
                  <c:v>18078.645835098909</c:v>
                </c:pt>
                <c:pt idx="6">
                  <c:v>18422.419003066498</c:v>
                </c:pt>
                <c:pt idx="7">
                  <c:v>18715.71768372017</c:v>
                </c:pt>
                <c:pt idx="8">
                  <c:v>18955.139261650384</c:v>
                </c:pt>
                <c:pt idx="9">
                  <c:v>19130.055627916718</c:v>
                </c:pt>
                <c:pt idx="10">
                  <c:v>19224.966297597453</c:v>
                </c:pt>
                <c:pt idx="11">
                  <c:v>19201.852089525579</c:v>
                </c:pt>
                <c:pt idx="12">
                  <c:v>19081.496887575719</c:v>
                </c:pt>
                <c:pt idx="13">
                  <c:v>18848.702616544419</c:v>
                </c:pt>
                <c:pt idx="14">
                  <c:v>18584.362911037679</c:v>
                </c:pt>
                <c:pt idx="15">
                  <c:v>18290.506483548277</c:v>
                </c:pt>
                <c:pt idx="16">
                  <c:v>17968.758988794594</c:v>
                </c:pt>
                <c:pt idx="17">
                  <c:v>17621.856889545634</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_-* #,##0.0_-;\-* #,##0.0_-;_-* "-"??_-;_-@_-</c:formatCode>
                <c:ptCount val="18"/>
                <c:pt idx="0">
                  <c:v>318.2494344348973</c:v>
                </c:pt>
                <c:pt idx="1">
                  <c:v>325.89579945775205</c:v>
                </c:pt>
                <c:pt idx="2">
                  <c:v>334.41879147227752</c:v>
                </c:pt>
                <c:pt idx="3">
                  <c:v>341.69456006950077</c:v>
                </c:pt>
                <c:pt idx="4">
                  <c:v>351.97605891913804</c:v>
                </c:pt>
                <c:pt idx="5">
                  <c:v>363.98154828067868</c:v>
                </c:pt>
                <c:pt idx="6">
                  <c:v>377.18912796087932</c:v>
                </c:pt>
                <c:pt idx="7">
                  <c:v>390.48890504642225</c:v>
                </c:pt>
                <c:pt idx="8">
                  <c:v>399.53212592648947</c:v>
                </c:pt>
                <c:pt idx="9">
                  <c:v>397.7357297076386</c:v>
                </c:pt>
                <c:pt idx="10" formatCode="_-* #,##0_-;\-* #,##0_-;_-* &quot;-&quot;??_-;_-@_-">
                  <c:v>457.58567236203919</c:v>
                </c:pt>
                <c:pt idx="11" formatCode="_-* #,##0_-;\-* #,##0_-;_-* &quot;-&quot;??_-;_-@_-">
                  <c:v>488.35925030819283</c:v>
                </c:pt>
                <c:pt idx="12" formatCode="_-* #,##0_-;\-* #,##0_-;_-* &quot;-&quot;??_-;_-@_-">
                  <c:v>539.40416412719242</c:v>
                </c:pt>
                <c:pt idx="13" formatCode="_-* #,##0_-;\-* #,##0_-;_-* &quot;-&quot;??_-;_-@_-">
                  <c:v>589.32083109235896</c:v>
                </c:pt>
                <c:pt idx="14" formatCode="_-* #,##0_-;\-* #,##0_-;_-* &quot;-&quot;??_-;_-@_-">
                  <c:v>635.2764847511985</c:v>
                </c:pt>
                <c:pt idx="15" formatCode="_-* #,##0_-;\-* #,##0_-;_-* &quot;-&quot;??_-;_-@_-">
                  <c:v>676.58213686740248</c:v>
                </c:pt>
                <c:pt idx="16" formatCode="_-* #,##0_-;\-* #,##0_-;_-* &quot;-&quot;??_-;_-@_-">
                  <c:v>715.01824789298109</c:v>
                </c:pt>
                <c:pt idx="17" formatCode="_-* #,##0_-;\-* #,##0_-;_-* &quot;-&quot;??_-;_-@_-">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16855.204448784854</c:v>
                </c:pt>
                <c:pt idx="10">
                  <c:v>16447.185876498486</c:v>
                </c:pt>
                <c:pt idx="11">
                  <c:v>16035.919713047486</c:v>
                </c:pt>
                <c:pt idx="12">
                  <c:v>15608.076397942939</c:v>
                </c:pt>
                <c:pt idx="13">
                  <c:v>15170.1941592652</c:v>
                </c:pt>
                <c:pt idx="14">
                  <c:v>14726.148395671133</c:v>
                </c:pt>
                <c:pt idx="15">
                  <c:v>14275.066424466902</c:v>
                </c:pt>
                <c:pt idx="16">
                  <c:v>13821.314939858585</c:v>
                </c:pt>
                <c:pt idx="17">
                  <c:v>13370.300388870033</c:v>
                </c:pt>
                <c:pt idx="18">
                  <c:v>12925.461126301338</c:v>
                </c:pt>
                <c:pt idx="19">
                  <c:v>12492.652687680757</c:v>
                </c:pt>
                <c:pt idx="20">
                  <c:v>12074.805156807537</c:v>
                </c:pt>
                <c:pt idx="21">
                  <c:v>11670.942580452182</c:v>
                </c:pt>
                <c:pt idx="22">
                  <c:v>11280.256108535979</c:v>
                </c:pt>
                <c:pt idx="23">
                  <c:v>10899.157669216975</c:v>
                </c:pt>
                <c:pt idx="24">
                  <c:v>10529.40798463992</c:v>
                </c:pt>
                <c:pt idx="25">
                  <c:v>10170.948625475119</c:v>
                </c:pt>
                <c:pt idx="26">
                  <c:v>9749.6602756849043</c:v>
                </c:pt>
                <c:pt idx="27">
                  <c:v>9415.2382956061429</c:v>
                </c:pt>
                <c:pt idx="28">
                  <c:v>9095.5653559455168</c:v>
                </c:pt>
                <c:pt idx="29">
                  <c:v>8787.3052964410526</c:v>
                </c:pt>
                <c:pt idx="30">
                  <c:v>8489.8082727056371</c:v>
                </c:pt>
                <c:pt idx="31">
                  <c:v>8202.456038745835</c:v>
                </c:pt>
                <c:pt idx="32">
                  <c:v>7924.6205321673833</c:v>
                </c:pt>
                <c:pt idx="33">
                  <c:v>7655.7463046575094</c:v>
                </c:pt>
                <c:pt idx="34">
                  <c:v>7395.3048806901925</c:v>
                </c:pt>
                <c:pt idx="35">
                  <c:v>7142.7934460768711</c:v>
                </c:pt>
                <c:pt idx="36">
                  <c:v>6897.7336003419232</c:v>
                </c:pt>
                <c:pt idx="37">
                  <c:v>6659.6353312305582</c:v>
                </c:pt>
                <c:pt idx="38">
                  <c:v>6428.0693644477697</c:v>
                </c:pt>
                <c:pt idx="39">
                  <c:v>6208.5714422991196</c:v>
                </c:pt>
                <c:pt idx="40">
                  <c:v>6000.5551377160127</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814.51387052401719</c:v>
                </c:pt>
                <c:pt idx="9">
                  <c:v>866.54564321939881</c:v>
                </c:pt>
                <c:pt idx="10">
                  <c:v>898.74851691431957</c:v>
                </c:pt>
                <c:pt idx="11">
                  <c:v>953.45442015584251</c:v>
                </c:pt>
                <c:pt idx="12">
                  <c:v>1006.8370415951448</c:v>
                </c:pt>
                <c:pt idx="13">
                  <c:v>1066.7762323953757</c:v>
                </c:pt>
                <c:pt idx="14">
                  <c:v>1127.5694470757417</c:v>
                </c:pt>
                <c:pt idx="15">
                  <c:v>1188.4041316561113</c:v>
                </c:pt>
                <c:pt idx="16">
                  <c:v>1249.4040748278808</c:v>
                </c:pt>
                <c:pt idx="17">
                  <c:v>1310.2521636662286</c:v>
                </c:pt>
                <c:pt idx="18">
                  <c:v>1316.7945238254483</c:v>
                </c:pt>
                <c:pt idx="19">
                  <c:v>1323.0557112105857</c:v>
                </c:pt>
                <c:pt idx="20">
                  <c:v>1329.5054032746282</c:v>
                </c:pt>
                <c:pt idx="21">
                  <c:v>1337.0746474464886</c:v>
                </c:pt>
                <c:pt idx="22">
                  <c:v>1345.2125487669348</c:v>
                </c:pt>
                <c:pt idx="23">
                  <c:v>1353.6255678652083</c:v>
                </c:pt>
                <c:pt idx="24">
                  <c:v>1355.5154577081698</c:v>
                </c:pt>
                <c:pt idx="25">
                  <c:v>1037.0246536402469</c:v>
                </c:pt>
                <c:pt idx="26">
                  <c:v>1037.0246536402469</c:v>
                </c:pt>
                <c:pt idx="27">
                  <c:v>1037.0246536402469</c:v>
                </c:pt>
                <c:pt idx="28">
                  <c:v>1037.0246536402469</c:v>
                </c:pt>
                <c:pt idx="29">
                  <c:v>1037.0246536402469</c:v>
                </c:pt>
                <c:pt idx="30">
                  <c:v>1037.0246536402469</c:v>
                </c:pt>
                <c:pt idx="31">
                  <c:v>1037.0246536402469</c:v>
                </c:pt>
                <c:pt idx="32">
                  <c:v>1037.0246536402469</c:v>
                </c:pt>
                <c:pt idx="33">
                  <c:v>1037.0246536402469</c:v>
                </c:pt>
                <c:pt idx="34">
                  <c:v>1037.0246536402469</c:v>
                </c:pt>
                <c:pt idx="35">
                  <c:v>1037.0246536402469</c:v>
                </c:pt>
                <c:pt idx="36">
                  <c:v>1037.0246536402469</c:v>
                </c:pt>
                <c:pt idx="37">
                  <c:v>1037.0246536402469</c:v>
                </c:pt>
                <c:pt idx="38">
                  <c:v>1037.0246536402469</c:v>
                </c:pt>
                <c:pt idx="39">
                  <c:v>1037.0246536402469</c:v>
                </c:pt>
                <c:pt idx="40">
                  <c:v>1037.0246536402469</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16855.204448784854</c:v>
                </c:pt>
                <c:pt idx="10">
                  <c:v>16447.185876498486</c:v>
                </c:pt>
                <c:pt idx="11">
                  <c:v>16035.919713047486</c:v>
                </c:pt>
                <c:pt idx="12">
                  <c:v>15608.076397942939</c:v>
                </c:pt>
                <c:pt idx="13">
                  <c:v>15170.1941592652</c:v>
                </c:pt>
                <c:pt idx="14">
                  <c:v>14726.148395671133</c:v>
                </c:pt>
                <c:pt idx="15">
                  <c:v>14275.066424466902</c:v>
                </c:pt>
                <c:pt idx="16">
                  <c:v>13821.314939858585</c:v>
                </c:pt>
                <c:pt idx="17">
                  <c:v>13370.300388870033</c:v>
                </c:pt>
                <c:pt idx="18">
                  <c:v>12925.461126301338</c:v>
                </c:pt>
                <c:pt idx="19">
                  <c:v>12492.652687680757</c:v>
                </c:pt>
                <c:pt idx="20">
                  <c:v>12074.805156807537</c:v>
                </c:pt>
                <c:pt idx="21">
                  <c:v>11670.942580452182</c:v>
                </c:pt>
                <c:pt idx="22">
                  <c:v>11280.256108535979</c:v>
                </c:pt>
                <c:pt idx="23">
                  <c:v>10899.157669216975</c:v>
                </c:pt>
                <c:pt idx="24">
                  <c:v>10529.40798463992</c:v>
                </c:pt>
                <c:pt idx="25">
                  <c:v>10170.948625475119</c:v>
                </c:pt>
                <c:pt idx="26">
                  <c:v>9749.6602756849043</c:v>
                </c:pt>
                <c:pt idx="27">
                  <c:v>9415.2382956061429</c:v>
                </c:pt>
                <c:pt idx="28">
                  <c:v>9095.5653559455168</c:v>
                </c:pt>
                <c:pt idx="29">
                  <c:v>8787.3052964410526</c:v>
                </c:pt>
                <c:pt idx="30">
                  <c:v>8489.8082727056371</c:v>
                </c:pt>
                <c:pt idx="31">
                  <c:v>8202.456038745835</c:v>
                </c:pt>
                <c:pt idx="32">
                  <c:v>7924.6205321673833</c:v>
                </c:pt>
                <c:pt idx="33">
                  <c:v>7655.7463046575094</c:v>
                </c:pt>
                <c:pt idx="34">
                  <c:v>7395.3048806901925</c:v>
                </c:pt>
                <c:pt idx="35">
                  <c:v>7142.7934460768711</c:v>
                </c:pt>
                <c:pt idx="36">
                  <c:v>6897.7336003419232</c:v>
                </c:pt>
                <c:pt idx="37">
                  <c:v>6659.6353312305582</c:v>
                </c:pt>
                <c:pt idx="38">
                  <c:v>6428.0693644477697</c:v>
                </c:pt>
                <c:pt idx="39">
                  <c:v>6208.5714422991196</c:v>
                </c:pt>
                <c:pt idx="40">
                  <c:v>6000.5551377160127</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814.51387052401719</c:v>
                </c:pt>
                <c:pt idx="9">
                  <c:v>866.54564321939881</c:v>
                </c:pt>
                <c:pt idx="10">
                  <c:v>898.74851691431957</c:v>
                </c:pt>
                <c:pt idx="11">
                  <c:v>953.45442015584251</c:v>
                </c:pt>
                <c:pt idx="12">
                  <c:v>1006.8370415951448</c:v>
                </c:pt>
                <c:pt idx="13">
                  <c:v>1066.7762323953757</c:v>
                </c:pt>
                <c:pt idx="14">
                  <c:v>1127.5694470757417</c:v>
                </c:pt>
                <c:pt idx="15">
                  <c:v>1188.4041316561113</c:v>
                </c:pt>
                <c:pt idx="16">
                  <c:v>1249.4040748278808</c:v>
                </c:pt>
                <c:pt idx="17">
                  <c:v>1310.2521636662286</c:v>
                </c:pt>
                <c:pt idx="18">
                  <c:v>1316.7945238254483</c:v>
                </c:pt>
                <c:pt idx="19">
                  <c:v>1323.0557112105857</c:v>
                </c:pt>
                <c:pt idx="20">
                  <c:v>1329.5054032746282</c:v>
                </c:pt>
                <c:pt idx="21">
                  <c:v>1337.0746474464886</c:v>
                </c:pt>
                <c:pt idx="22">
                  <c:v>1345.2125487669348</c:v>
                </c:pt>
                <c:pt idx="23">
                  <c:v>1353.6255678652083</c:v>
                </c:pt>
                <c:pt idx="24">
                  <c:v>1355.5154577081698</c:v>
                </c:pt>
                <c:pt idx="25">
                  <c:v>1037.0246536402469</c:v>
                </c:pt>
                <c:pt idx="26">
                  <c:v>1037.0246536402469</c:v>
                </c:pt>
                <c:pt idx="27">
                  <c:v>1037.0246536402469</c:v>
                </c:pt>
                <c:pt idx="28">
                  <c:v>1037.0246536402469</c:v>
                </c:pt>
                <c:pt idx="29">
                  <c:v>1037.0246536402469</c:v>
                </c:pt>
                <c:pt idx="30">
                  <c:v>1037.0246536402469</c:v>
                </c:pt>
                <c:pt idx="31">
                  <c:v>1037.0246536402469</c:v>
                </c:pt>
                <c:pt idx="32">
                  <c:v>1037.0246536402469</c:v>
                </c:pt>
                <c:pt idx="33">
                  <c:v>1037.0246536402469</c:v>
                </c:pt>
                <c:pt idx="34">
                  <c:v>1037.0246536402469</c:v>
                </c:pt>
                <c:pt idx="35">
                  <c:v>1037.0246536402469</c:v>
                </c:pt>
                <c:pt idx="36">
                  <c:v>1037.0246536402469</c:v>
                </c:pt>
                <c:pt idx="37">
                  <c:v>1037.0246536402469</c:v>
                </c:pt>
                <c:pt idx="38">
                  <c:v>1037.0246536402469</c:v>
                </c:pt>
                <c:pt idx="39">
                  <c:v>1037.0246536402469</c:v>
                </c:pt>
                <c:pt idx="40">
                  <c:v>1037.0246536402469</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296.95916503445704</c:v>
                </c:pt>
                <c:pt idx="11">
                  <c:v>289.30826928918913</c:v>
                </c:pt>
                <c:pt idx="12">
                  <c:v>281.88387608267908</c:v>
                </c:pt>
                <c:pt idx="13">
                  <c:v>274.67843923294652</c:v>
                </c:pt>
                <c:pt idx="14">
                  <c:v>267.68465368255238</c:v>
                </c:pt>
                <c:pt idx="15">
                  <c:v>260.89544660619578</c:v>
                </c:pt>
                <c:pt idx="16">
                  <c:v>254.421083403664</c:v>
                </c:pt>
                <c:pt idx="17">
                  <c:v>248.16184383159901</c:v>
                </c:pt>
                <c:pt idx="18">
                  <c:v>234.55354113759998</c:v>
                </c:pt>
                <c:pt idx="19">
                  <c:v>221.70018656133303</c:v>
                </c:pt>
                <c:pt idx="20">
                  <c:v>209.55929653855324</c:v>
                </c:pt>
                <c:pt idx="21">
                  <c:v>199.12484182484837</c:v>
                </c:pt>
                <c:pt idx="22">
                  <c:v>188.7479302250164</c:v>
                </c:pt>
                <c:pt idx="23">
                  <c:v>178.42741871714372</c:v>
                </c:pt>
                <c:pt idx="24">
                  <c:v>168.16219083511854</c:v>
                </c:pt>
                <c:pt idx="25">
                  <c:v>157.95115591721603</c:v>
                </c:pt>
                <c:pt idx="26">
                  <c:v>147.84395852682215</c:v>
                </c:pt>
                <c:pt idx="27">
                  <c:v>144.25651033931339</c:v>
                </c:pt>
                <c:pt idx="28">
                  <c:v>137.79108332877814</c:v>
                </c:pt>
                <c:pt idx="29">
                  <c:v>131.35405873525082</c:v>
                </c:pt>
                <c:pt idx="30">
                  <c:v>124.94496389699975</c:v>
                </c:pt>
                <c:pt idx="31">
                  <c:v>118.59896220497515</c:v>
                </c:pt>
                <c:pt idx="32">
                  <c:v>112.27558743164121</c:v>
                </c:pt>
                <c:pt idx="33">
                  <c:v>105.9745212931887</c:v>
                </c:pt>
                <c:pt idx="34">
                  <c:v>99.695450674930214</c:v>
                </c:pt>
                <c:pt idx="35">
                  <c:v>93.438067529346228</c:v>
                </c:pt>
                <c:pt idx="36">
                  <c:v>87.227232528263414</c:v>
                </c:pt>
                <c:pt idx="37">
                  <c:v>81.033572020965295</c:v>
                </c:pt>
                <c:pt idx="38">
                  <c:v>80.926366254145591</c:v>
                </c:pt>
                <c:pt idx="39">
                  <c:v>80.81998611074799</c:v>
                </c:pt>
                <c:pt idx="40">
                  <c:v>80.714423453015158</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3916.619774427455</c:v>
                </c:pt>
                <c:pt idx="11">
                  <c:v>3995.2541307434112</c:v>
                </c:pt>
                <c:pt idx="12">
                  <c:v>4075.1800556596418</c:v>
                </c:pt>
                <c:pt idx="13">
                  <c:v>4156.4168668213024</c:v>
                </c:pt>
                <c:pt idx="14">
                  <c:v>4238.9841554957311</c:v>
                </c:pt>
                <c:pt idx="15">
                  <c:v>4322.9017903124422</c:v>
                </c:pt>
                <c:pt idx="16">
                  <c:v>4400.9219620497197</c:v>
                </c:pt>
                <c:pt idx="17">
                  <c:v>4480.0594606132472</c:v>
                </c:pt>
                <c:pt idx="18">
                  <c:v>4560.3287251503234</c:v>
                </c:pt>
                <c:pt idx="19">
                  <c:v>4641.7443708292039</c:v>
                </c:pt>
                <c:pt idx="20">
                  <c:v>4724.3211909055435</c:v>
                </c:pt>
                <c:pt idx="21">
                  <c:v>4801.8266337074856</c:v>
                </c:pt>
                <c:pt idx="22">
                  <c:v>4880.3108912879725</c:v>
                </c:pt>
                <c:pt idx="23">
                  <c:v>4959.7850255740987</c:v>
                </c:pt>
                <c:pt idx="24">
                  <c:v>5040.2602160131582</c:v>
                </c:pt>
                <c:pt idx="25">
                  <c:v>5121.7477607728442</c:v>
                </c:pt>
                <c:pt idx="26">
                  <c:v>5197.9991360271206</c:v>
                </c:pt>
                <c:pt idx="27">
                  <c:v>5275.0924855187541</c:v>
                </c:pt>
                <c:pt idx="28">
                  <c:v>5353.0360506752186</c:v>
                </c:pt>
                <c:pt idx="29">
                  <c:v>5431.8381484682886</c:v>
                </c:pt>
                <c:pt idx="30">
                  <c:v>5511.507172078449</c:v>
                </c:pt>
                <c:pt idx="31">
                  <c:v>5585.8882679954158</c:v>
                </c:pt>
                <c:pt idx="32">
                  <c:v>5660.9807054541461</c:v>
                </c:pt>
                <c:pt idx="33">
                  <c:v>5736.7904513402209</c:v>
                </c:pt>
                <c:pt idx="34">
                  <c:v>5813.3235192185621</c:v>
                </c:pt>
                <c:pt idx="35">
                  <c:v>5890.5859696831139</c:v>
                </c:pt>
                <c:pt idx="36">
                  <c:v>5962.0228726331479</c:v>
                </c:pt>
                <c:pt idx="37">
                  <c:v>6034.0356184153861</c:v>
                </c:pt>
                <c:pt idx="38">
                  <c:v>6106.6282245986458</c:v>
                </c:pt>
                <c:pt idx="39">
                  <c:v>6179.8047347637312</c:v>
                </c:pt>
                <c:pt idx="40">
                  <c:v>6253.5692186643009</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16861.092332144392</c:v>
                </c:pt>
                <c:pt idx="10">
                  <c:v>16468.522608842512</c:v>
                </c:pt>
                <c:pt idx="11">
                  <c:v>16045.117266113433</c:v>
                </c:pt>
                <c:pt idx="12">
                  <c:v>15513.853078015567</c:v>
                </c:pt>
                <c:pt idx="13">
                  <c:v>14930.555499697757</c:v>
                </c:pt>
                <c:pt idx="14">
                  <c:v>14371.050792907918</c:v>
                </c:pt>
                <c:pt idx="15">
                  <c:v>13833.630992612654</c:v>
                </c:pt>
                <c:pt idx="16">
                  <c:v>13316.661479087359</c:v>
                </c:pt>
                <c:pt idx="17">
                  <c:v>12818.497423850999</c:v>
                </c:pt>
                <c:pt idx="18">
                  <c:v>12337.64995714311</c:v>
                </c:pt>
                <c:pt idx="19">
                  <c:v>11872.692270105777</c:v>
                </c:pt>
                <c:pt idx="20">
                  <c:v>11422.256197995202</c:v>
                </c:pt>
                <c:pt idx="21">
                  <c:v>10985.028945155034</c:v>
                </c:pt>
                <c:pt idx="22">
                  <c:v>10557.121915202695</c:v>
                </c:pt>
                <c:pt idx="23">
                  <c:v>10138.032175267153</c:v>
                </c:pt>
                <c:pt idx="24">
                  <c:v>9739.6247971303746</c:v>
                </c:pt>
                <c:pt idx="25">
                  <c:v>9360.8913886165319</c:v>
                </c:pt>
                <c:pt idx="26">
                  <c:v>8927.4565027726148</c:v>
                </c:pt>
                <c:pt idx="27">
                  <c:v>8515.3639489577072</c:v>
                </c:pt>
                <c:pt idx="28">
                  <c:v>8123.5734695997453</c:v>
                </c:pt>
                <c:pt idx="29">
                  <c:v>7751.0954857168272</c:v>
                </c:pt>
                <c:pt idx="30">
                  <c:v>7410.0651758995982</c:v>
                </c:pt>
                <c:pt idx="31">
                  <c:v>7146.2123866811326</c:v>
                </c:pt>
                <c:pt idx="32">
                  <c:v>6895.3973446160244</c:v>
                </c:pt>
                <c:pt idx="33">
                  <c:v>6656.9849076330038</c:v>
                </c:pt>
                <c:pt idx="34">
                  <c:v>6430.3708555723924</c:v>
                </c:pt>
                <c:pt idx="35">
                  <c:v>6214.9803860570992</c:v>
                </c:pt>
                <c:pt idx="36">
                  <c:v>6010.2666834833135</c:v>
                </c:pt>
                <c:pt idx="37">
                  <c:v>5815.6734164340787</c:v>
                </c:pt>
                <c:pt idx="38">
                  <c:v>5630.7077698026351</c:v>
                </c:pt>
                <c:pt idx="39">
                  <c:v>5454.9009108187556</c:v>
                </c:pt>
                <c:pt idx="40">
                  <c:v>5287.8068229132741</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814.51387052401719</c:v>
                </c:pt>
                <c:pt idx="9">
                  <c:v>866.54564321939881</c:v>
                </c:pt>
                <c:pt idx="10">
                  <c:v>954.20824523114607</c:v>
                </c:pt>
                <c:pt idx="11">
                  <c:v>1173.5751672527697</c:v>
                </c:pt>
                <c:pt idx="12">
                  <c:v>1279.84026775333</c:v>
                </c:pt>
                <c:pt idx="13">
                  <c:v>1285.1788133219236</c:v>
                </c:pt>
                <c:pt idx="14">
                  <c:v>1291.3713827706529</c:v>
                </c:pt>
                <c:pt idx="15">
                  <c:v>1297.6054221193856</c:v>
                </c:pt>
                <c:pt idx="16">
                  <c:v>1304.0047200595179</c:v>
                </c:pt>
                <c:pt idx="17">
                  <c:v>1310.2521636662286</c:v>
                </c:pt>
                <c:pt idx="18">
                  <c:v>1316.7945238254483</c:v>
                </c:pt>
                <c:pt idx="19">
                  <c:v>1323.0557112105857</c:v>
                </c:pt>
                <c:pt idx="20">
                  <c:v>1329.5054032746282</c:v>
                </c:pt>
                <c:pt idx="21">
                  <c:v>1337.0746474464886</c:v>
                </c:pt>
                <c:pt idx="22">
                  <c:v>1345.2125487669348</c:v>
                </c:pt>
                <c:pt idx="23">
                  <c:v>1353.6255678652083</c:v>
                </c:pt>
                <c:pt idx="24">
                  <c:v>1355.5154577081698</c:v>
                </c:pt>
                <c:pt idx="25">
                  <c:v>1037.0246536402469</c:v>
                </c:pt>
                <c:pt idx="26">
                  <c:v>1037.0246536402469</c:v>
                </c:pt>
                <c:pt idx="27">
                  <c:v>1037.0246536402469</c:v>
                </c:pt>
                <c:pt idx="28">
                  <c:v>1037.0246536402469</c:v>
                </c:pt>
                <c:pt idx="29">
                  <c:v>1037.0246536402469</c:v>
                </c:pt>
                <c:pt idx="30">
                  <c:v>1037.0246536402469</c:v>
                </c:pt>
                <c:pt idx="31">
                  <c:v>1037.0246536402469</c:v>
                </c:pt>
                <c:pt idx="32">
                  <c:v>1037.0246536402469</c:v>
                </c:pt>
                <c:pt idx="33">
                  <c:v>1037.0246536402469</c:v>
                </c:pt>
                <c:pt idx="34">
                  <c:v>1037.0246536402469</c:v>
                </c:pt>
                <c:pt idx="35">
                  <c:v>1037.0246536402469</c:v>
                </c:pt>
                <c:pt idx="36">
                  <c:v>1037.0246536402469</c:v>
                </c:pt>
                <c:pt idx="37">
                  <c:v>1037.0246536402469</c:v>
                </c:pt>
                <c:pt idx="38">
                  <c:v>1037.0246536402469</c:v>
                </c:pt>
                <c:pt idx="39">
                  <c:v>1037.0246536402469</c:v>
                </c:pt>
                <c:pt idx="40">
                  <c:v>1037.0246536402469</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16861.092332144392</c:v>
                </c:pt>
                <c:pt idx="10">
                  <c:v>16468.522608842512</c:v>
                </c:pt>
                <c:pt idx="11">
                  <c:v>16045.117266113433</c:v>
                </c:pt>
                <c:pt idx="12">
                  <c:v>15513.853078015567</c:v>
                </c:pt>
                <c:pt idx="13">
                  <c:v>14930.555499697757</c:v>
                </c:pt>
                <c:pt idx="14">
                  <c:v>14371.050792907918</c:v>
                </c:pt>
                <c:pt idx="15">
                  <c:v>13833.630992612654</c:v>
                </c:pt>
                <c:pt idx="16">
                  <c:v>13316.661479087359</c:v>
                </c:pt>
                <c:pt idx="17">
                  <c:v>12818.497423850999</c:v>
                </c:pt>
                <c:pt idx="18">
                  <c:v>12337.64995714311</c:v>
                </c:pt>
                <c:pt idx="19">
                  <c:v>11872.692270105777</c:v>
                </c:pt>
                <c:pt idx="20">
                  <c:v>11422.256197995202</c:v>
                </c:pt>
                <c:pt idx="21">
                  <c:v>10985.028945155034</c:v>
                </c:pt>
                <c:pt idx="22">
                  <c:v>10557.121915202695</c:v>
                </c:pt>
                <c:pt idx="23">
                  <c:v>10138.032175267153</c:v>
                </c:pt>
                <c:pt idx="24">
                  <c:v>9739.6247971303746</c:v>
                </c:pt>
                <c:pt idx="25">
                  <c:v>9360.8913886165319</c:v>
                </c:pt>
                <c:pt idx="26">
                  <c:v>8927.4565027726148</c:v>
                </c:pt>
                <c:pt idx="27">
                  <c:v>8515.3639489577072</c:v>
                </c:pt>
                <c:pt idx="28">
                  <c:v>8123.5734695997453</c:v>
                </c:pt>
                <c:pt idx="29">
                  <c:v>7751.0954857168272</c:v>
                </c:pt>
                <c:pt idx="30">
                  <c:v>7410.0651758995982</c:v>
                </c:pt>
                <c:pt idx="31">
                  <c:v>7146.2123866811326</c:v>
                </c:pt>
                <c:pt idx="32">
                  <c:v>6895.3973446160244</c:v>
                </c:pt>
                <c:pt idx="33">
                  <c:v>6656.9849076330038</c:v>
                </c:pt>
                <c:pt idx="34">
                  <c:v>6430.3708555723924</c:v>
                </c:pt>
                <c:pt idx="35">
                  <c:v>6214.9803860570992</c:v>
                </c:pt>
                <c:pt idx="36">
                  <c:v>6010.2666834833135</c:v>
                </c:pt>
                <c:pt idx="37">
                  <c:v>5815.6734164340787</c:v>
                </c:pt>
                <c:pt idx="38">
                  <c:v>5630.7077698026351</c:v>
                </c:pt>
                <c:pt idx="39">
                  <c:v>5454.9009108187556</c:v>
                </c:pt>
                <c:pt idx="40">
                  <c:v>5287.8068229132741</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814.51387052401719</c:v>
                </c:pt>
                <c:pt idx="9">
                  <c:v>866.54564321939881</c:v>
                </c:pt>
                <c:pt idx="10">
                  <c:v>954.20824523114607</c:v>
                </c:pt>
                <c:pt idx="11">
                  <c:v>1173.5751672527697</c:v>
                </c:pt>
                <c:pt idx="12">
                  <c:v>1279.84026775333</c:v>
                </c:pt>
                <c:pt idx="13">
                  <c:v>1285.1788133219236</c:v>
                </c:pt>
                <c:pt idx="14">
                  <c:v>1291.3713827706529</c:v>
                </c:pt>
                <c:pt idx="15">
                  <c:v>1297.6054221193856</c:v>
                </c:pt>
                <c:pt idx="16">
                  <c:v>1304.0047200595179</c:v>
                </c:pt>
                <c:pt idx="17">
                  <c:v>1310.2521636662286</c:v>
                </c:pt>
                <c:pt idx="18">
                  <c:v>1316.7945238254483</c:v>
                </c:pt>
                <c:pt idx="19">
                  <c:v>1323.0557112105857</c:v>
                </c:pt>
                <c:pt idx="20">
                  <c:v>1329.5054032746282</c:v>
                </c:pt>
                <c:pt idx="21">
                  <c:v>1337.0746474464886</c:v>
                </c:pt>
                <c:pt idx="22">
                  <c:v>1345.2125487669348</c:v>
                </c:pt>
                <c:pt idx="23">
                  <c:v>1353.6255678652083</c:v>
                </c:pt>
                <c:pt idx="24">
                  <c:v>1355.5154577081698</c:v>
                </c:pt>
                <c:pt idx="25">
                  <c:v>1037.0246536402469</c:v>
                </c:pt>
                <c:pt idx="26">
                  <c:v>1037.0246536402469</c:v>
                </c:pt>
                <c:pt idx="27">
                  <c:v>1037.0246536402469</c:v>
                </c:pt>
                <c:pt idx="28">
                  <c:v>1037.0246536402469</c:v>
                </c:pt>
                <c:pt idx="29">
                  <c:v>1037.0246536402469</c:v>
                </c:pt>
                <c:pt idx="30">
                  <c:v>1037.0246536402469</c:v>
                </c:pt>
                <c:pt idx="31">
                  <c:v>1037.0246536402469</c:v>
                </c:pt>
                <c:pt idx="32">
                  <c:v>1037.0246536402469</c:v>
                </c:pt>
                <c:pt idx="33">
                  <c:v>1037.0246536402469</c:v>
                </c:pt>
                <c:pt idx="34">
                  <c:v>1037.0246536402469</c:v>
                </c:pt>
                <c:pt idx="35">
                  <c:v>1037.0246536402469</c:v>
                </c:pt>
                <c:pt idx="36">
                  <c:v>1037.0246536402469</c:v>
                </c:pt>
                <c:pt idx="37">
                  <c:v>1037.0246536402469</c:v>
                </c:pt>
                <c:pt idx="38">
                  <c:v>1037.0246536402469</c:v>
                </c:pt>
                <c:pt idx="39">
                  <c:v>1037.0246536402469</c:v>
                </c:pt>
                <c:pt idx="40">
                  <c:v>1037.0246536402469</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96.232289152450377</c:v>
                </c:pt>
                <c:pt idx="32">
                  <c:v>96.042128189602451</c:v>
                </c:pt>
                <c:pt idx="33">
                  <c:v>95.853884148944275</c:v>
                </c:pt>
                <c:pt idx="34">
                  <c:v>95.667531744697669</c:v>
                </c:pt>
                <c:pt idx="35">
                  <c:v>95.48304612493115</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19224.966297597453</c:v>
                </c:pt>
                <c:pt idx="1">
                  <c:v>19201.852089525579</c:v>
                </c:pt>
                <c:pt idx="2">
                  <c:v>19081.496887575719</c:v>
                </c:pt>
                <c:pt idx="3">
                  <c:v>18848.702616544419</c:v>
                </c:pt>
                <c:pt idx="4">
                  <c:v>18584.362911037679</c:v>
                </c:pt>
                <c:pt idx="5">
                  <c:v>18290.506483548277</c:v>
                </c:pt>
                <c:pt idx="6">
                  <c:v>17968.758988794594</c:v>
                </c:pt>
                <c:pt idx="7">
                  <c:v>17621.856889545634</c:v>
                </c:pt>
                <c:pt idx="8">
                  <c:v>17253.023595944302</c:v>
                </c:pt>
                <c:pt idx="9">
                  <c:v>16861.099911829828</c:v>
                </c:pt>
                <c:pt idx="10">
                  <c:v>16468.545151644186</c:v>
                </c:pt>
                <c:pt idx="11">
                  <c:v>16045.161976583255</c:v>
                </c:pt>
                <c:pt idx="12">
                  <c:v>15513.926852505996</c:v>
                </c:pt>
                <c:pt idx="13">
                  <c:v>14930.665018375896</c:v>
                </c:pt>
                <c:pt idx="14">
                  <c:v>14371.202535529792</c:v>
                </c:pt>
                <c:pt idx="15">
                  <c:v>13833.831253427637</c:v>
                </c:pt>
                <c:pt idx="16">
                  <c:v>13316.916380924082</c:v>
                </c:pt>
                <c:pt idx="17">
                  <c:v>12818.812807035578</c:v>
                </c:pt>
                <c:pt idx="18">
                  <c:v>12338.031493135888</c:v>
                </c:pt>
                <c:pt idx="19">
                  <c:v>11873.145473832952</c:v>
                </c:pt>
                <c:pt idx="20">
                  <c:v>11422.786439494865</c:v>
                </c:pt>
                <c:pt idx="21">
                  <c:v>10985.64146057801</c:v>
                </c:pt>
                <c:pt idx="22">
                  <c:v>10557.812878965282</c:v>
                </c:pt>
                <c:pt idx="23">
                  <c:v>10138.797992811658</c:v>
                </c:pt>
                <c:pt idx="24">
                  <c:v>9740.4620915415217</c:v>
                </c:pt>
                <c:pt idx="25">
                  <c:v>9361.7969880178971</c:v>
                </c:pt>
                <c:pt idx="26">
                  <c:v>8928.427428457635</c:v>
                </c:pt>
                <c:pt idx="27">
                  <c:v>8516.3972609868997</c:v>
                </c:pt>
                <c:pt idx="28">
                  <c:v>8124.6664055705405</c:v>
                </c:pt>
                <c:pt idx="29">
                  <c:v>7752.2454504709603</c:v>
                </c:pt>
                <c:pt idx="30">
                  <c:v>7411.2697318302135</c:v>
                </c:pt>
                <c:pt idx="31">
                  <c:v>7147.4692446047275</c:v>
                </c:pt>
                <c:pt idx="32">
                  <c:v>6896.704219229151</c:v>
                </c:pt>
                <c:pt idx="33">
                  <c:v>6658.3396514415108</c:v>
                </c:pt>
                <c:pt idx="34">
                  <c:v>6431.7714508953713</c:v>
                </c:pt>
                <c:pt idx="35">
                  <c:v>6216.4249374966712</c:v>
                </c:pt>
                <c:pt idx="36">
                  <c:v>6011.7534108331247</c:v>
                </c:pt>
                <c:pt idx="37">
                  <c:v>5817.2005083018012</c:v>
                </c:pt>
                <c:pt idx="38">
                  <c:v>5632.2735235745249</c:v>
                </c:pt>
                <c:pt idx="39">
                  <c:v>5456.5037263416752</c:v>
                </c:pt>
                <c:pt idx="40">
                  <c:v>5289.4451965447415</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457.58567236203919</c:v>
                </c:pt>
                <c:pt idx="1">
                  <c:v>488.35925030819283</c:v>
                </c:pt>
                <c:pt idx="2">
                  <c:v>539.40416412719242</c:v>
                </c:pt>
                <c:pt idx="3">
                  <c:v>589.32083109235896</c:v>
                </c:pt>
                <c:pt idx="4">
                  <c:v>635.2764847511985</c:v>
                </c:pt>
                <c:pt idx="5">
                  <c:v>676.58213686740248</c:v>
                </c:pt>
                <c:pt idx="6">
                  <c:v>715.01824789298109</c:v>
                </c:pt>
                <c:pt idx="7">
                  <c:v>751.39711693352467</c:v>
                </c:pt>
                <c:pt idx="8">
                  <c:v>752.19459867891726</c:v>
                </c:pt>
                <c:pt idx="9">
                  <c:v>733.11219215399888</c:v>
                </c:pt>
                <c:pt idx="10">
                  <c:v>732.47082332532477</c:v>
                </c:pt>
                <c:pt idx="11">
                  <c:v>807.49839992365014</c:v>
                </c:pt>
                <c:pt idx="12">
                  <c:v>777.27403948413553</c:v>
                </c:pt>
                <c:pt idx="13">
                  <c:v>780.51625101913839</c:v>
                </c:pt>
                <c:pt idx="14">
                  <c:v>784.27712930330836</c:v>
                </c:pt>
                <c:pt idx="15">
                  <c:v>788.06319313406925</c:v>
                </c:pt>
                <c:pt idx="16">
                  <c:v>791.94962199954057</c:v>
                </c:pt>
                <c:pt idx="17">
                  <c:v>795.74382651942346</c:v>
                </c:pt>
                <c:pt idx="18">
                  <c:v>799.71714009365837</c:v>
                </c:pt>
                <c:pt idx="19">
                  <c:v>803.51969150060529</c:v>
                </c:pt>
                <c:pt idx="20">
                  <c:v>807.43672578242808</c:v>
                </c:pt>
                <c:pt idx="21">
                  <c:v>812.03368771708529</c:v>
                </c:pt>
                <c:pt idx="22">
                  <c:v>816.97600715462772</c:v>
                </c:pt>
                <c:pt idx="23">
                  <c:v>822.08541143228138</c:v>
                </c:pt>
                <c:pt idx="24">
                  <c:v>823.23318147001999</c:v>
                </c:pt>
                <c:pt idx="25">
                  <c:v>629.80698598783727</c:v>
                </c:pt>
                <c:pt idx="26">
                  <c:v>629.80698598783727</c:v>
                </c:pt>
                <c:pt idx="27">
                  <c:v>629.80698598783727</c:v>
                </c:pt>
                <c:pt idx="28">
                  <c:v>629.80698598783727</c:v>
                </c:pt>
                <c:pt idx="29">
                  <c:v>629.80698598783727</c:v>
                </c:pt>
                <c:pt idx="30">
                  <c:v>629.80698598783727</c:v>
                </c:pt>
                <c:pt idx="31">
                  <c:v>629.80698598783727</c:v>
                </c:pt>
                <c:pt idx="32">
                  <c:v>629.80698598783727</c:v>
                </c:pt>
                <c:pt idx="33">
                  <c:v>629.80698598783727</c:v>
                </c:pt>
                <c:pt idx="34">
                  <c:v>629.80698598783727</c:v>
                </c:pt>
                <c:pt idx="35">
                  <c:v>629.80698598783727</c:v>
                </c:pt>
                <c:pt idx="36">
                  <c:v>629.80698598783727</c:v>
                </c:pt>
                <c:pt idx="37">
                  <c:v>629.80698598783727</c:v>
                </c:pt>
                <c:pt idx="38">
                  <c:v>629.80698598783727</c:v>
                </c:pt>
                <c:pt idx="39">
                  <c:v>629.80698598783727</c:v>
                </c:pt>
                <c:pt idx="40">
                  <c:v>629.80698598783727</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299.52410113774715</c:v>
                </c:pt>
                <c:pt idx="11">
                  <c:v>275.36438549102087</c:v>
                </c:pt>
                <c:pt idx="12">
                  <c:v>229.17353377197622</c:v>
                </c:pt>
                <c:pt idx="13">
                  <c:v>217.34002107405581</c:v>
                </c:pt>
                <c:pt idx="14">
                  <c:v>205.3038143886219</c:v>
                </c:pt>
                <c:pt idx="15">
                  <c:v>193.05753067442905</c:v>
                </c:pt>
                <c:pt idx="16">
                  <c:v>180.70037146955198</c:v>
                </c:pt>
                <c:pt idx="17">
                  <c:v>168.10228643963038</c:v>
                </c:pt>
                <c:pt idx="18">
                  <c:v>155.25457728774188</c:v>
                </c:pt>
                <c:pt idx="19">
                  <c:v>142.1481547216269</c:v>
                </c:pt>
                <c:pt idx="20">
                  <c:v>128.77351562592733</c:v>
                </c:pt>
                <c:pt idx="21">
                  <c:v>113.56951234567336</c:v>
                </c:pt>
                <c:pt idx="22">
                  <c:v>98.459981517794233</c:v>
                </c:pt>
                <c:pt idx="23">
                  <c:v>98.168119205727166</c:v>
                </c:pt>
                <c:pt idx="24">
                  <c:v>97.880430060004471</c:v>
                </c:pt>
                <c:pt idx="25">
                  <c:v>97.596835379073497</c:v>
                </c:pt>
                <c:pt idx="26">
                  <c:v>97.356613290882166</c:v>
                </c:pt>
                <c:pt idx="27">
                  <c:v>97.11930396370947</c:v>
                </c:pt>
                <c:pt idx="28">
                  <c:v>96.88486093946301</c:v>
                </c:pt>
                <c:pt idx="29">
                  <c:v>96.653238724891821</c:v>
                </c:pt>
                <c:pt idx="30">
                  <c:v>96.424392766634725</c:v>
                </c:pt>
                <c:pt idx="31">
                  <c:v>96.232289152450349</c:v>
                </c:pt>
                <c:pt idx="32">
                  <c:v>96.042128189602451</c:v>
                </c:pt>
                <c:pt idx="33">
                  <c:v>95.853884148944275</c:v>
                </c:pt>
                <c:pt idx="34">
                  <c:v>95.667531744697669</c:v>
                </c:pt>
                <c:pt idx="35">
                  <c:v>95.483046124931136</c:v>
                </c:pt>
                <c:pt idx="36">
                  <c:v>95.332713212379986</c:v>
                </c:pt>
                <c:pt idx="37">
                  <c:v>95.183612874715863</c:v>
                </c:pt>
                <c:pt idx="38">
                  <c:v>95.035731924294083</c:v>
                </c:pt>
                <c:pt idx="39">
                  <c:v>94.889057356937755</c:v>
                </c:pt>
                <c:pt idx="40">
                  <c:v>94.743576348754203</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4069.6472808319609</c:v>
                </c:pt>
                <c:pt idx="11">
                  <c:v>4201.6401192926323</c:v>
                </c:pt>
                <c:pt idx="12">
                  <c:v>4336.1329960221574</c:v>
                </c:pt>
                <c:pt idx="13">
                  <c:v>4473.1659836582639</c:v>
                </c:pt>
                <c:pt idx="14">
                  <c:v>4612.7797461997052</c:v>
                </c:pt>
                <c:pt idx="15">
                  <c:v>4755.015547311632</c:v>
                </c:pt>
                <c:pt idx="16">
                  <c:v>4891.8365725125823</c:v>
                </c:pt>
                <c:pt idx="17">
                  <c:v>5030.8909891052281</c:v>
                </c:pt>
                <c:pt idx="18">
                  <c:v>5172.2095138882814</c:v>
                </c:pt>
                <c:pt idx="19">
                  <c:v>5315.8232520302154</c:v>
                </c:pt>
                <c:pt idx="20">
                  <c:v>5461.7637017393099</c:v>
                </c:pt>
                <c:pt idx="21">
                  <c:v>5508.3758769951792</c:v>
                </c:pt>
                <c:pt idx="22">
                  <c:v>5555.3858532180511</c:v>
                </c:pt>
                <c:pt idx="23">
                  <c:v>5602.7970253494477</c:v>
                </c:pt>
                <c:pt idx="24">
                  <c:v>5650.6128173042498</c:v>
                </c:pt>
                <c:pt idx="25">
                  <c:v>5698.8366822179532</c:v>
                </c:pt>
                <c:pt idx="26">
                  <c:v>5740.5587570983689</c:v>
                </c:pt>
                <c:pt idx="27">
                  <c:v>5782.5862858160108</c:v>
                </c:pt>
                <c:pt idx="28">
                  <c:v>5824.9215046462123</c:v>
                </c:pt>
                <c:pt idx="29">
                  <c:v>5867.5666662364183</c:v>
                </c:pt>
                <c:pt idx="30">
                  <c:v>5910.5240397260632</c:v>
                </c:pt>
                <c:pt idx="31">
                  <c:v>5947.2338879558556</c:v>
                </c:pt>
                <c:pt idx="32">
                  <c:v>5984.171738465644</c:v>
                </c:pt>
                <c:pt idx="33">
                  <c:v>6021.3390073615255</c:v>
                </c:pt>
                <c:pt idx="34">
                  <c:v>6058.7371195449232</c:v>
                </c:pt>
                <c:pt idx="35">
                  <c:v>6096.3675087672291</c:v>
                </c:pt>
                <c:pt idx="36">
                  <c:v>6127.4884893628396</c:v>
                </c:pt>
                <c:pt idx="37">
                  <c:v>6158.7683375844354</c:v>
                </c:pt>
                <c:pt idx="38">
                  <c:v>6190.2078644258199</c:v>
                </c:pt>
                <c:pt idx="39">
                  <c:v>6221.8078850207985</c:v>
                </c:pt>
                <c:pt idx="40">
                  <c:v>6253.5692186643009</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5"/>
  <sheetData>
    <row r="1" spans="1:13" ht="15.75">
      <c r="A1" s="569"/>
      <c r="B1" s="569"/>
      <c r="C1" s="569"/>
      <c r="D1" s="569"/>
      <c r="E1" s="569"/>
      <c r="F1" s="569"/>
      <c r="G1" s="569"/>
      <c r="H1" s="569"/>
      <c r="I1" s="569"/>
      <c r="J1" s="569"/>
      <c r="K1" s="569"/>
      <c r="L1" s="569"/>
      <c r="M1" s="569"/>
    </row>
    <row r="2" spans="1:13" ht="15.75">
      <c r="A2" s="569"/>
      <c r="B2" s="569"/>
      <c r="C2" s="569"/>
      <c r="D2" s="569"/>
      <c r="E2" s="569"/>
      <c r="F2" s="569"/>
      <c r="G2" s="569"/>
      <c r="H2" s="569"/>
      <c r="I2" s="569"/>
      <c r="J2" s="569"/>
      <c r="K2" s="569"/>
      <c r="L2" s="569"/>
      <c r="M2" s="569"/>
    </row>
    <row r="3" spans="1:13" ht="30">
      <c r="A3" s="570"/>
      <c r="B3" s="569"/>
      <c r="C3" s="569"/>
      <c r="D3" s="569"/>
      <c r="E3" s="569"/>
      <c r="F3" s="569"/>
      <c r="G3" s="569"/>
      <c r="H3" s="569"/>
      <c r="I3" s="569"/>
      <c r="J3" s="569"/>
      <c r="K3" s="569"/>
      <c r="L3" s="569"/>
      <c r="M3" s="569"/>
    </row>
    <row r="4" spans="1:13" ht="49.5">
      <c r="A4" s="571" t="s">
        <v>538</v>
      </c>
      <c r="B4" s="569"/>
      <c r="C4" s="569"/>
      <c r="D4" s="569"/>
      <c r="E4" s="569"/>
      <c r="F4" s="569"/>
      <c r="G4" s="569"/>
      <c r="H4" s="569"/>
      <c r="I4" s="569"/>
      <c r="J4" s="569"/>
      <c r="K4" s="569"/>
      <c r="L4" s="569"/>
      <c r="M4" s="569"/>
    </row>
    <row r="5" spans="1:13" ht="49.5">
      <c r="A5" s="571" t="s">
        <v>536</v>
      </c>
      <c r="B5" s="569"/>
      <c r="C5" s="569"/>
      <c r="D5" s="569"/>
      <c r="E5" s="569"/>
      <c r="F5" s="569"/>
      <c r="G5" s="569"/>
      <c r="H5" s="569"/>
      <c r="I5" s="569"/>
      <c r="J5" s="569"/>
      <c r="K5" s="569"/>
      <c r="L5" s="569"/>
      <c r="M5" s="569"/>
    </row>
    <row r="6" spans="1:13" ht="49.5">
      <c r="A6" s="571" t="s">
        <v>537</v>
      </c>
      <c r="B6" s="569"/>
      <c r="C6" s="569"/>
      <c r="D6" s="569"/>
      <c r="E6" s="569"/>
      <c r="F6" s="569"/>
      <c r="G6" s="569"/>
      <c r="H6" s="569"/>
      <c r="I6" s="569"/>
      <c r="J6" s="569"/>
      <c r="K6" s="569"/>
      <c r="L6" s="569"/>
      <c r="M6" s="569"/>
    </row>
    <row r="7" spans="1:13" ht="30">
      <c r="A7" s="570" t="s">
        <v>539</v>
      </c>
      <c r="B7" s="569"/>
      <c r="C7" s="569"/>
      <c r="D7" s="569"/>
      <c r="E7" s="569"/>
      <c r="F7" s="569"/>
      <c r="G7" s="569"/>
      <c r="H7" s="569"/>
      <c r="I7" s="569"/>
      <c r="J7" s="569"/>
      <c r="K7" s="569"/>
      <c r="L7" s="569"/>
      <c r="M7" s="569"/>
    </row>
    <row r="8" spans="1:13" ht="20.25">
      <c r="A8" s="572"/>
      <c r="B8" s="569"/>
      <c r="C8" s="569"/>
      <c r="D8" s="569"/>
      <c r="E8" s="569"/>
      <c r="F8" s="569"/>
      <c r="G8" s="569"/>
      <c r="H8" s="569"/>
      <c r="I8" s="569"/>
      <c r="J8" s="569"/>
      <c r="K8" s="569"/>
      <c r="L8" s="569"/>
      <c r="M8" s="569"/>
    </row>
    <row r="9" spans="1:13" ht="18.75">
      <c r="A9" s="574" t="s">
        <v>818</v>
      </c>
      <c r="B9" s="569"/>
      <c r="C9" s="569"/>
      <c r="D9" s="569"/>
      <c r="E9" s="569"/>
      <c r="F9" s="569"/>
      <c r="G9" s="569"/>
      <c r="H9" s="569"/>
      <c r="I9" s="569"/>
      <c r="J9" s="569"/>
      <c r="K9" s="569"/>
      <c r="L9" s="569"/>
      <c r="M9" s="569"/>
    </row>
    <row r="10" spans="1:13" ht="15.75">
      <c r="A10" s="569"/>
      <c r="B10" s="569"/>
      <c r="C10" s="569"/>
      <c r="D10" s="569"/>
      <c r="E10" s="569"/>
      <c r="F10" s="569"/>
      <c r="G10" s="569"/>
      <c r="H10" s="569"/>
      <c r="I10" s="569"/>
      <c r="J10" s="569"/>
      <c r="K10" s="569"/>
      <c r="L10" s="569"/>
      <c r="M10" s="569"/>
    </row>
    <row r="11" spans="1:13" ht="20.25">
      <c r="A11" s="572" t="s">
        <v>540</v>
      </c>
      <c r="B11" s="569"/>
      <c r="C11" s="569"/>
      <c r="D11" s="569"/>
      <c r="E11" s="569"/>
      <c r="F11" s="569"/>
      <c r="G11" s="569"/>
      <c r="H11" s="569"/>
      <c r="I11" s="569"/>
      <c r="J11" s="569"/>
      <c r="K11" s="569"/>
      <c r="L11" s="569"/>
      <c r="M11" s="569"/>
    </row>
    <row r="12" spans="1:13" ht="20.25">
      <c r="A12" s="572" t="s">
        <v>541</v>
      </c>
      <c r="B12" s="569"/>
      <c r="C12" s="569"/>
      <c r="D12" s="569"/>
      <c r="E12" s="569"/>
      <c r="F12" s="569"/>
      <c r="G12" s="569"/>
      <c r="H12" s="569"/>
      <c r="I12" s="569"/>
      <c r="J12" s="569"/>
      <c r="K12" s="569"/>
      <c r="L12" s="569"/>
      <c r="M12" s="569"/>
    </row>
    <row r="13" spans="1:13" ht="15.75">
      <c r="A13" s="569"/>
      <c r="B13" s="569"/>
      <c r="C13" s="569"/>
      <c r="D13" s="569"/>
      <c r="E13" s="569"/>
      <c r="F13" s="569"/>
      <c r="G13" s="569"/>
      <c r="H13" s="569"/>
      <c r="I13" s="569"/>
      <c r="J13" s="569"/>
      <c r="K13" s="569"/>
      <c r="L13" s="569"/>
      <c r="M13" s="569"/>
    </row>
    <row r="14" spans="1:13" ht="15.75">
      <c r="A14" s="569"/>
      <c r="B14" s="569"/>
      <c r="C14" s="569"/>
      <c r="D14" s="569"/>
      <c r="E14" s="569"/>
      <c r="F14" s="569"/>
      <c r="G14" s="569"/>
      <c r="H14" s="569"/>
      <c r="I14" s="569"/>
      <c r="J14" s="569"/>
      <c r="K14" s="569"/>
      <c r="L14" s="569"/>
      <c r="M14" s="569"/>
    </row>
    <row r="15" spans="1:13" ht="15.75">
      <c r="A15" s="569"/>
      <c r="B15" s="569"/>
      <c r="C15" s="569"/>
      <c r="D15" s="569"/>
      <c r="E15" s="569"/>
      <c r="F15" s="569"/>
      <c r="G15" s="569"/>
      <c r="H15" s="569"/>
      <c r="I15" s="569"/>
      <c r="J15" s="569"/>
      <c r="K15" s="569"/>
      <c r="L15" s="569"/>
      <c r="M15" s="569"/>
    </row>
    <row r="16" spans="1:13" ht="15.75">
      <c r="A16" s="569"/>
      <c r="B16" s="569"/>
      <c r="C16" s="569"/>
      <c r="D16" s="569"/>
      <c r="E16" s="569"/>
      <c r="F16" s="569"/>
      <c r="G16" s="569"/>
      <c r="H16" s="569"/>
      <c r="I16" s="569"/>
      <c r="J16" s="569"/>
      <c r="K16" s="569"/>
      <c r="L16" s="569"/>
      <c r="M16" s="569"/>
    </row>
    <row r="17" spans="1:13" ht="15.75">
      <c r="A17" s="569"/>
      <c r="B17" s="569"/>
      <c r="C17" s="569"/>
      <c r="D17" s="569"/>
      <c r="E17" s="569"/>
      <c r="F17" s="569"/>
      <c r="G17" s="569"/>
      <c r="H17" s="569"/>
      <c r="I17" s="569"/>
      <c r="J17" s="569"/>
      <c r="K17" s="569"/>
      <c r="L17" s="569"/>
      <c r="M17" s="569"/>
    </row>
    <row r="18" spans="1:13" ht="15.75">
      <c r="A18" s="569"/>
      <c r="B18" s="569"/>
      <c r="C18" s="569"/>
      <c r="D18" s="569"/>
      <c r="E18" s="569"/>
      <c r="F18" s="569"/>
      <c r="G18" s="569"/>
      <c r="H18" s="569"/>
      <c r="I18" s="569"/>
      <c r="J18" s="569"/>
      <c r="K18" s="569"/>
      <c r="L18" s="569"/>
      <c r="M18" s="569"/>
    </row>
    <row r="19" spans="1:13" ht="15.75">
      <c r="A19" s="569"/>
      <c r="B19" s="569"/>
      <c r="C19" s="569"/>
      <c r="D19" s="569"/>
      <c r="E19" s="569"/>
      <c r="F19" s="569"/>
      <c r="G19" s="569"/>
      <c r="H19" s="569"/>
      <c r="I19" s="569"/>
      <c r="J19" s="569"/>
      <c r="K19" s="569"/>
      <c r="L19" s="569"/>
      <c r="M19" s="569"/>
    </row>
    <row r="20" spans="1:13" ht="15.75">
      <c r="A20" s="569"/>
      <c r="B20" s="569"/>
      <c r="C20" s="569"/>
      <c r="D20" s="569"/>
      <c r="E20" s="569"/>
      <c r="F20" s="569"/>
      <c r="G20" s="569"/>
      <c r="H20" s="569"/>
      <c r="I20" s="569"/>
      <c r="J20" s="569"/>
      <c r="K20" s="569"/>
      <c r="L20" s="569"/>
      <c r="M20" s="569"/>
    </row>
    <row r="21" spans="1:13" ht="15.75">
      <c r="A21" s="569"/>
      <c r="B21" s="569"/>
      <c r="C21" s="569"/>
      <c r="D21" s="569"/>
      <c r="E21" s="569"/>
      <c r="F21" s="569"/>
      <c r="G21" s="569"/>
      <c r="H21" s="569"/>
      <c r="I21" s="569"/>
      <c r="J21" s="569"/>
      <c r="K21" s="569"/>
      <c r="L21" s="569"/>
      <c r="M21" s="569"/>
    </row>
    <row r="22" spans="1:13" ht="15.75">
      <c r="A22" s="569"/>
      <c r="B22" s="569"/>
      <c r="C22" s="569"/>
      <c r="D22" s="569"/>
      <c r="E22" s="569"/>
      <c r="F22" s="569"/>
      <c r="G22" s="569"/>
      <c r="H22" s="569"/>
      <c r="I22" s="569"/>
      <c r="J22" s="569"/>
      <c r="K22" s="569"/>
      <c r="L22" s="569"/>
      <c r="M22" s="569"/>
    </row>
    <row r="23" spans="1:13" ht="15.75">
      <c r="A23" s="573"/>
      <c r="B23" s="573"/>
      <c r="C23" s="573"/>
      <c r="D23" s="573"/>
      <c r="E23" s="573"/>
      <c r="F23" s="573"/>
      <c r="G23" s="573"/>
      <c r="H23" s="573"/>
      <c r="I23" s="573"/>
      <c r="J23" s="573"/>
      <c r="K23" s="573"/>
      <c r="L23" s="573"/>
      <c r="M23" s="573"/>
    </row>
    <row r="24" spans="1:13" ht="15.75">
      <c r="A24" s="573"/>
      <c r="B24" s="573"/>
      <c r="C24" s="573"/>
      <c r="D24" s="573"/>
      <c r="E24" s="573"/>
      <c r="F24" s="573"/>
      <c r="G24" s="573"/>
      <c r="H24" s="573"/>
      <c r="I24" s="573"/>
      <c r="J24" s="573"/>
      <c r="K24" s="573"/>
      <c r="L24" s="573"/>
      <c r="M24" s="573"/>
    </row>
    <row r="25" spans="1:13" ht="15.75">
      <c r="A25" s="573"/>
      <c r="B25" s="573"/>
      <c r="C25" s="573"/>
      <c r="D25" s="573"/>
      <c r="E25" s="573"/>
      <c r="F25" s="573"/>
      <c r="G25" s="573"/>
      <c r="H25" s="573"/>
      <c r="I25" s="573"/>
      <c r="J25" s="573"/>
      <c r="K25" s="573"/>
      <c r="L25" s="573"/>
      <c r="M25" s="573"/>
    </row>
    <row r="26" spans="1:13" ht="15.75">
      <c r="A26" s="573"/>
      <c r="B26" s="573"/>
      <c r="C26" s="573"/>
      <c r="D26" s="573"/>
      <c r="E26" s="573"/>
      <c r="F26" s="573"/>
      <c r="G26" s="573"/>
      <c r="H26" s="573"/>
      <c r="I26" s="573"/>
      <c r="J26" s="573"/>
      <c r="K26" s="573"/>
      <c r="L26" s="573"/>
      <c r="M26" s="573"/>
    </row>
    <row r="27" spans="1:13" ht="15.75">
      <c r="A27" s="573"/>
      <c r="B27" s="573"/>
      <c r="C27" s="573"/>
      <c r="D27" s="573"/>
      <c r="E27" s="573"/>
      <c r="F27" s="573"/>
      <c r="G27" s="573"/>
      <c r="H27" s="573"/>
      <c r="I27" s="573"/>
      <c r="J27" s="573"/>
      <c r="K27" s="573"/>
      <c r="L27" s="573"/>
      <c r="M27" s="573"/>
    </row>
    <row r="28" spans="1:13" ht="15.75">
      <c r="A28" s="573"/>
      <c r="B28" s="573"/>
      <c r="C28" s="573"/>
      <c r="D28" s="573"/>
      <c r="E28" s="573"/>
      <c r="F28" s="573"/>
      <c r="G28" s="573"/>
      <c r="H28" s="573"/>
      <c r="I28" s="573"/>
      <c r="J28" s="573"/>
      <c r="K28" s="573"/>
      <c r="L28" s="573"/>
      <c r="M28" s="573"/>
    </row>
    <row r="29" spans="1:13" ht="15.75">
      <c r="A29" s="573"/>
      <c r="B29" s="573"/>
      <c r="C29" s="573"/>
      <c r="D29" s="573"/>
      <c r="E29" s="573"/>
      <c r="F29" s="573"/>
      <c r="G29" s="573"/>
      <c r="H29" s="573"/>
      <c r="I29" s="573"/>
      <c r="J29" s="573"/>
      <c r="K29" s="573"/>
      <c r="L29" s="573"/>
      <c r="M29" s="57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75"/>
  <cols>
    <col min="1" max="1" width="9" bestFit="1" customWidth="1"/>
    <col min="2" max="2" width="25.7109375" customWidth="1"/>
    <col min="3" max="3" width="22" customWidth="1"/>
    <col min="4" max="4" width="25.28515625" customWidth="1"/>
    <col min="5" max="5" width="17.28515625" customWidth="1"/>
    <col min="6" max="6" width="15.5703125" style="1228" customWidth="1"/>
    <col min="7" max="7" width="11.85546875" style="1228" customWidth="1"/>
    <col min="8" max="8" width="13.85546875" style="1228" customWidth="1"/>
    <col min="9" max="9" width="11.42578125" style="1228" bestFit="1" customWidth="1"/>
    <col min="10" max="10" width="16.42578125" customWidth="1"/>
    <col min="11" max="11" width="10.140625" customWidth="1"/>
    <col min="12" max="12" width="25.28515625" customWidth="1"/>
    <col min="13" max="13" width="17.28515625" customWidth="1"/>
    <col min="14" max="14" width="15.5703125" style="1228" customWidth="1"/>
    <col min="15" max="15" width="11.85546875" style="1228" customWidth="1"/>
    <col min="16" max="16" width="13.85546875" style="1228" customWidth="1"/>
    <col min="17" max="17" width="12.42578125" style="1228" bestFit="1" customWidth="1"/>
    <col min="18" max="18" width="16.42578125" customWidth="1"/>
    <col min="19" max="19" width="10.140625" customWidth="1"/>
    <col min="20" max="20" width="17.5703125" customWidth="1"/>
    <col min="21" max="21" width="15.140625" customWidth="1"/>
    <col min="22" max="22" width="14.7109375" customWidth="1"/>
    <col min="23" max="23" width="15.85546875" customWidth="1"/>
    <col min="24" max="24" width="13.7109375" customWidth="1"/>
    <col min="25" max="25" width="14.140625" bestFit="1" customWidth="1"/>
    <col min="26" max="26" width="12.7109375" customWidth="1"/>
    <col min="27" max="27" width="24" customWidth="1"/>
    <col min="28" max="28" width="22.42578125" customWidth="1"/>
    <col min="29" max="29" width="17.85546875" customWidth="1"/>
    <col min="30" max="30" width="15.5703125" customWidth="1"/>
    <col min="31" max="31" width="14.7109375" customWidth="1"/>
    <col min="32" max="32" width="17.42578125" customWidth="1"/>
    <col min="33" max="33" width="15.5703125" customWidth="1"/>
    <col min="34" max="34" width="19.5703125" style="624" customWidth="1"/>
    <col min="35" max="35" width="12.7109375" style="624" customWidth="1"/>
    <col min="38" max="38" width="15.28515625" customWidth="1"/>
    <col min="39" max="39" width="16" customWidth="1"/>
    <col min="40" max="40" width="17.7109375" customWidth="1"/>
    <col min="41" max="41" width="16.7109375" customWidth="1"/>
    <col min="42" max="42" width="17.28515625" customWidth="1"/>
    <col min="43" max="43" width="14.5703125" customWidth="1"/>
    <col min="45" max="45" width="17.28515625" customWidth="1"/>
    <col min="46" max="46" width="16.42578125" customWidth="1"/>
    <col min="47" max="47" width="16.5703125" customWidth="1"/>
    <col min="48" max="48" width="11.85546875" customWidth="1"/>
    <col min="49" max="49" width="16.7109375" customWidth="1"/>
    <col min="50" max="50" width="12.85546875" customWidth="1"/>
    <col min="52" max="52" width="18.28515625" customWidth="1"/>
    <col min="53" max="53" width="20.85546875" customWidth="1"/>
    <col min="54" max="54" width="22.28515625" customWidth="1"/>
  </cols>
  <sheetData>
    <row r="2" spans="1:54" ht="18.75">
      <c r="A2" s="1227" t="s">
        <v>483</v>
      </c>
      <c r="B2" s="410"/>
    </row>
    <row r="3" spans="1:54" ht="31.9" customHeight="1" thickBot="1">
      <c r="B3" s="1790"/>
      <c r="C3" s="1790"/>
      <c r="E3" s="1229"/>
      <c r="J3" s="1229"/>
      <c r="K3" s="1229"/>
      <c r="M3" s="1229"/>
      <c r="R3" s="1229"/>
      <c r="S3" s="1229"/>
      <c r="T3" s="1229"/>
      <c r="U3" s="1229"/>
      <c r="V3" s="1229"/>
      <c r="W3" s="1229"/>
      <c r="X3" s="1229"/>
      <c r="AL3" s="545" t="s">
        <v>522</v>
      </c>
    </row>
    <row r="4" spans="1:54" ht="50.45" customHeight="1" thickBot="1">
      <c r="A4" s="1788" t="s">
        <v>217</v>
      </c>
      <c r="B4" s="524" t="s">
        <v>354</v>
      </c>
      <c r="C4" s="1354" t="s">
        <v>484</v>
      </c>
      <c r="D4" s="1791" t="s">
        <v>481</v>
      </c>
      <c r="E4" s="1792"/>
      <c r="F4" s="1792"/>
      <c r="G4" s="1792"/>
      <c r="H4" s="1792"/>
      <c r="I4" s="1792"/>
      <c r="J4" s="1792"/>
      <c r="K4" s="1793"/>
      <c r="L4" s="1791" t="s">
        <v>737</v>
      </c>
      <c r="M4" s="1792"/>
      <c r="N4" s="1792"/>
      <c r="O4" s="1792"/>
      <c r="P4" s="1792"/>
      <c r="Q4" s="1792"/>
      <c r="R4" s="1792"/>
      <c r="S4" s="1792"/>
      <c r="T4" s="1794" t="s">
        <v>485</v>
      </c>
      <c r="U4" s="1795"/>
      <c r="V4" s="1795"/>
      <c r="W4" s="1795"/>
      <c r="X4" s="1796"/>
      <c r="Y4" s="1794" t="s">
        <v>492</v>
      </c>
      <c r="Z4" s="1796"/>
      <c r="AA4" s="443" t="s">
        <v>475</v>
      </c>
      <c r="AB4" s="444" t="s">
        <v>479</v>
      </c>
      <c r="AC4" s="1797" t="s">
        <v>485</v>
      </c>
      <c r="AD4" s="1798"/>
      <c r="AE4" s="1798"/>
      <c r="AF4" s="1798"/>
      <c r="AG4" s="1799"/>
      <c r="AH4" s="1797" t="s">
        <v>492</v>
      </c>
      <c r="AI4" s="1800"/>
      <c r="AK4" s="1801" t="s">
        <v>217</v>
      </c>
      <c r="AL4" s="1782" t="s">
        <v>525</v>
      </c>
      <c r="AM4" s="1783"/>
      <c r="AN4" s="1783"/>
      <c r="AO4" s="1783"/>
      <c r="AP4" s="1783"/>
      <c r="AQ4" s="1784"/>
      <c r="AS4" s="1782" t="s">
        <v>526</v>
      </c>
      <c r="AT4" s="1783"/>
      <c r="AU4" s="1783"/>
      <c r="AV4" s="1783"/>
      <c r="AW4" s="1783"/>
      <c r="AX4" s="1784"/>
      <c r="AZ4" s="1785" t="s">
        <v>623</v>
      </c>
      <c r="BA4" s="1786"/>
      <c r="BB4" s="1787"/>
    </row>
    <row r="5" spans="1:54" ht="43.9" customHeight="1" thickBot="1">
      <c r="A5" s="1789"/>
      <c r="B5" s="452" t="s">
        <v>227</v>
      </c>
      <c r="C5" s="453" t="s">
        <v>228</v>
      </c>
      <c r="D5" s="448" t="s">
        <v>221</v>
      </c>
      <c r="E5" s="449" t="s">
        <v>85</v>
      </c>
      <c r="F5" s="449" t="s">
        <v>87</v>
      </c>
      <c r="G5" s="449" t="s">
        <v>222</v>
      </c>
      <c r="H5" s="449" t="s">
        <v>115</v>
      </c>
      <c r="I5" s="449" t="s">
        <v>223</v>
      </c>
      <c r="J5" s="449" t="s">
        <v>224</v>
      </c>
      <c r="K5" s="450" t="s">
        <v>225</v>
      </c>
      <c r="L5" s="448" t="s">
        <v>221</v>
      </c>
      <c r="M5" s="449" t="s">
        <v>85</v>
      </c>
      <c r="N5" s="449" t="s">
        <v>87</v>
      </c>
      <c r="O5" s="449" t="s">
        <v>222</v>
      </c>
      <c r="P5" s="449" t="s">
        <v>115</v>
      </c>
      <c r="Q5" s="449" t="s">
        <v>223</v>
      </c>
      <c r="R5" s="449" t="s">
        <v>224</v>
      </c>
      <c r="S5" s="1648" t="s">
        <v>225</v>
      </c>
      <c r="T5" s="442" t="s">
        <v>473</v>
      </c>
      <c r="U5" s="185" t="s">
        <v>489</v>
      </c>
      <c r="V5" s="185" t="s">
        <v>377</v>
      </c>
      <c r="W5" s="185" t="s">
        <v>477</v>
      </c>
      <c r="X5" s="188" t="s">
        <v>303</v>
      </c>
      <c r="Y5" s="442" t="s">
        <v>491</v>
      </c>
      <c r="Z5" s="188" t="s">
        <v>370</v>
      </c>
      <c r="AA5" s="445" t="s">
        <v>393</v>
      </c>
      <c r="AB5" s="446" t="s">
        <v>228</v>
      </c>
      <c r="AC5" s="446" t="s">
        <v>473</v>
      </c>
      <c r="AD5" s="446" t="s">
        <v>489</v>
      </c>
      <c r="AE5" s="446" t="s">
        <v>377</v>
      </c>
      <c r="AF5" s="446" t="s">
        <v>477</v>
      </c>
      <c r="AG5" s="446" t="s">
        <v>303</v>
      </c>
      <c r="AH5" s="1230" t="s">
        <v>491</v>
      </c>
      <c r="AI5" s="1231" t="s">
        <v>370</v>
      </c>
      <c r="AK5" s="1802"/>
      <c r="AL5" s="448" t="s">
        <v>473</v>
      </c>
      <c r="AM5" s="449" t="s">
        <v>523</v>
      </c>
      <c r="AN5" s="449" t="s">
        <v>524</v>
      </c>
      <c r="AO5" s="449" t="s">
        <v>377</v>
      </c>
      <c r="AP5" s="449" t="s">
        <v>477</v>
      </c>
      <c r="AQ5" s="450" t="s">
        <v>303</v>
      </c>
      <c r="AS5" s="448" t="s">
        <v>473</v>
      </c>
      <c r="AT5" s="449" t="s">
        <v>523</v>
      </c>
      <c r="AU5" s="449" t="s">
        <v>524</v>
      </c>
      <c r="AV5" s="449" t="s">
        <v>377</v>
      </c>
      <c r="AW5" s="449" t="s">
        <v>477</v>
      </c>
      <c r="AX5" s="450" t="s">
        <v>303</v>
      </c>
      <c r="AZ5" s="1155" t="s">
        <v>738</v>
      </c>
      <c r="BA5" s="1156" t="s">
        <v>739</v>
      </c>
      <c r="BB5" s="1157" t="s">
        <v>740</v>
      </c>
    </row>
    <row r="6" spans="1:54" ht="15.6" customHeight="1">
      <c r="A6" s="632">
        <f>'Input data'!A50</f>
        <v>1950</v>
      </c>
      <c r="B6" s="1651">
        <f>'Input data'!I50</f>
        <v>578.73</v>
      </c>
      <c r="C6" s="739">
        <f>B6*'Input data'!B50</f>
        <v>3098.6118014670001</v>
      </c>
      <c r="D6" s="649">
        <f>'Input data'!N50</f>
        <v>0.19892488097366726</v>
      </c>
      <c r="E6" s="417">
        <f>'Input data'!O50</f>
        <v>0.26585903447659598</v>
      </c>
      <c r="F6" s="417">
        <f>'Input data'!P50</f>
        <v>8.9228108703258049E-2</v>
      </c>
      <c r="G6" s="417">
        <f>'Input data'!Q50</f>
        <v>0</v>
      </c>
      <c r="H6" s="417">
        <f>'Input data'!R50</f>
        <v>0</v>
      </c>
      <c r="I6" s="417">
        <f>'Input data'!S50</f>
        <v>0</v>
      </c>
      <c r="J6" s="417">
        <f>'Input data'!T50</f>
        <v>0.4459879758464787</v>
      </c>
      <c r="K6" s="525">
        <f>'Input data'!U50</f>
        <v>1</v>
      </c>
      <c r="L6" s="649">
        <f>'Input data'!V50</f>
        <v>0.29028184578274857</v>
      </c>
      <c r="M6" s="417">
        <f>'Input data'!W50</f>
        <v>0.30317187715157518</v>
      </c>
      <c r="N6" s="417">
        <f>'Input data'!X50</f>
        <v>8.2805443243048754E-2</v>
      </c>
      <c r="O6" s="417">
        <f>'Input data'!Y50</f>
        <v>0</v>
      </c>
      <c r="P6" s="417">
        <f>'Input data'!Z50</f>
        <v>0</v>
      </c>
      <c r="Q6" s="417">
        <f>'Input data'!AA50</f>
        <v>0</v>
      </c>
      <c r="R6" s="417">
        <f>'Input data'!AB50</f>
        <v>0.32374083382262742</v>
      </c>
      <c r="S6" s="417">
        <f>SUM(L6:R6)</f>
        <v>0.99999999999999989</v>
      </c>
      <c r="T6" s="649">
        <f>'Input data'!B38</f>
        <v>0.8</v>
      </c>
      <c r="U6" s="417">
        <f>'Input data'!C38</f>
        <v>0.11</v>
      </c>
      <c r="V6" s="417">
        <f>'Input data'!D38</f>
        <v>0.09</v>
      </c>
      <c r="W6" s="417">
        <f>'Input data'!E38</f>
        <v>0</v>
      </c>
      <c r="X6" s="525">
        <f>SUM(T6:W6)</f>
        <v>1</v>
      </c>
      <c r="Y6" s="649">
        <f>'Input data'!$G$35</f>
        <v>0.66241124199764068</v>
      </c>
      <c r="Z6" s="525">
        <f>'Input data'!$H$35</f>
        <v>0.33758875800235938</v>
      </c>
      <c r="AA6" s="523">
        <f>'Input data'!J50</f>
        <v>28.161493315089835</v>
      </c>
      <c r="AB6" s="236">
        <f>'Input data'!L50</f>
        <v>0</v>
      </c>
      <c r="AC6" s="417">
        <f>'Input data'!B39</f>
        <v>0.88463681982043585</v>
      </c>
      <c r="AD6" s="417">
        <f>'Input data'!C39</f>
        <v>8.8860692477895534E-2</v>
      </c>
      <c r="AE6" s="417">
        <f>'Input data'!D39</f>
        <v>0</v>
      </c>
      <c r="AF6" s="417">
        <f>'Input data'!E39</f>
        <v>2.6502487701668711E-2</v>
      </c>
      <c r="AG6" s="417">
        <f>'Input data'!F39</f>
        <v>1</v>
      </c>
      <c r="AH6" s="436">
        <f>'Input data'!G36</f>
        <v>0.78201761382701329</v>
      </c>
      <c r="AI6" s="1233">
        <f>'Input data'!H36</f>
        <v>0.21798238617298668</v>
      </c>
      <c r="AK6" s="542">
        <f t="shared" ref="AK6:AK69" si="0">A6</f>
        <v>1950</v>
      </c>
      <c r="AL6" s="235">
        <f t="shared" ref="AL6:AL69" si="1">C6*T6</f>
        <v>2478.8894411736001</v>
      </c>
      <c r="AM6" s="419">
        <f t="shared" ref="AM6:AM69" si="2">C6*Y6*U6</f>
        <v>225.78108210661327</v>
      </c>
      <c r="AN6" s="419">
        <f t="shared" ref="AN6:AN69" si="3">C6*U6*Z6</f>
        <v>115.06621605475678</v>
      </c>
      <c r="AO6" s="419">
        <f t="shared" ref="AO6:AO69" si="4">C6*V6</f>
        <v>278.87506213203</v>
      </c>
      <c r="AP6" s="419">
        <f t="shared" ref="AP6:AP69" si="5">C6*W6</f>
        <v>0</v>
      </c>
      <c r="AQ6" s="237">
        <f>SUM(AL6:AP6)</f>
        <v>3098.6118014670001</v>
      </c>
      <c r="AS6" s="527">
        <f>AC6*AB6</f>
        <v>0</v>
      </c>
      <c r="AT6" s="775">
        <f>AB6*AD6*AH6</f>
        <v>0</v>
      </c>
      <c r="AU6" s="775">
        <f>AI6*AD6*AB6</f>
        <v>0</v>
      </c>
      <c r="AV6" s="419">
        <f>AE6*AB6</f>
        <v>0</v>
      </c>
      <c r="AW6" s="775">
        <f>AF6*AB6</f>
        <v>0</v>
      </c>
      <c r="AX6" s="530">
        <f>SUM(AS6:AW6)</f>
        <v>0</v>
      </c>
      <c r="AZ6" s="1118">
        <f>(AX6+AQ6)*1000/10^6</f>
        <v>3.0986118014669999</v>
      </c>
      <c r="BA6" s="647">
        <f>(AX6+AQ6-AS6-AL6)/(AQ6+AX6)</f>
        <v>0.2</v>
      </c>
      <c r="BB6" s="807">
        <f>'Input data'!D50/10^6</f>
        <v>0</v>
      </c>
    </row>
    <row r="7" spans="1:54">
      <c r="A7" s="542">
        <f>'Input data'!A51</f>
        <v>1951</v>
      </c>
      <c r="B7" s="1232">
        <f>'Input data'!I51</f>
        <v>578.73</v>
      </c>
      <c r="C7" s="237">
        <f>B7*'Input data'!B51</f>
        <v>3205.8334210812</v>
      </c>
      <c r="D7" s="649">
        <f>'Input data'!N51</f>
        <v>0.19892488097366726</v>
      </c>
      <c r="E7" s="417">
        <f>'Input data'!O51</f>
        <v>0.26585903447659598</v>
      </c>
      <c r="F7" s="417">
        <f>'Input data'!P51</f>
        <v>8.9228108703258049E-2</v>
      </c>
      <c r="G7" s="417">
        <f>'Input data'!Q51</f>
        <v>0</v>
      </c>
      <c r="H7" s="417">
        <f>'Input data'!R51</f>
        <v>0</v>
      </c>
      <c r="I7" s="417">
        <f>'Input data'!S51</f>
        <v>0</v>
      </c>
      <c r="J7" s="417">
        <f>'Input data'!T51</f>
        <v>0.4459879758464787</v>
      </c>
      <c r="K7" s="525">
        <f>'Input data'!U51</f>
        <v>1</v>
      </c>
      <c r="L7" s="649">
        <f>'Input data'!V51</f>
        <v>0.29028184578274857</v>
      </c>
      <c r="M7" s="417">
        <f>'Input data'!W51</f>
        <v>0.30317187715157518</v>
      </c>
      <c r="N7" s="417">
        <f>'Input data'!X51</f>
        <v>8.2805443243048754E-2</v>
      </c>
      <c r="O7" s="417">
        <f>'Input data'!Y51</f>
        <v>0</v>
      </c>
      <c r="P7" s="417">
        <f>'Input data'!Z51</f>
        <v>0</v>
      </c>
      <c r="Q7" s="417">
        <f>'Input data'!AA51</f>
        <v>0</v>
      </c>
      <c r="R7" s="417">
        <f>'Input data'!AB51</f>
        <v>0.32374083382262742</v>
      </c>
      <c r="S7" s="417">
        <f t="shared" ref="S7:S70" si="6">SUM(L7:R7)</f>
        <v>0.99999999999999989</v>
      </c>
      <c r="T7" s="649">
        <f>T6</f>
        <v>0.8</v>
      </c>
      <c r="U7" s="417">
        <f t="shared" ref="U7:W22" si="7">U6</f>
        <v>0.11</v>
      </c>
      <c r="V7" s="417">
        <f t="shared" si="7"/>
        <v>0.09</v>
      </c>
      <c r="W7" s="417">
        <f t="shared" si="7"/>
        <v>0</v>
      </c>
      <c r="X7" s="525">
        <f t="shared" ref="X7:X70" si="8">SUM(T7:W7)</f>
        <v>1</v>
      </c>
      <c r="Y7" s="649">
        <f>'Input data'!$G$35</f>
        <v>0.66241124199764068</v>
      </c>
      <c r="Z7" s="525">
        <f>'Input data'!$H$35</f>
        <v>0.33758875800235938</v>
      </c>
      <c r="AA7" s="523">
        <f>'Input data'!J51</f>
        <v>28.161493315089835</v>
      </c>
      <c r="AB7" s="236">
        <f>'Input data'!L51</f>
        <v>0</v>
      </c>
      <c r="AC7" s="417">
        <f>AC6</f>
        <v>0.88463681982043585</v>
      </c>
      <c r="AD7" s="417">
        <f t="shared" ref="AD7:AF22" si="9">AD6</f>
        <v>8.8860692477895534E-2</v>
      </c>
      <c r="AE7" s="417">
        <f t="shared" si="9"/>
        <v>0</v>
      </c>
      <c r="AF7" s="417">
        <f t="shared" si="9"/>
        <v>2.6502487701668711E-2</v>
      </c>
      <c r="AG7" s="417">
        <f>SUM(AC7:AF7)</f>
        <v>1</v>
      </c>
      <c r="AH7" s="436">
        <f>AH6</f>
        <v>0.78201761382701329</v>
      </c>
      <c r="AI7" s="1233">
        <f>AI6</f>
        <v>0.21798238617298668</v>
      </c>
      <c r="AK7" s="542">
        <f t="shared" si="0"/>
        <v>1951</v>
      </c>
      <c r="AL7" s="235">
        <f t="shared" si="1"/>
        <v>2564.6667368649601</v>
      </c>
      <c r="AM7" s="419">
        <f t="shared" si="2"/>
        <v>233.59381079055373</v>
      </c>
      <c r="AN7" s="419">
        <f t="shared" si="3"/>
        <v>119.04786552837828</v>
      </c>
      <c r="AO7" s="419">
        <f t="shared" si="4"/>
        <v>288.525007897308</v>
      </c>
      <c r="AP7" s="419">
        <f t="shared" si="5"/>
        <v>0</v>
      </c>
      <c r="AQ7" s="237">
        <f t="shared" ref="AQ7:AQ70" si="10">SUM(AL7:AP7)</f>
        <v>3205.8334210812</v>
      </c>
      <c r="AS7" s="527">
        <f t="shared" ref="AS7:AS70" si="11">AC7*AB7</f>
        <v>0</v>
      </c>
      <c r="AT7" s="775">
        <f t="shared" ref="AT7:AT70" si="12">AB7*AD7*AH7</f>
        <v>0</v>
      </c>
      <c r="AU7" s="775">
        <f t="shared" ref="AU7:AU70" si="13">AI7*AD7*AB7</f>
        <v>0</v>
      </c>
      <c r="AV7" s="419">
        <f t="shared" ref="AV7:AV70" si="14">AE7*AB7</f>
        <v>0</v>
      </c>
      <c r="AW7" s="775">
        <f t="shared" ref="AW7:AW70" si="15">AF7*AB7</f>
        <v>0</v>
      </c>
      <c r="AX7" s="530">
        <f t="shared" ref="AX7:AX70" si="16">SUM(AS7:AW7)</f>
        <v>0</v>
      </c>
      <c r="AZ7" s="684">
        <f>(AX7+AQ7)*1000/10^6</f>
        <v>3.2058334210811998</v>
      </c>
      <c r="BA7" s="417">
        <f t="shared" ref="BA7:BA70" si="17">(AX7+AQ7-AS7-AL7)/(AQ7+AX7)</f>
        <v>0.19999999999999998</v>
      </c>
      <c r="BB7" s="205">
        <f>'Input data'!D51/10^6</f>
        <v>0</v>
      </c>
    </row>
    <row r="8" spans="1:54">
      <c r="A8" s="542">
        <f>'Input data'!A52</f>
        <v>1952</v>
      </c>
      <c r="B8" s="1232">
        <f>'Input data'!I52</f>
        <v>578.73</v>
      </c>
      <c r="C8" s="237">
        <f>B8*'Input data'!B52</f>
        <v>3306.2423700306003</v>
      </c>
      <c r="D8" s="649">
        <f>'Input data'!N52</f>
        <v>0.19892488097366726</v>
      </c>
      <c r="E8" s="417">
        <f>'Input data'!O52</f>
        <v>0.26585903447659598</v>
      </c>
      <c r="F8" s="417">
        <f>'Input data'!P52</f>
        <v>8.9228108703258049E-2</v>
      </c>
      <c r="G8" s="417">
        <f>'Input data'!Q52</f>
        <v>0</v>
      </c>
      <c r="H8" s="417">
        <f>'Input data'!R52</f>
        <v>0</v>
      </c>
      <c r="I8" s="417">
        <f>'Input data'!S52</f>
        <v>0</v>
      </c>
      <c r="J8" s="417">
        <f>'Input data'!T52</f>
        <v>0.4459879758464787</v>
      </c>
      <c r="K8" s="525">
        <f>'Input data'!U52</f>
        <v>1</v>
      </c>
      <c r="L8" s="649">
        <f>'Input data'!V52</f>
        <v>0.29028184578274857</v>
      </c>
      <c r="M8" s="417">
        <f>'Input data'!W52</f>
        <v>0.30317187715157518</v>
      </c>
      <c r="N8" s="417">
        <f>'Input data'!X52</f>
        <v>8.2805443243048754E-2</v>
      </c>
      <c r="O8" s="417">
        <f>'Input data'!Y52</f>
        <v>0</v>
      </c>
      <c r="P8" s="417">
        <f>'Input data'!Z52</f>
        <v>0</v>
      </c>
      <c r="Q8" s="417">
        <f>'Input data'!AA52</f>
        <v>0</v>
      </c>
      <c r="R8" s="417">
        <f>'Input data'!AB52</f>
        <v>0.32374083382262742</v>
      </c>
      <c r="S8" s="417">
        <f t="shared" si="6"/>
        <v>0.99999999999999989</v>
      </c>
      <c r="T8" s="649">
        <f t="shared" ref="T8:W23" si="18">T7</f>
        <v>0.8</v>
      </c>
      <c r="U8" s="417">
        <f t="shared" si="7"/>
        <v>0.11</v>
      </c>
      <c r="V8" s="417">
        <f t="shared" si="7"/>
        <v>0.09</v>
      </c>
      <c r="W8" s="417">
        <f t="shared" si="7"/>
        <v>0</v>
      </c>
      <c r="X8" s="525">
        <f t="shared" si="8"/>
        <v>1</v>
      </c>
      <c r="Y8" s="649">
        <f>'Input data'!$G$35</f>
        <v>0.66241124199764068</v>
      </c>
      <c r="Z8" s="525">
        <f>'Input data'!$H$35</f>
        <v>0.33758875800235938</v>
      </c>
      <c r="AA8" s="523">
        <f>'Input data'!J52</f>
        <v>28.161493315089835</v>
      </c>
      <c r="AB8" s="236">
        <f>'Input data'!L52</f>
        <v>0</v>
      </c>
      <c r="AC8" s="417">
        <f t="shared" ref="AC8:AF23" si="19">AC7</f>
        <v>0.88463681982043585</v>
      </c>
      <c r="AD8" s="417">
        <f t="shared" si="9"/>
        <v>8.8860692477895534E-2</v>
      </c>
      <c r="AE8" s="417">
        <f t="shared" si="9"/>
        <v>0</v>
      </c>
      <c r="AF8" s="417">
        <f t="shared" si="9"/>
        <v>2.6502487701668711E-2</v>
      </c>
      <c r="AG8" s="417">
        <f t="shared" ref="AG8:AG71" si="20">SUM(AC8:AF8)</f>
        <v>1</v>
      </c>
      <c r="AH8" s="436">
        <f t="shared" ref="AH8:AI23" si="21">AH7</f>
        <v>0.78201761382701329</v>
      </c>
      <c r="AI8" s="1233">
        <f t="shared" si="21"/>
        <v>0.21798238617298668</v>
      </c>
      <c r="AK8" s="542">
        <f t="shared" si="0"/>
        <v>1952</v>
      </c>
      <c r="AL8" s="235">
        <f t="shared" si="1"/>
        <v>2644.9938960244804</v>
      </c>
      <c r="AM8" s="419">
        <f t="shared" si="2"/>
        <v>240.91013261449123</v>
      </c>
      <c r="AN8" s="419">
        <f t="shared" si="3"/>
        <v>122.77652808887483</v>
      </c>
      <c r="AO8" s="419">
        <f t="shared" si="4"/>
        <v>297.56181330275405</v>
      </c>
      <c r="AP8" s="419">
        <f t="shared" si="5"/>
        <v>0</v>
      </c>
      <c r="AQ8" s="237">
        <f t="shared" si="10"/>
        <v>3306.2423700306008</v>
      </c>
      <c r="AS8" s="527">
        <f t="shared" si="11"/>
        <v>0</v>
      </c>
      <c r="AT8" s="775">
        <f t="shared" si="12"/>
        <v>0</v>
      </c>
      <c r="AU8" s="775">
        <f t="shared" si="13"/>
        <v>0</v>
      </c>
      <c r="AV8" s="419">
        <f t="shared" si="14"/>
        <v>0</v>
      </c>
      <c r="AW8" s="775">
        <f t="shared" si="15"/>
        <v>0</v>
      </c>
      <c r="AX8" s="530">
        <f t="shared" si="16"/>
        <v>0</v>
      </c>
      <c r="AZ8" s="684">
        <f t="shared" ref="AZ8:AZ71" si="22">(AX8+AQ8)*1000/10^6</f>
        <v>3.3062423700306005</v>
      </c>
      <c r="BA8" s="417">
        <f t="shared" si="17"/>
        <v>0.20000000000000009</v>
      </c>
      <c r="BB8" s="205">
        <f>'Input data'!D52/10^6</f>
        <v>0</v>
      </c>
    </row>
    <row r="9" spans="1:54">
      <c r="A9" s="542">
        <f>'Input data'!A53</f>
        <v>1953</v>
      </c>
      <c r="B9" s="1232">
        <f>'Input data'!I53</f>
        <v>578.73</v>
      </c>
      <c r="C9" s="237">
        <f>B9*'Input data'!B53</f>
        <v>3430.9601665794003</v>
      </c>
      <c r="D9" s="649">
        <f>'Input data'!N53</f>
        <v>0.19892488097366726</v>
      </c>
      <c r="E9" s="417">
        <f>'Input data'!O53</f>
        <v>0.26585903447659598</v>
      </c>
      <c r="F9" s="417">
        <f>'Input data'!P53</f>
        <v>8.9228108703258049E-2</v>
      </c>
      <c r="G9" s="417">
        <f>'Input data'!Q53</f>
        <v>0</v>
      </c>
      <c r="H9" s="417">
        <f>'Input data'!R53</f>
        <v>0</v>
      </c>
      <c r="I9" s="417">
        <f>'Input data'!S53</f>
        <v>0</v>
      </c>
      <c r="J9" s="417">
        <f>'Input data'!T53</f>
        <v>0.4459879758464787</v>
      </c>
      <c r="K9" s="525">
        <f>'Input data'!U53</f>
        <v>1</v>
      </c>
      <c r="L9" s="649">
        <f>'Input data'!V53</f>
        <v>0.29028184578274857</v>
      </c>
      <c r="M9" s="417">
        <f>'Input data'!W53</f>
        <v>0.30317187715157518</v>
      </c>
      <c r="N9" s="417">
        <f>'Input data'!X53</f>
        <v>8.2805443243048754E-2</v>
      </c>
      <c r="O9" s="417">
        <f>'Input data'!Y53</f>
        <v>0</v>
      </c>
      <c r="P9" s="417">
        <f>'Input data'!Z53</f>
        <v>0</v>
      </c>
      <c r="Q9" s="417">
        <f>'Input data'!AA53</f>
        <v>0</v>
      </c>
      <c r="R9" s="417">
        <f>'Input data'!AB53</f>
        <v>0.32374083382262742</v>
      </c>
      <c r="S9" s="417">
        <f t="shared" si="6"/>
        <v>0.99999999999999989</v>
      </c>
      <c r="T9" s="649">
        <f t="shared" si="18"/>
        <v>0.8</v>
      </c>
      <c r="U9" s="417">
        <f t="shared" si="7"/>
        <v>0.11</v>
      </c>
      <c r="V9" s="417">
        <f t="shared" si="7"/>
        <v>0.09</v>
      </c>
      <c r="W9" s="417">
        <f t="shared" si="7"/>
        <v>0</v>
      </c>
      <c r="X9" s="525">
        <f t="shared" si="8"/>
        <v>1</v>
      </c>
      <c r="Y9" s="649">
        <f>'Input data'!$G$35</f>
        <v>0.66241124199764068</v>
      </c>
      <c r="Z9" s="525">
        <f>'Input data'!$H$35</f>
        <v>0.33758875800235938</v>
      </c>
      <c r="AA9" s="523">
        <f>'Input data'!J53</f>
        <v>28.161493315089835</v>
      </c>
      <c r="AB9" s="236">
        <f>'Input data'!L53</f>
        <v>0</v>
      </c>
      <c r="AC9" s="417">
        <f t="shared" si="19"/>
        <v>0.88463681982043585</v>
      </c>
      <c r="AD9" s="417">
        <f t="shared" si="9"/>
        <v>8.8860692477895534E-2</v>
      </c>
      <c r="AE9" s="417">
        <f t="shared" si="9"/>
        <v>0</v>
      </c>
      <c r="AF9" s="417">
        <f t="shared" si="9"/>
        <v>2.6502487701668711E-2</v>
      </c>
      <c r="AG9" s="417">
        <f t="shared" si="20"/>
        <v>1</v>
      </c>
      <c r="AH9" s="436">
        <f t="shared" si="21"/>
        <v>0.78201761382701329</v>
      </c>
      <c r="AI9" s="1233">
        <f t="shared" si="21"/>
        <v>0.21798238617298668</v>
      </c>
      <c r="AK9" s="542">
        <f t="shared" si="0"/>
        <v>1953</v>
      </c>
      <c r="AL9" s="235">
        <f t="shared" si="1"/>
        <v>2744.7681332635202</v>
      </c>
      <c r="AM9" s="419">
        <f t="shared" si="2"/>
        <v>249.99772437071218</v>
      </c>
      <c r="AN9" s="419">
        <f t="shared" si="3"/>
        <v>127.40789395302185</v>
      </c>
      <c r="AO9" s="419">
        <f t="shared" si="4"/>
        <v>308.78641499214604</v>
      </c>
      <c r="AP9" s="419">
        <f t="shared" si="5"/>
        <v>0</v>
      </c>
      <c r="AQ9" s="237">
        <f t="shared" si="10"/>
        <v>3430.9601665794003</v>
      </c>
      <c r="AS9" s="527">
        <f t="shared" si="11"/>
        <v>0</v>
      </c>
      <c r="AT9" s="775">
        <f t="shared" si="12"/>
        <v>0</v>
      </c>
      <c r="AU9" s="775">
        <f t="shared" si="13"/>
        <v>0</v>
      </c>
      <c r="AV9" s="419">
        <f t="shared" si="14"/>
        <v>0</v>
      </c>
      <c r="AW9" s="775">
        <f t="shared" si="15"/>
        <v>0</v>
      </c>
      <c r="AX9" s="530">
        <f t="shared" si="16"/>
        <v>0</v>
      </c>
      <c r="AZ9" s="684">
        <f t="shared" si="22"/>
        <v>3.4309601665794003</v>
      </c>
      <c r="BA9" s="417">
        <f t="shared" si="17"/>
        <v>0.2</v>
      </c>
      <c r="BB9" s="205">
        <f>'Input data'!D53/10^6</f>
        <v>0</v>
      </c>
    </row>
    <row r="10" spans="1:54">
      <c r="A10" s="542">
        <f>'Input data'!A54</f>
        <v>1954</v>
      </c>
      <c r="B10" s="1232">
        <f>'Input data'!I54</f>
        <v>578.73</v>
      </c>
      <c r="C10" s="237">
        <f>B10*'Input data'!B54</f>
        <v>3534.0550014587998</v>
      </c>
      <c r="D10" s="649">
        <f>'Input data'!N54</f>
        <v>0.19892488097366726</v>
      </c>
      <c r="E10" s="417">
        <f>'Input data'!O54</f>
        <v>0.26585903447659598</v>
      </c>
      <c r="F10" s="417">
        <f>'Input data'!P54</f>
        <v>8.9228108703258049E-2</v>
      </c>
      <c r="G10" s="417">
        <f>'Input data'!Q54</f>
        <v>0</v>
      </c>
      <c r="H10" s="417">
        <f>'Input data'!R54</f>
        <v>0</v>
      </c>
      <c r="I10" s="417">
        <f>'Input data'!S54</f>
        <v>0</v>
      </c>
      <c r="J10" s="417">
        <f>'Input data'!T54</f>
        <v>0.4459879758464787</v>
      </c>
      <c r="K10" s="525">
        <f>'Input data'!U54</f>
        <v>1</v>
      </c>
      <c r="L10" s="649">
        <f>'Input data'!V54</f>
        <v>0.29028184578274857</v>
      </c>
      <c r="M10" s="417">
        <f>'Input data'!W54</f>
        <v>0.30317187715157518</v>
      </c>
      <c r="N10" s="417">
        <f>'Input data'!X54</f>
        <v>8.2805443243048754E-2</v>
      </c>
      <c r="O10" s="417">
        <f>'Input data'!Y54</f>
        <v>0</v>
      </c>
      <c r="P10" s="417">
        <f>'Input data'!Z54</f>
        <v>0</v>
      </c>
      <c r="Q10" s="417">
        <f>'Input data'!AA54</f>
        <v>0</v>
      </c>
      <c r="R10" s="417">
        <f>'Input data'!AB54</f>
        <v>0.32374083382262742</v>
      </c>
      <c r="S10" s="417">
        <f t="shared" si="6"/>
        <v>0.99999999999999989</v>
      </c>
      <c r="T10" s="649">
        <f t="shared" si="18"/>
        <v>0.8</v>
      </c>
      <c r="U10" s="417">
        <f t="shared" si="7"/>
        <v>0.11</v>
      </c>
      <c r="V10" s="417">
        <f t="shared" si="7"/>
        <v>0.09</v>
      </c>
      <c r="W10" s="417">
        <f t="shared" si="7"/>
        <v>0</v>
      </c>
      <c r="X10" s="525">
        <f t="shared" si="8"/>
        <v>1</v>
      </c>
      <c r="Y10" s="649">
        <f>'Input data'!$G$35</f>
        <v>0.66241124199764068</v>
      </c>
      <c r="Z10" s="525">
        <f>'Input data'!$H$35</f>
        <v>0.33758875800235938</v>
      </c>
      <c r="AA10" s="523">
        <f>'Input data'!J54</f>
        <v>28.161493315089835</v>
      </c>
      <c r="AB10" s="236">
        <f>'Input data'!L54</f>
        <v>0</v>
      </c>
      <c r="AC10" s="417">
        <f t="shared" si="19"/>
        <v>0.88463681982043585</v>
      </c>
      <c r="AD10" s="417">
        <f t="shared" si="9"/>
        <v>8.8860692477895534E-2</v>
      </c>
      <c r="AE10" s="417">
        <f t="shared" si="9"/>
        <v>0</v>
      </c>
      <c r="AF10" s="417">
        <f t="shared" si="9"/>
        <v>2.6502487701668711E-2</v>
      </c>
      <c r="AG10" s="417">
        <f t="shared" si="20"/>
        <v>1</v>
      </c>
      <c r="AH10" s="436">
        <f t="shared" si="21"/>
        <v>0.78201761382701329</v>
      </c>
      <c r="AI10" s="1233">
        <f t="shared" si="21"/>
        <v>0.21798238617298668</v>
      </c>
      <c r="AK10" s="542">
        <f t="shared" si="0"/>
        <v>1954</v>
      </c>
      <c r="AL10" s="235">
        <f t="shared" si="1"/>
        <v>2827.2440011670401</v>
      </c>
      <c r="AM10" s="419">
        <f t="shared" si="2"/>
        <v>257.5097539084727</v>
      </c>
      <c r="AN10" s="419">
        <f t="shared" si="3"/>
        <v>131.23629625199527</v>
      </c>
      <c r="AO10" s="419">
        <f t="shared" si="4"/>
        <v>318.06495013129199</v>
      </c>
      <c r="AP10" s="419">
        <f t="shared" si="5"/>
        <v>0</v>
      </c>
      <c r="AQ10" s="237">
        <f t="shared" si="10"/>
        <v>3534.0550014587998</v>
      </c>
      <c r="AS10" s="527">
        <f t="shared" si="11"/>
        <v>0</v>
      </c>
      <c r="AT10" s="775">
        <f t="shared" si="12"/>
        <v>0</v>
      </c>
      <c r="AU10" s="775">
        <f t="shared" si="13"/>
        <v>0</v>
      </c>
      <c r="AV10" s="419">
        <f t="shared" si="14"/>
        <v>0</v>
      </c>
      <c r="AW10" s="775">
        <f t="shared" si="15"/>
        <v>0</v>
      </c>
      <c r="AX10" s="530">
        <f t="shared" si="16"/>
        <v>0</v>
      </c>
      <c r="AZ10" s="684">
        <f t="shared" si="22"/>
        <v>3.5340550014588001</v>
      </c>
      <c r="BA10" s="417">
        <f t="shared" si="17"/>
        <v>0.19999999999999993</v>
      </c>
      <c r="BB10" s="205">
        <f>'Input data'!D54/10^6</f>
        <v>0</v>
      </c>
    </row>
    <row r="11" spans="1:54">
      <c r="A11" s="542">
        <f>'Input data'!A55</f>
        <v>1955</v>
      </c>
      <c r="B11" s="1232">
        <f>'Input data'!I55</f>
        <v>578.73</v>
      </c>
      <c r="C11" s="237">
        <f>B11*'Input data'!B55</f>
        <v>3630.1212415104001</v>
      </c>
      <c r="D11" s="649">
        <f>'Input data'!N55</f>
        <v>0.19892488097366726</v>
      </c>
      <c r="E11" s="417">
        <f>'Input data'!O55</f>
        <v>0.26585903447659598</v>
      </c>
      <c r="F11" s="417">
        <f>'Input data'!P55</f>
        <v>8.9228108703258049E-2</v>
      </c>
      <c r="G11" s="417">
        <f>'Input data'!Q55</f>
        <v>0</v>
      </c>
      <c r="H11" s="417">
        <f>'Input data'!R55</f>
        <v>0</v>
      </c>
      <c r="I11" s="417">
        <f>'Input data'!S55</f>
        <v>0</v>
      </c>
      <c r="J11" s="417">
        <f>'Input data'!T55</f>
        <v>0.4459879758464787</v>
      </c>
      <c r="K11" s="525">
        <f>'Input data'!U55</f>
        <v>1</v>
      </c>
      <c r="L11" s="649">
        <f>'Input data'!V55</f>
        <v>0.29028184578274857</v>
      </c>
      <c r="M11" s="417">
        <f>'Input data'!W55</f>
        <v>0.30317187715157518</v>
      </c>
      <c r="N11" s="417">
        <f>'Input data'!X55</f>
        <v>8.2805443243048754E-2</v>
      </c>
      <c r="O11" s="417">
        <f>'Input data'!Y55</f>
        <v>0</v>
      </c>
      <c r="P11" s="417">
        <f>'Input data'!Z55</f>
        <v>0</v>
      </c>
      <c r="Q11" s="417">
        <f>'Input data'!AA55</f>
        <v>0</v>
      </c>
      <c r="R11" s="417">
        <f>'Input data'!AB55</f>
        <v>0.32374083382262742</v>
      </c>
      <c r="S11" s="417">
        <f t="shared" si="6"/>
        <v>0.99999999999999989</v>
      </c>
      <c r="T11" s="649">
        <f t="shared" si="18"/>
        <v>0.8</v>
      </c>
      <c r="U11" s="417">
        <f t="shared" si="7"/>
        <v>0.11</v>
      </c>
      <c r="V11" s="417">
        <f t="shared" si="7"/>
        <v>0.09</v>
      </c>
      <c r="W11" s="417">
        <f t="shared" si="7"/>
        <v>0</v>
      </c>
      <c r="X11" s="525">
        <f t="shared" si="8"/>
        <v>1</v>
      </c>
      <c r="Y11" s="649">
        <f>'Input data'!$G$35</f>
        <v>0.66241124199764068</v>
      </c>
      <c r="Z11" s="525">
        <f>'Input data'!$H$35</f>
        <v>0.33758875800235938</v>
      </c>
      <c r="AA11" s="523">
        <f>'Input data'!J55</f>
        <v>28.161493315089835</v>
      </c>
      <c r="AB11" s="236">
        <f>'Input data'!L55</f>
        <v>0</v>
      </c>
      <c r="AC11" s="417">
        <f t="shared" si="19"/>
        <v>0.88463681982043585</v>
      </c>
      <c r="AD11" s="417">
        <f t="shared" si="9"/>
        <v>8.8860692477895534E-2</v>
      </c>
      <c r="AE11" s="417">
        <f t="shared" si="9"/>
        <v>0</v>
      </c>
      <c r="AF11" s="417">
        <f t="shared" si="9"/>
        <v>2.6502487701668711E-2</v>
      </c>
      <c r="AG11" s="417">
        <f t="shared" si="20"/>
        <v>1</v>
      </c>
      <c r="AH11" s="436">
        <f t="shared" si="21"/>
        <v>0.78201761382701329</v>
      </c>
      <c r="AI11" s="1233">
        <f t="shared" si="21"/>
        <v>0.21798238617298668</v>
      </c>
      <c r="AK11" s="542">
        <f t="shared" si="0"/>
        <v>1955</v>
      </c>
      <c r="AL11" s="235">
        <f t="shared" si="1"/>
        <v>2904.0969932083203</v>
      </c>
      <c r="AM11" s="419">
        <f t="shared" si="2"/>
        <v>264.5096432210014</v>
      </c>
      <c r="AN11" s="419">
        <f t="shared" si="3"/>
        <v>134.80369334514268</v>
      </c>
      <c r="AO11" s="419">
        <f t="shared" si="4"/>
        <v>326.71091173593601</v>
      </c>
      <c r="AP11" s="419">
        <f t="shared" si="5"/>
        <v>0</v>
      </c>
      <c r="AQ11" s="237">
        <f t="shared" si="10"/>
        <v>3630.1212415104005</v>
      </c>
      <c r="AS11" s="527">
        <f t="shared" si="11"/>
        <v>0</v>
      </c>
      <c r="AT11" s="775">
        <f t="shared" si="12"/>
        <v>0</v>
      </c>
      <c r="AU11" s="775">
        <f t="shared" si="13"/>
        <v>0</v>
      </c>
      <c r="AV11" s="419">
        <f t="shared" si="14"/>
        <v>0</v>
      </c>
      <c r="AW11" s="775">
        <f t="shared" si="15"/>
        <v>0</v>
      </c>
      <c r="AX11" s="530">
        <f t="shared" si="16"/>
        <v>0</v>
      </c>
      <c r="AZ11" s="684">
        <f t="shared" si="22"/>
        <v>3.6301212415104005</v>
      </c>
      <c r="BA11" s="417">
        <f t="shared" si="17"/>
        <v>0.20000000000000004</v>
      </c>
      <c r="BB11" s="205">
        <f>'Input data'!D55/10^6</f>
        <v>0</v>
      </c>
    </row>
    <row r="12" spans="1:54">
      <c r="A12" s="542">
        <f>'Input data'!A56</f>
        <v>1956</v>
      </c>
      <c r="B12" s="1232">
        <f>'Input data'!I56</f>
        <v>578.73</v>
      </c>
      <c r="C12" s="237">
        <f>B12*'Input data'!B56</f>
        <v>3741.5970937800003</v>
      </c>
      <c r="D12" s="649">
        <f>'Input data'!N56</f>
        <v>0.19892488097366726</v>
      </c>
      <c r="E12" s="417">
        <f>'Input data'!O56</f>
        <v>0.26585903447659598</v>
      </c>
      <c r="F12" s="417">
        <f>'Input data'!P56</f>
        <v>8.9228108703258049E-2</v>
      </c>
      <c r="G12" s="417">
        <f>'Input data'!Q56</f>
        <v>0</v>
      </c>
      <c r="H12" s="417">
        <f>'Input data'!R56</f>
        <v>0</v>
      </c>
      <c r="I12" s="417">
        <f>'Input data'!S56</f>
        <v>0</v>
      </c>
      <c r="J12" s="417">
        <f>'Input data'!T56</f>
        <v>0.4459879758464787</v>
      </c>
      <c r="K12" s="525">
        <f>'Input data'!U56</f>
        <v>1</v>
      </c>
      <c r="L12" s="649">
        <f>'Input data'!V56</f>
        <v>0.29028184578274857</v>
      </c>
      <c r="M12" s="417">
        <f>'Input data'!W56</f>
        <v>0.30317187715157518</v>
      </c>
      <c r="N12" s="417">
        <f>'Input data'!X56</f>
        <v>8.2805443243048754E-2</v>
      </c>
      <c r="O12" s="417">
        <f>'Input data'!Y56</f>
        <v>0</v>
      </c>
      <c r="P12" s="417">
        <f>'Input data'!Z56</f>
        <v>0</v>
      </c>
      <c r="Q12" s="417">
        <f>'Input data'!AA56</f>
        <v>0</v>
      </c>
      <c r="R12" s="417">
        <f>'Input data'!AB56</f>
        <v>0.32374083382262742</v>
      </c>
      <c r="S12" s="417">
        <f t="shared" si="6"/>
        <v>0.99999999999999989</v>
      </c>
      <c r="T12" s="649">
        <f t="shared" si="18"/>
        <v>0.8</v>
      </c>
      <c r="U12" s="417">
        <f t="shared" si="7"/>
        <v>0.11</v>
      </c>
      <c r="V12" s="417">
        <f t="shared" si="7"/>
        <v>0.09</v>
      </c>
      <c r="W12" s="417">
        <f t="shared" si="7"/>
        <v>0</v>
      </c>
      <c r="X12" s="525">
        <f t="shared" si="8"/>
        <v>1</v>
      </c>
      <c r="Y12" s="649">
        <f>'Input data'!$G$35</f>
        <v>0.66241124199764068</v>
      </c>
      <c r="Z12" s="525">
        <f>'Input data'!$H$35</f>
        <v>0.33758875800235938</v>
      </c>
      <c r="AA12" s="523">
        <f>'Input data'!J56</f>
        <v>28.161493315089835</v>
      </c>
      <c r="AB12" s="236">
        <f>'Input data'!L56</f>
        <v>0</v>
      </c>
      <c r="AC12" s="417">
        <f t="shared" si="19"/>
        <v>0.88463681982043585</v>
      </c>
      <c r="AD12" s="417">
        <f t="shared" si="9"/>
        <v>8.8860692477895534E-2</v>
      </c>
      <c r="AE12" s="417">
        <f t="shared" si="9"/>
        <v>0</v>
      </c>
      <c r="AF12" s="417">
        <f t="shared" si="9"/>
        <v>2.6502487701668711E-2</v>
      </c>
      <c r="AG12" s="417">
        <f t="shared" si="20"/>
        <v>1</v>
      </c>
      <c r="AH12" s="436">
        <f t="shared" si="21"/>
        <v>0.78201761382701329</v>
      </c>
      <c r="AI12" s="1233">
        <f t="shared" si="21"/>
        <v>0.21798238617298668</v>
      </c>
      <c r="AK12" s="542">
        <f t="shared" si="0"/>
        <v>1956</v>
      </c>
      <c r="AL12" s="235">
        <f t="shared" si="1"/>
        <v>2993.2776750240005</v>
      </c>
      <c r="AM12" s="419">
        <f t="shared" si="2"/>
        <v>272.63235757401299</v>
      </c>
      <c r="AN12" s="419">
        <f t="shared" si="3"/>
        <v>138.94332274178703</v>
      </c>
      <c r="AO12" s="419">
        <f t="shared" si="4"/>
        <v>336.74373844019999</v>
      </c>
      <c r="AP12" s="419">
        <f t="shared" si="5"/>
        <v>0</v>
      </c>
      <c r="AQ12" s="237">
        <f t="shared" si="10"/>
        <v>3741.5970937800007</v>
      </c>
      <c r="AS12" s="527">
        <f t="shared" si="11"/>
        <v>0</v>
      </c>
      <c r="AT12" s="775">
        <f t="shared" si="12"/>
        <v>0</v>
      </c>
      <c r="AU12" s="775">
        <f t="shared" si="13"/>
        <v>0</v>
      </c>
      <c r="AV12" s="419">
        <f t="shared" si="14"/>
        <v>0</v>
      </c>
      <c r="AW12" s="775">
        <f t="shared" si="15"/>
        <v>0</v>
      </c>
      <c r="AX12" s="530">
        <f t="shared" si="16"/>
        <v>0</v>
      </c>
      <c r="AZ12" s="684">
        <f t="shared" si="22"/>
        <v>3.7415970937800007</v>
      </c>
      <c r="BA12" s="417">
        <f t="shared" si="17"/>
        <v>0.2</v>
      </c>
      <c r="BB12" s="205">
        <f>'Input data'!D56/10^6</f>
        <v>0</v>
      </c>
    </row>
    <row r="13" spans="1:54">
      <c r="A13" s="542">
        <f>'Input data'!A57</f>
        <v>1957</v>
      </c>
      <c r="B13" s="1232">
        <f>'Input data'!I57</f>
        <v>578.73</v>
      </c>
      <c r="C13" s="237">
        <f>B13*'Input data'!B57</f>
        <v>3853.9197900839999</v>
      </c>
      <c r="D13" s="649">
        <f>'Input data'!N57</f>
        <v>0.19892488097366726</v>
      </c>
      <c r="E13" s="417">
        <f>'Input data'!O57</f>
        <v>0.26585903447659598</v>
      </c>
      <c r="F13" s="417">
        <f>'Input data'!P57</f>
        <v>8.9228108703258049E-2</v>
      </c>
      <c r="G13" s="417">
        <f>'Input data'!Q57</f>
        <v>0</v>
      </c>
      <c r="H13" s="417">
        <f>'Input data'!R57</f>
        <v>0</v>
      </c>
      <c r="I13" s="417">
        <f>'Input data'!S57</f>
        <v>0</v>
      </c>
      <c r="J13" s="417">
        <f>'Input data'!T57</f>
        <v>0.4459879758464787</v>
      </c>
      <c r="K13" s="525">
        <f>'Input data'!U57</f>
        <v>1</v>
      </c>
      <c r="L13" s="649">
        <f>'Input data'!V57</f>
        <v>0.29028184578274857</v>
      </c>
      <c r="M13" s="417">
        <f>'Input data'!W57</f>
        <v>0.30317187715157518</v>
      </c>
      <c r="N13" s="417">
        <f>'Input data'!X57</f>
        <v>8.2805443243048754E-2</v>
      </c>
      <c r="O13" s="417">
        <f>'Input data'!Y57</f>
        <v>0</v>
      </c>
      <c r="P13" s="417">
        <f>'Input data'!Z57</f>
        <v>0</v>
      </c>
      <c r="Q13" s="417">
        <f>'Input data'!AA57</f>
        <v>0</v>
      </c>
      <c r="R13" s="417">
        <f>'Input data'!AB57</f>
        <v>0.32374083382262742</v>
      </c>
      <c r="S13" s="417">
        <f t="shared" si="6"/>
        <v>0.99999999999999989</v>
      </c>
      <c r="T13" s="649">
        <f t="shared" si="18"/>
        <v>0.8</v>
      </c>
      <c r="U13" s="417">
        <f t="shared" si="7"/>
        <v>0.11</v>
      </c>
      <c r="V13" s="417">
        <f t="shared" si="7"/>
        <v>0.09</v>
      </c>
      <c r="W13" s="417">
        <f t="shared" si="7"/>
        <v>0</v>
      </c>
      <c r="X13" s="525">
        <f t="shared" si="8"/>
        <v>1</v>
      </c>
      <c r="Y13" s="649">
        <f>'Input data'!$G$35</f>
        <v>0.66241124199764068</v>
      </c>
      <c r="Z13" s="525">
        <f>'Input data'!$H$35</f>
        <v>0.33758875800235938</v>
      </c>
      <c r="AA13" s="523">
        <f>'Input data'!J57</f>
        <v>28.161493315089835</v>
      </c>
      <c r="AB13" s="236">
        <f>'Input data'!L57</f>
        <v>0</v>
      </c>
      <c r="AC13" s="417">
        <f t="shared" si="19"/>
        <v>0.88463681982043585</v>
      </c>
      <c r="AD13" s="417">
        <f t="shared" si="9"/>
        <v>8.8860692477895534E-2</v>
      </c>
      <c r="AE13" s="417">
        <f t="shared" si="9"/>
        <v>0</v>
      </c>
      <c r="AF13" s="417">
        <f t="shared" si="9"/>
        <v>2.6502487701668711E-2</v>
      </c>
      <c r="AG13" s="417">
        <f t="shared" si="20"/>
        <v>1</v>
      </c>
      <c r="AH13" s="436">
        <f t="shared" si="21"/>
        <v>0.78201761382701329</v>
      </c>
      <c r="AI13" s="1233">
        <f t="shared" si="21"/>
        <v>0.21798238617298668</v>
      </c>
      <c r="AK13" s="542">
        <f t="shared" si="0"/>
        <v>1957</v>
      </c>
      <c r="AL13" s="235">
        <f t="shared" si="1"/>
        <v>3083.1358320672002</v>
      </c>
      <c r="AM13" s="419">
        <f t="shared" si="2"/>
        <v>280.8167774179712</v>
      </c>
      <c r="AN13" s="419">
        <f t="shared" si="3"/>
        <v>143.11439949126881</v>
      </c>
      <c r="AO13" s="419">
        <f t="shared" si="4"/>
        <v>346.85278110755996</v>
      </c>
      <c r="AP13" s="419">
        <f t="shared" si="5"/>
        <v>0</v>
      </c>
      <c r="AQ13" s="237">
        <f t="shared" si="10"/>
        <v>3853.9197900839999</v>
      </c>
      <c r="AS13" s="527">
        <f t="shared" si="11"/>
        <v>0</v>
      </c>
      <c r="AT13" s="775">
        <f t="shared" si="12"/>
        <v>0</v>
      </c>
      <c r="AU13" s="775">
        <f t="shared" si="13"/>
        <v>0</v>
      </c>
      <c r="AV13" s="419">
        <f t="shared" si="14"/>
        <v>0</v>
      </c>
      <c r="AW13" s="775">
        <f t="shared" si="15"/>
        <v>0</v>
      </c>
      <c r="AX13" s="530">
        <f t="shared" si="16"/>
        <v>0</v>
      </c>
      <c r="AZ13" s="684">
        <f t="shared" si="22"/>
        <v>3.8539197900839999</v>
      </c>
      <c r="BA13" s="417">
        <f t="shared" si="17"/>
        <v>0.19999999999999993</v>
      </c>
      <c r="BB13" s="205">
        <f>'Input data'!D57/10^6</f>
        <v>0</v>
      </c>
    </row>
    <row r="14" spans="1:54">
      <c r="A14" s="542">
        <f>'Input data'!A58</f>
        <v>1958</v>
      </c>
      <c r="B14" s="1232">
        <f>'Input data'!I58</f>
        <v>578.73</v>
      </c>
      <c r="C14" s="237">
        <f>B14*'Input data'!B58</f>
        <v>3975.8274126480001</v>
      </c>
      <c r="D14" s="649">
        <f>'Input data'!N58</f>
        <v>0.19892488097366726</v>
      </c>
      <c r="E14" s="417">
        <f>'Input data'!O58</f>
        <v>0.26585903447659598</v>
      </c>
      <c r="F14" s="417">
        <f>'Input data'!P58</f>
        <v>8.9228108703258049E-2</v>
      </c>
      <c r="G14" s="417">
        <f>'Input data'!Q58</f>
        <v>0</v>
      </c>
      <c r="H14" s="417">
        <f>'Input data'!R58</f>
        <v>0</v>
      </c>
      <c r="I14" s="417">
        <f>'Input data'!S58</f>
        <v>0</v>
      </c>
      <c r="J14" s="417">
        <f>'Input data'!T58</f>
        <v>0.4459879758464787</v>
      </c>
      <c r="K14" s="525">
        <f>'Input data'!U58</f>
        <v>1</v>
      </c>
      <c r="L14" s="649">
        <f>'Input data'!V58</f>
        <v>0.29028184578274857</v>
      </c>
      <c r="M14" s="417">
        <f>'Input data'!W58</f>
        <v>0.30317187715157518</v>
      </c>
      <c r="N14" s="417">
        <f>'Input data'!X58</f>
        <v>8.2805443243048754E-2</v>
      </c>
      <c r="O14" s="417">
        <f>'Input data'!Y58</f>
        <v>0</v>
      </c>
      <c r="P14" s="417">
        <f>'Input data'!Z58</f>
        <v>0</v>
      </c>
      <c r="Q14" s="417">
        <f>'Input data'!AA58</f>
        <v>0</v>
      </c>
      <c r="R14" s="417">
        <f>'Input data'!AB58</f>
        <v>0.32374083382262742</v>
      </c>
      <c r="S14" s="417">
        <f t="shared" si="6"/>
        <v>0.99999999999999989</v>
      </c>
      <c r="T14" s="649">
        <f t="shared" si="18"/>
        <v>0.8</v>
      </c>
      <c r="U14" s="417">
        <f t="shared" si="7"/>
        <v>0.11</v>
      </c>
      <c r="V14" s="417">
        <f t="shared" si="7"/>
        <v>0.09</v>
      </c>
      <c r="W14" s="417">
        <f t="shared" si="7"/>
        <v>0</v>
      </c>
      <c r="X14" s="525">
        <f t="shared" si="8"/>
        <v>1</v>
      </c>
      <c r="Y14" s="649">
        <f>'Input data'!$G$35</f>
        <v>0.66241124199764068</v>
      </c>
      <c r="Z14" s="525">
        <f>'Input data'!$H$35</f>
        <v>0.33758875800235938</v>
      </c>
      <c r="AA14" s="523">
        <f>'Input data'!J58</f>
        <v>28.161493315089835</v>
      </c>
      <c r="AB14" s="236">
        <f>'Input data'!L58</f>
        <v>0</v>
      </c>
      <c r="AC14" s="417">
        <f t="shared" si="19"/>
        <v>0.88463681982043585</v>
      </c>
      <c r="AD14" s="417">
        <f t="shared" si="9"/>
        <v>8.8860692477895534E-2</v>
      </c>
      <c r="AE14" s="417">
        <f t="shared" si="9"/>
        <v>0</v>
      </c>
      <c r="AF14" s="417">
        <f t="shared" si="9"/>
        <v>2.6502487701668711E-2</v>
      </c>
      <c r="AG14" s="417">
        <f t="shared" si="20"/>
        <v>1</v>
      </c>
      <c r="AH14" s="436">
        <f t="shared" si="21"/>
        <v>0.78201761382701329</v>
      </c>
      <c r="AI14" s="1233">
        <f t="shared" si="21"/>
        <v>0.21798238617298668</v>
      </c>
      <c r="AK14" s="542">
        <f t="shared" si="0"/>
        <v>1958</v>
      </c>
      <c r="AL14" s="235">
        <f t="shared" si="1"/>
        <v>3180.6619301184001</v>
      </c>
      <c r="AM14" s="419">
        <f t="shared" si="2"/>
        <v>289.69960518184712</v>
      </c>
      <c r="AN14" s="419">
        <f t="shared" si="3"/>
        <v>147.64141020943296</v>
      </c>
      <c r="AO14" s="419">
        <f t="shared" si="4"/>
        <v>357.82446713832002</v>
      </c>
      <c r="AP14" s="419">
        <f t="shared" si="5"/>
        <v>0</v>
      </c>
      <c r="AQ14" s="237">
        <f t="shared" si="10"/>
        <v>3975.8274126480001</v>
      </c>
      <c r="AS14" s="527">
        <f t="shared" si="11"/>
        <v>0</v>
      </c>
      <c r="AT14" s="775">
        <f t="shared" si="12"/>
        <v>0</v>
      </c>
      <c r="AU14" s="775">
        <f t="shared" si="13"/>
        <v>0</v>
      </c>
      <c r="AV14" s="419">
        <f t="shared" si="14"/>
        <v>0</v>
      </c>
      <c r="AW14" s="775">
        <f t="shared" si="15"/>
        <v>0</v>
      </c>
      <c r="AX14" s="530">
        <f t="shared" si="16"/>
        <v>0</v>
      </c>
      <c r="AZ14" s="684">
        <f t="shared" si="22"/>
        <v>3.9758274126480004</v>
      </c>
      <c r="BA14" s="417">
        <f t="shared" si="17"/>
        <v>0.2</v>
      </c>
      <c r="BB14" s="205">
        <f>'Input data'!D58/10^6</f>
        <v>0</v>
      </c>
    </row>
    <row r="15" spans="1:54">
      <c r="A15" s="542">
        <f>'Input data'!A59</f>
        <v>1959</v>
      </c>
      <c r="B15" s="1232">
        <f>'Input data'!I59</f>
        <v>578.73</v>
      </c>
      <c r="C15" s="237">
        <f>B15*'Input data'!B59</f>
        <v>4099.0053012635999</v>
      </c>
      <c r="D15" s="649">
        <f>'Input data'!N59</f>
        <v>0.19892488097366726</v>
      </c>
      <c r="E15" s="417">
        <f>'Input data'!O59</f>
        <v>0.26585903447659598</v>
      </c>
      <c r="F15" s="417">
        <f>'Input data'!P59</f>
        <v>8.9228108703258049E-2</v>
      </c>
      <c r="G15" s="417">
        <f>'Input data'!Q59</f>
        <v>0</v>
      </c>
      <c r="H15" s="417">
        <f>'Input data'!R59</f>
        <v>0</v>
      </c>
      <c r="I15" s="417">
        <f>'Input data'!S59</f>
        <v>0</v>
      </c>
      <c r="J15" s="417">
        <f>'Input data'!T59</f>
        <v>0.4459879758464787</v>
      </c>
      <c r="K15" s="525">
        <f>'Input data'!U59</f>
        <v>1</v>
      </c>
      <c r="L15" s="649">
        <f>'Input data'!V59</f>
        <v>0.29028184578274857</v>
      </c>
      <c r="M15" s="417">
        <f>'Input data'!W59</f>
        <v>0.30317187715157518</v>
      </c>
      <c r="N15" s="417">
        <f>'Input data'!X59</f>
        <v>8.2805443243048754E-2</v>
      </c>
      <c r="O15" s="417">
        <f>'Input data'!Y59</f>
        <v>0</v>
      </c>
      <c r="P15" s="417">
        <f>'Input data'!Z59</f>
        <v>0</v>
      </c>
      <c r="Q15" s="417">
        <f>'Input data'!AA59</f>
        <v>0</v>
      </c>
      <c r="R15" s="417">
        <f>'Input data'!AB59</f>
        <v>0.32374083382262742</v>
      </c>
      <c r="S15" s="417">
        <f t="shared" si="6"/>
        <v>0.99999999999999989</v>
      </c>
      <c r="T15" s="649">
        <f t="shared" si="18"/>
        <v>0.8</v>
      </c>
      <c r="U15" s="417">
        <f t="shared" si="7"/>
        <v>0.11</v>
      </c>
      <c r="V15" s="417">
        <f t="shared" si="7"/>
        <v>0.09</v>
      </c>
      <c r="W15" s="417">
        <f t="shared" si="7"/>
        <v>0</v>
      </c>
      <c r="X15" s="525">
        <f t="shared" si="8"/>
        <v>1</v>
      </c>
      <c r="Y15" s="649">
        <f>'Input data'!$G$35</f>
        <v>0.66241124199764068</v>
      </c>
      <c r="Z15" s="525">
        <f>'Input data'!$H$35</f>
        <v>0.33758875800235938</v>
      </c>
      <c r="AA15" s="523">
        <f>'Input data'!J59</f>
        <v>28.161493315089835</v>
      </c>
      <c r="AB15" s="236">
        <f>'Input data'!L59</f>
        <v>0</v>
      </c>
      <c r="AC15" s="417">
        <f t="shared" si="19"/>
        <v>0.88463681982043585</v>
      </c>
      <c r="AD15" s="417">
        <f t="shared" si="9"/>
        <v>8.8860692477895534E-2</v>
      </c>
      <c r="AE15" s="417">
        <f t="shared" si="9"/>
        <v>0</v>
      </c>
      <c r="AF15" s="417">
        <f t="shared" si="9"/>
        <v>2.6502487701668711E-2</v>
      </c>
      <c r="AG15" s="417">
        <f t="shared" si="20"/>
        <v>1</v>
      </c>
      <c r="AH15" s="436">
        <f t="shared" si="21"/>
        <v>0.78201761382701329</v>
      </c>
      <c r="AI15" s="1233">
        <f t="shared" si="21"/>
        <v>0.21798238617298668</v>
      </c>
      <c r="AK15" s="542">
        <f t="shared" si="0"/>
        <v>1959</v>
      </c>
      <c r="AL15" s="235">
        <f t="shared" si="1"/>
        <v>3279.2042410108802</v>
      </c>
      <c r="AM15" s="419">
        <f t="shared" si="2"/>
        <v>298.67499118214278</v>
      </c>
      <c r="AN15" s="419">
        <f t="shared" si="3"/>
        <v>152.21559195685322</v>
      </c>
      <c r="AO15" s="419">
        <f t="shared" si="4"/>
        <v>368.91047711372397</v>
      </c>
      <c r="AP15" s="419">
        <f t="shared" si="5"/>
        <v>0</v>
      </c>
      <c r="AQ15" s="237">
        <f t="shared" si="10"/>
        <v>4099.0053012635999</v>
      </c>
      <c r="AS15" s="527">
        <f t="shared" si="11"/>
        <v>0</v>
      </c>
      <c r="AT15" s="775">
        <f t="shared" si="12"/>
        <v>0</v>
      </c>
      <c r="AU15" s="775">
        <f t="shared" si="13"/>
        <v>0</v>
      </c>
      <c r="AV15" s="419">
        <f t="shared" si="14"/>
        <v>0</v>
      </c>
      <c r="AW15" s="775">
        <f t="shared" si="15"/>
        <v>0</v>
      </c>
      <c r="AX15" s="530">
        <f t="shared" si="16"/>
        <v>0</v>
      </c>
      <c r="AZ15" s="684">
        <f t="shared" si="22"/>
        <v>4.0990053012635999</v>
      </c>
      <c r="BA15" s="417">
        <f t="shared" si="17"/>
        <v>0.19999999999999993</v>
      </c>
      <c r="BB15" s="205">
        <f>'Input data'!D59/10^6</f>
        <v>0</v>
      </c>
    </row>
    <row r="16" spans="1:54">
      <c r="A16" s="542">
        <f>'Input data'!A60</f>
        <v>1960</v>
      </c>
      <c r="B16" s="1232">
        <f>'Input data'!I60</f>
        <v>578.73</v>
      </c>
      <c r="C16" s="237">
        <f>B16*'Input data'!B60</f>
        <v>4214.2919516880002</v>
      </c>
      <c r="D16" s="649">
        <f>'Input data'!N60</f>
        <v>0.19892488097366726</v>
      </c>
      <c r="E16" s="417">
        <f>'Input data'!O60</f>
        <v>0.26585903447659598</v>
      </c>
      <c r="F16" s="417">
        <f>'Input data'!P60</f>
        <v>8.9228108703258049E-2</v>
      </c>
      <c r="G16" s="417">
        <f>'Input data'!Q60</f>
        <v>0</v>
      </c>
      <c r="H16" s="417">
        <f>'Input data'!R60</f>
        <v>0</v>
      </c>
      <c r="I16" s="417">
        <f>'Input data'!S60</f>
        <v>0</v>
      </c>
      <c r="J16" s="417">
        <f>'Input data'!T60</f>
        <v>0.4459879758464787</v>
      </c>
      <c r="K16" s="525">
        <f>'Input data'!U60</f>
        <v>1</v>
      </c>
      <c r="L16" s="649">
        <f>'Input data'!V60</f>
        <v>0.29028184578274857</v>
      </c>
      <c r="M16" s="417">
        <f>'Input data'!W60</f>
        <v>0.30317187715157518</v>
      </c>
      <c r="N16" s="417">
        <f>'Input data'!X60</f>
        <v>8.2805443243048754E-2</v>
      </c>
      <c r="O16" s="417">
        <f>'Input data'!Y60</f>
        <v>0</v>
      </c>
      <c r="P16" s="417">
        <f>'Input data'!Z60</f>
        <v>0</v>
      </c>
      <c r="Q16" s="417">
        <f>'Input data'!AA60</f>
        <v>0</v>
      </c>
      <c r="R16" s="417">
        <f>'Input data'!AB60</f>
        <v>0.32374083382262742</v>
      </c>
      <c r="S16" s="417">
        <f t="shared" si="6"/>
        <v>0.99999999999999989</v>
      </c>
      <c r="T16" s="649">
        <f t="shared" si="18"/>
        <v>0.8</v>
      </c>
      <c r="U16" s="417">
        <f t="shared" si="7"/>
        <v>0.11</v>
      </c>
      <c r="V16" s="417">
        <f t="shared" si="7"/>
        <v>0.09</v>
      </c>
      <c r="W16" s="417">
        <f t="shared" si="7"/>
        <v>0</v>
      </c>
      <c r="X16" s="525">
        <f t="shared" si="8"/>
        <v>1</v>
      </c>
      <c r="Y16" s="649">
        <f>'Input data'!$G$35</f>
        <v>0.66241124199764068</v>
      </c>
      <c r="Z16" s="525">
        <f>'Input data'!$H$35</f>
        <v>0.33758875800235938</v>
      </c>
      <c r="AA16" s="523">
        <f>'Input data'!J60</f>
        <v>28.161493315089835</v>
      </c>
      <c r="AB16" s="236">
        <f>'Input data'!L60</f>
        <v>0</v>
      </c>
      <c r="AC16" s="417">
        <f t="shared" si="19"/>
        <v>0.88463681982043585</v>
      </c>
      <c r="AD16" s="417">
        <f t="shared" si="9"/>
        <v>8.8860692477895534E-2</v>
      </c>
      <c r="AE16" s="417">
        <f t="shared" si="9"/>
        <v>0</v>
      </c>
      <c r="AF16" s="417">
        <f t="shared" si="9"/>
        <v>2.6502487701668711E-2</v>
      </c>
      <c r="AG16" s="417">
        <f t="shared" si="20"/>
        <v>1</v>
      </c>
      <c r="AH16" s="436">
        <f t="shared" si="21"/>
        <v>0.78201761382701329</v>
      </c>
      <c r="AI16" s="1233">
        <f t="shared" si="21"/>
        <v>0.21798238617298668</v>
      </c>
      <c r="AK16" s="542">
        <f t="shared" si="0"/>
        <v>1960</v>
      </c>
      <c r="AL16" s="235">
        <f t="shared" si="1"/>
        <v>3371.4335613504004</v>
      </c>
      <c r="AM16" s="419">
        <f t="shared" si="2"/>
        <v>307.07538024441402</v>
      </c>
      <c r="AN16" s="419">
        <f t="shared" si="3"/>
        <v>156.496734441266</v>
      </c>
      <c r="AO16" s="419">
        <f t="shared" si="4"/>
        <v>379.28627565191999</v>
      </c>
      <c r="AP16" s="419">
        <f t="shared" si="5"/>
        <v>0</v>
      </c>
      <c r="AQ16" s="237">
        <f t="shared" si="10"/>
        <v>4214.2919516880011</v>
      </c>
      <c r="AS16" s="527">
        <f t="shared" si="11"/>
        <v>0</v>
      </c>
      <c r="AT16" s="775">
        <f t="shared" si="12"/>
        <v>0</v>
      </c>
      <c r="AU16" s="775">
        <f t="shared" si="13"/>
        <v>0</v>
      </c>
      <c r="AV16" s="419">
        <f t="shared" si="14"/>
        <v>0</v>
      </c>
      <c r="AW16" s="775">
        <f t="shared" si="15"/>
        <v>0</v>
      </c>
      <c r="AX16" s="530">
        <f t="shared" si="16"/>
        <v>0</v>
      </c>
      <c r="AZ16" s="684">
        <f t="shared" si="22"/>
        <v>4.2142919516880006</v>
      </c>
      <c r="BA16" s="417">
        <f t="shared" si="17"/>
        <v>0.20000000000000009</v>
      </c>
      <c r="BB16" s="205">
        <f>'Input data'!D60/10^6</f>
        <v>0</v>
      </c>
    </row>
    <row r="17" spans="1:54">
      <c r="A17" s="542">
        <f>'Input data'!A61</f>
        <v>1961</v>
      </c>
      <c r="B17" s="1232">
        <f>'Input data'!I61</f>
        <v>578.73</v>
      </c>
      <c r="C17" s="237">
        <f>B17*'Input data'!B61</f>
        <v>4427.193176406</v>
      </c>
      <c r="D17" s="649">
        <f>'Input data'!N61</f>
        <v>0.19892488097366726</v>
      </c>
      <c r="E17" s="417">
        <f>'Input data'!O61</f>
        <v>0.26585903447659598</v>
      </c>
      <c r="F17" s="417">
        <f>'Input data'!P61</f>
        <v>8.9228108703258049E-2</v>
      </c>
      <c r="G17" s="417">
        <f>'Input data'!Q61</f>
        <v>0</v>
      </c>
      <c r="H17" s="417">
        <f>'Input data'!R61</f>
        <v>0</v>
      </c>
      <c r="I17" s="417">
        <f>'Input data'!S61</f>
        <v>0</v>
      </c>
      <c r="J17" s="417">
        <f>'Input data'!T61</f>
        <v>0.4459879758464787</v>
      </c>
      <c r="K17" s="525">
        <f>'Input data'!U61</f>
        <v>1</v>
      </c>
      <c r="L17" s="649">
        <f>'Input data'!V61</f>
        <v>0.29028184578274857</v>
      </c>
      <c r="M17" s="417">
        <f>'Input data'!W61</f>
        <v>0.30317187715157518</v>
      </c>
      <c r="N17" s="417">
        <f>'Input data'!X61</f>
        <v>8.2805443243048754E-2</v>
      </c>
      <c r="O17" s="417">
        <f>'Input data'!Y61</f>
        <v>0</v>
      </c>
      <c r="P17" s="417">
        <f>'Input data'!Z61</f>
        <v>0</v>
      </c>
      <c r="Q17" s="417">
        <f>'Input data'!AA61</f>
        <v>0</v>
      </c>
      <c r="R17" s="417">
        <f>'Input data'!AB61</f>
        <v>0.32374083382262742</v>
      </c>
      <c r="S17" s="417">
        <f t="shared" si="6"/>
        <v>0.99999999999999989</v>
      </c>
      <c r="T17" s="649">
        <f t="shared" si="18"/>
        <v>0.8</v>
      </c>
      <c r="U17" s="417">
        <f t="shared" si="7"/>
        <v>0.11</v>
      </c>
      <c r="V17" s="417">
        <f t="shared" si="7"/>
        <v>0.09</v>
      </c>
      <c r="W17" s="417">
        <f t="shared" si="7"/>
        <v>0</v>
      </c>
      <c r="X17" s="525">
        <f t="shared" si="8"/>
        <v>1</v>
      </c>
      <c r="Y17" s="649">
        <f>'Input data'!$G$35</f>
        <v>0.66241124199764068</v>
      </c>
      <c r="Z17" s="525">
        <f>'Input data'!$H$35</f>
        <v>0.33758875800235938</v>
      </c>
      <c r="AA17" s="523">
        <f>'Input data'!J61</f>
        <v>28.161493315089835</v>
      </c>
      <c r="AB17" s="236">
        <f>'Input data'!L61</f>
        <v>16885.475909184155</v>
      </c>
      <c r="AC17" s="417">
        <f t="shared" si="19"/>
        <v>0.88463681982043585</v>
      </c>
      <c r="AD17" s="417">
        <f t="shared" si="9"/>
        <v>8.8860692477895534E-2</v>
      </c>
      <c r="AE17" s="417">
        <f t="shared" si="9"/>
        <v>0</v>
      </c>
      <c r="AF17" s="417">
        <f t="shared" si="9"/>
        <v>2.6502487701668711E-2</v>
      </c>
      <c r="AG17" s="417">
        <f t="shared" si="20"/>
        <v>1</v>
      </c>
      <c r="AH17" s="436">
        <f t="shared" si="21"/>
        <v>0.78201761382701329</v>
      </c>
      <c r="AI17" s="1233">
        <f t="shared" si="21"/>
        <v>0.21798238617298668</v>
      </c>
      <c r="AK17" s="542">
        <f t="shared" si="0"/>
        <v>1961</v>
      </c>
      <c r="AL17" s="235">
        <f t="shared" si="1"/>
        <v>3541.7545411248002</v>
      </c>
      <c r="AM17" s="419">
        <f t="shared" si="2"/>
        <v>322.58847836012359</v>
      </c>
      <c r="AN17" s="419">
        <f t="shared" si="3"/>
        <v>164.40277104453639</v>
      </c>
      <c r="AO17" s="419">
        <f t="shared" si="4"/>
        <v>398.44738587654001</v>
      </c>
      <c r="AP17" s="419">
        <f t="shared" si="5"/>
        <v>0</v>
      </c>
      <c r="AQ17" s="237">
        <f t="shared" si="10"/>
        <v>4427.1931764060009</v>
      </c>
      <c r="AS17" s="527">
        <f t="shared" si="11"/>
        <v>14937.513709455254</v>
      </c>
      <c r="AT17" s="775">
        <f t="shared" si="12"/>
        <v>1173.3823029654382</v>
      </c>
      <c r="AU17" s="775">
        <f t="shared" si="13"/>
        <v>327.0727791434885</v>
      </c>
      <c r="AV17" s="419">
        <f t="shared" si="14"/>
        <v>0</v>
      </c>
      <c r="AW17" s="775">
        <f t="shared" si="15"/>
        <v>447.50711761997638</v>
      </c>
      <c r="AX17" s="530">
        <f t="shared" si="16"/>
        <v>16885.475909184159</v>
      </c>
      <c r="AZ17" s="684">
        <f t="shared" si="22"/>
        <v>21.312669085590162</v>
      </c>
      <c r="BA17" s="417">
        <f t="shared" si="17"/>
        <v>0.13294443899219621</v>
      </c>
      <c r="BB17" s="205">
        <f>'Input data'!D61/10^6</f>
        <v>0</v>
      </c>
    </row>
    <row r="18" spans="1:54">
      <c r="A18" s="542">
        <f>'Input data'!A62</f>
        <v>1962</v>
      </c>
      <c r="B18" s="1232">
        <f>'Input data'!I62</f>
        <v>578.73</v>
      </c>
      <c r="C18" s="237">
        <f>B18*'Input data'!B62</f>
        <v>4546.4991761280007</v>
      </c>
      <c r="D18" s="649">
        <f>'Input data'!N62</f>
        <v>0.19892488097366726</v>
      </c>
      <c r="E18" s="417">
        <f>'Input data'!O62</f>
        <v>0.26585903447659598</v>
      </c>
      <c r="F18" s="417">
        <f>'Input data'!P62</f>
        <v>8.9228108703258049E-2</v>
      </c>
      <c r="G18" s="417">
        <f>'Input data'!Q62</f>
        <v>0</v>
      </c>
      <c r="H18" s="417">
        <f>'Input data'!R62</f>
        <v>0</v>
      </c>
      <c r="I18" s="417">
        <f>'Input data'!S62</f>
        <v>0</v>
      </c>
      <c r="J18" s="417">
        <f>'Input data'!T62</f>
        <v>0.4459879758464787</v>
      </c>
      <c r="K18" s="525">
        <f>'Input data'!U62</f>
        <v>1</v>
      </c>
      <c r="L18" s="649">
        <f>'Input data'!V62</f>
        <v>0.29028184578274857</v>
      </c>
      <c r="M18" s="417">
        <f>'Input data'!W62</f>
        <v>0.30317187715157518</v>
      </c>
      <c r="N18" s="417">
        <f>'Input data'!X62</f>
        <v>8.2805443243048754E-2</v>
      </c>
      <c r="O18" s="417">
        <f>'Input data'!Y62</f>
        <v>0</v>
      </c>
      <c r="P18" s="417">
        <f>'Input data'!Z62</f>
        <v>0</v>
      </c>
      <c r="Q18" s="417">
        <f>'Input data'!AA62</f>
        <v>0</v>
      </c>
      <c r="R18" s="417">
        <f>'Input data'!AB62</f>
        <v>0.32374083382262742</v>
      </c>
      <c r="S18" s="417">
        <f t="shared" si="6"/>
        <v>0.99999999999999989</v>
      </c>
      <c r="T18" s="649">
        <f t="shared" si="18"/>
        <v>0.8</v>
      </c>
      <c r="U18" s="417">
        <f t="shared" si="7"/>
        <v>0.11</v>
      </c>
      <c r="V18" s="417">
        <f t="shared" si="7"/>
        <v>0.09</v>
      </c>
      <c r="W18" s="417">
        <f t="shared" si="7"/>
        <v>0</v>
      </c>
      <c r="X18" s="525">
        <f t="shared" si="8"/>
        <v>1</v>
      </c>
      <c r="Y18" s="649">
        <f>'Input data'!$G$35</f>
        <v>0.66241124199764068</v>
      </c>
      <c r="Z18" s="525">
        <f>'Input data'!$H$35</f>
        <v>0.33758875800235938</v>
      </c>
      <c r="AA18" s="523">
        <f>'Input data'!J62</f>
        <v>28.161493315089835</v>
      </c>
      <c r="AB18" s="236">
        <f>'Input data'!L62</f>
        <v>17928.640870887943</v>
      </c>
      <c r="AC18" s="417">
        <f t="shared" si="19"/>
        <v>0.88463681982043585</v>
      </c>
      <c r="AD18" s="417">
        <f t="shared" si="9"/>
        <v>8.8860692477895534E-2</v>
      </c>
      <c r="AE18" s="417">
        <f t="shared" si="9"/>
        <v>0</v>
      </c>
      <c r="AF18" s="417">
        <f t="shared" si="9"/>
        <v>2.6502487701668711E-2</v>
      </c>
      <c r="AG18" s="417">
        <f t="shared" si="20"/>
        <v>1</v>
      </c>
      <c r="AH18" s="436">
        <f t="shared" si="21"/>
        <v>0.78201761382701329</v>
      </c>
      <c r="AI18" s="1233">
        <f t="shared" si="21"/>
        <v>0.21798238617298668</v>
      </c>
      <c r="AK18" s="542">
        <f t="shared" si="0"/>
        <v>1962</v>
      </c>
      <c r="AL18" s="235">
        <f t="shared" si="1"/>
        <v>3637.1993409024008</v>
      </c>
      <c r="AM18" s="419">
        <f t="shared" si="2"/>
        <v>331.28173826002188</v>
      </c>
      <c r="AN18" s="419">
        <f t="shared" si="3"/>
        <v>168.83317111405822</v>
      </c>
      <c r="AO18" s="419">
        <f t="shared" si="4"/>
        <v>409.18492585152006</v>
      </c>
      <c r="AP18" s="419">
        <f t="shared" si="5"/>
        <v>0</v>
      </c>
      <c r="AQ18" s="237">
        <f t="shared" si="10"/>
        <v>4546.4991761280016</v>
      </c>
      <c r="AS18" s="527">
        <f t="shared" si="11"/>
        <v>15860.335843724999</v>
      </c>
      <c r="AT18" s="775">
        <f t="shared" si="12"/>
        <v>1245.8724899000617</v>
      </c>
      <c r="AU18" s="775">
        <f t="shared" si="13"/>
        <v>347.27895307454082</v>
      </c>
      <c r="AV18" s="419">
        <f t="shared" si="14"/>
        <v>0</v>
      </c>
      <c r="AW18" s="775">
        <f t="shared" si="15"/>
        <v>475.15358418834268</v>
      </c>
      <c r="AX18" s="530">
        <f t="shared" si="16"/>
        <v>17928.640870887943</v>
      </c>
      <c r="AZ18" s="684">
        <f t="shared" si="22"/>
        <v>22.475140047015941</v>
      </c>
      <c r="BA18" s="417">
        <f t="shared" si="17"/>
        <v>0.13248437412001282</v>
      </c>
      <c r="BB18" s="205">
        <f>'Input data'!D62/10^6</f>
        <v>0</v>
      </c>
    </row>
    <row r="19" spans="1:54">
      <c r="A19" s="542">
        <f>'Input data'!A63</f>
        <v>1963</v>
      </c>
      <c r="B19" s="1232">
        <f>'Input data'!I63</f>
        <v>578.73</v>
      </c>
      <c r="C19" s="237">
        <f>B19*'Input data'!B63</f>
        <v>4665.8051758500005</v>
      </c>
      <c r="D19" s="649">
        <f>'Input data'!N63</f>
        <v>0.19892488097366726</v>
      </c>
      <c r="E19" s="417">
        <f>'Input data'!O63</f>
        <v>0.26585903447659598</v>
      </c>
      <c r="F19" s="417">
        <f>'Input data'!P63</f>
        <v>8.9228108703258049E-2</v>
      </c>
      <c r="G19" s="417">
        <f>'Input data'!Q63</f>
        <v>0</v>
      </c>
      <c r="H19" s="417">
        <f>'Input data'!R63</f>
        <v>0</v>
      </c>
      <c r="I19" s="417">
        <f>'Input data'!S63</f>
        <v>0</v>
      </c>
      <c r="J19" s="417">
        <f>'Input data'!T63</f>
        <v>0.4459879758464787</v>
      </c>
      <c r="K19" s="525">
        <f>'Input data'!U63</f>
        <v>1</v>
      </c>
      <c r="L19" s="649">
        <f>'Input data'!V63</f>
        <v>0.29028184578274857</v>
      </c>
      <c r="M19" s="417">
        <f>'Input data'!W63</f>
        <v>0.30317187715157518</v>
      </c>
      <c r="N19" s="417">
        <f>'Input data'!X63</f>
        <v>8.2805443243048754E-2</v>
      </c>
      <c r="O19" s="417">
        <f>'Input data'!Y63</f>
        <v>0</v>
      </c>
      <c r="P19" s="417">
        <f>'Input data'!Z63</f>
        <v>0</v>
      </c>
      <c r="Q19" s="417">
        <f>'Input data'!AA63</f>
        <v>0</v>
      </c>
      <c r="R19" s="417">
        <f>'Input data'!AB63</f>
        <v>0.32374083382262742</v>
      </c>
      <c r="S19" s="417">
        <f t="shared" si="6"/>
        <v>0.99999999999999989</v>
      </c>
      <c r="T19" s="649">
        <f t="shared" si="18"/>
        <v>0.8</v>
      </c>
      <c r="U19" s="417">
        <f t="shared" si="7"/>
        <v>0.11</v>
      </c>
      <c r="V19" s="417">
        <f t="shared" si="7"/>
        <v>0.09</v>
      </c>
      <c r="W19" s="417">
        <f t="shared" si="7"/>
        <v>0</v>
      </c>
      <c r="X19" s="525">
        <f t="shared" si="8"/>
        <v>1</v>
      </c>
      <c r="Y19" s="649">
        <f>'Input data'!$G$35</f>
        <v>0.66241124199764068</v>
      </c>
      <c r="Z19" s="525">
        <f>'Input data'!$H$35</f>
        <v>0.33758875800235938</v>
      </c>
      <c r="AA19" s="523">
        <f>'Input data'!J63</f>
        <v>28.161493315089835</v>
      </c>
      <c r="AB19" s="236">
        <f>'Input data'!L63</f>
        <v>19250.629426320465</v>
      </c>
      <c r="AC19" s="417">
        <f t="shared" si="19"/>
        <v>0.88463681982043585</v>
      </c>
      <c r="AD19" s="417">
        <f t="shared" si="9"/>
        <v>8.8860692477895534E-2</v>
      </c>
      <c r="AE19" s="417">
        <f t="shared" si="9"/>
        <v>0</v>
      </c>
      <c r="AF19" s="417">
        <f t="shared" si="9"/>
        <v>2.6502487701668711E-2</v>
      </c>
      <c r="AG19" s="417">
        <f t="shared" si="20"/>
        <v>1</v>
      </c>
      <c r="AH19" s="436">
        <f t="shared" si="21"/>
        <v>0.78201761382701329</v>
      </c>
      <c r="AI19" s="1233">
        <f t="shared" si="21"/>
        <v>0.21798238617298668</v>
      </c>
      <c r="AK19" s="542">
        <f t="shared" si="0"/>
        <v>1963</v>
      </c>
      <c r="AL19" s="235">
        <f t="shared" si="1"/>
        <v>3732.6441406800004</v>
      </c>
      <c r="AM19" s="419">
        <f t="shared" si="2"/>
        <v>339.97499815992006</v>
      </c>
      <c r="AN19" s="419">
        <f t="shared" si="3"/>
        <v>173.26357118358001</v>
      </c>
      <c r="AO19" s="419">
        <f t="shared" si="4"/>
        <v>419.92246582650006</v>
      </c>
      <c r="AP19" s="419">
        <f t="shared" si="5"/>
        <v>0</v>
      </c>
      <c r="AQ19" s="237">
        <f t="shared" si="10"/>
        <v>4665.8051758500005</v>
      </c>
      <c r="AS19" s="527">
        <f t="shared" si="11"/>
        <v>17029.815595241838</v>
      </c>
      <c r="AT19" s="775">
        <f t="shared" si="12"/>
        <v>1337.7383031001302</v>
      </c>
      <c r="AU19" s="775">
        <f t="shared" si="13"/>
        <v>372.88595835805916</v>
      </c>
      <c r="AV19" s="419">
        <f t="shared" si="14"/>
        <v>0</v>
      </c>
      <c r="AW19" s="775">
        <f t="shared" si="15"/>
        <v>510.18956962043995</v>
      </c>
      <c r="AX19" s="530">
        <f t="shared" si="16"/>
        <v>19250.629426320469</v>
      </c>
      <c r="AZ19" s="684">
        <f t="shared" si="22"/>
        <v>23.916434602170472</v>
      </c>
      <c r="BA19" s="417">
        <f t="shared" si="17"/>
        <v>0.13187479315844181</v>
      </c>
      <c r="BB19" s="205">
        <f>'Input data'!D63/10^6</f>
        <v>0</v>
      </c>
    </row>
    <row r="20" spans="1:54">
      <c r="A20" s="542">
        <f>'Input data'!A64</f>
        <v>1964</v>
      </c>
      <c r="B20" s="1232">
        <f>'Input data'!I64</f>
        <v>578.73</v>
      </c>
      <c r="C20" s="237">
        <f>B20*'Input data'!B64</f>
        <v>4785.1111755720003</v>
      </c>
      <c r="D20" s="649">
        <f>'Input data'!N64</f>
        <v>0.19892488097366726</v>
      </c>
      <c r="E20" s="417">
        <f>'Input data'!O64</f>
        <v>0.26585903447659598</v>
      </c>
      <c r="F20" s="417">
        <f>'Input data'!P64</f>
        <v>8.9228108703258049E-2</v>
      </c>
      <c r="G20" s="417">
        <f>'Input data'!Q64</f>
        <v>0</v>
      </c>
      <c r="H20" s="417">
        <f>'Input data'!R64</f>
        <v>0</v>
      </c>
      <c r="I20" s="417">
        <f>'Input data'!S64</f>
        <v>0</v>
      </c>
      <c r="J20" s="417">
        <f>'Input data'!T64</f>
        <v>0.4459879758464787</v>
      </c>
      <c r="K20" s="525">
        <f>'Input data'!U64</f>
        <v>1</v>
      </c>
      <c r="L20" s="649">
        <f>'Input data'!V64</f>
        <v>0.29028184578274857</v>
      </c>
      <c r="M20" s="417">
        <f>'Input data'!W64</f>
        <v>0.30317187715157518</v>
      </c>
      <c r="N20" s="417">
        <f>'Input data'!X64</f>
        <v>8.2805443243048754E-2</v>
      </c>
      <c r="O20" s="417">
        <f>'Input data'!Y64</f>
        <v>0</v>
      </c>
      <c r="P20" s="417">
        <f>'Input data'!Z64</f>
        <v>0</v>
      </c>
      <c r="Q20" s="417">
        <f>'Input data'!AA64</f>
        <v>0</v>
      </c>
      <c r="R20" s="417">
        <f>'Input data'!AB64</f>
        <v>0.32374083382262742</v>
      </c>
      <c r="S20" s="417">
        <f t="shared" si="6"/>
        <v>0.99999999999999989</v>
      </c>
      <c r="T20" s="649">
        <f t="shared" si="18"/>
        <v>0.8</v>
      </c>
      <c r="U20" s="417">
        <f t="shared" si="7"/>
        <v>0.11</v>
      </c>
      <c r="V20" s="417">
        <f t="shared" si="7"/>
        <v>0.09</v>
      </c>
      <c r="W20" s="417">
        <f t="shared" si="7"/>
        <v>0</v>
      </c>
      <c r="X20" s="525">
        <f t="shared" si="8"/>
        <v>1</v>
      </c>
      <c r="Y20" s="649">
        <f>'Input data'!$G$35</f>
        <v>0.66241124199764068</v>
      </c>
      <c r="Z20" s="525">
        <f>'Input data'!$H$35</f>
        <v>0.33758875800235938</v>
      </c>
      <c r="AA20" s="523">
        <f>'Input data'!J64</f>
        <v>28.161493315089835</v>
      </c>
      <c r="AB20" s="236">
        <f>'Input data'!L64</f>
        <v>20779.087372678579</v>
      </c>
      <c r="AC20" s="417">
        <f t="shared" si="19"/>
        <v>0.88463681982043585</v>
      </c>
      <c r="AD20" s="417">
        <f t="shared" si="9"/>
        <v>8.8860692477895534E-2</v>
      </c>
      <c r="AE20" s="417">
        <f t="shared" si="9"/>
        <v>0</v>
      </c>
      <c r="AF20" s="417">
        <f t="shared" si="9"/>
        <v>2.6502487701668711E-2</v>
      </c>
      <c r="AG20" s="417">
        <f t="shared" si="20"/>
        <v>1</v>
      </c>
      <c r="AH20" s="436">
        <f t="shared" si="21"/>
        <v>0.78201761382701329</v>
      </c>
      <c r="AI20" s="1233">
        <f t="shared" si="21"/>
        <v>0.21798238617298668</v>
      </c>
      <c r="AK20" s="542">
        <f t="shared" si="0"/>
        <v>1964</v>
      </c>
      <c r="AL20" s="235">
        <f t="shared" si="1"/>
        <v>3828.0889404576005</v>
      </c>
      <c r="AM20" s="419">
        <f t="shared" si="2"/>
        <v>348.6682580598183</v>
      </c>
      <c r="AN20" s="419">
        <f t="shared" si="3"/>
        <v>177.69397125310175</v>
      </c>
      <c r="AO20" s="419">
        <f t="shared" si="4"/>
        <v>430.66000580148</v>
      </c>
      <c r="AP20" s="419">
        <f t="shared" si="5"/>
        <v>0</v>
      </c>
      <c r="AQ20" s="237">
        <f t="shared" si="10"/>
        <v>4785.1111755720012</v>
      </c>
      <c r="AS20" s="527">
        <f t="shared" si="11"/>
        <v>18381.945772137355</v>
      </c>
      <c r="AT20" s="775">
        <f t="shared" si="12"/>
        <v>1443.951803668866</v>
      </c>
      <c r="AU20" s="775">
        <f t="shared" si="13"/>
        <v>402.49228932604734</v>
      </c>
      <c r="AV20" s="419">
        <f t="shared" si="14"/>
        <v>0</v>
      </c>
      <c r="AW20" s="775">
        <f t="shared" si="15"/>
        <v>550.69750754631366</v>
      </c>
      <c r="AX20" s="530">
        <f t="shared" si="16"/>
        <v>20779.087372678583</v>
      </c>
      <c r="AZ20" s="684">
        <f t="shared" si="22"/>
        <v>25.564198548250587</v>
      </c>
      <c r="BA20" s="417">
        <f t="shared" si="17"/>
        <v>0.13120551498318581</v>
      </c>
      <c r="BB20" s="205">
        <f>'Input data'!D64/10^6</f>
        <v>0</v>
      </c>
    </row>
    <row r="21" spans="1:54">
      <c r="A21" s="542">
        <f>'Input data'!A65</f>
        <v>1965</v>
      </c>
      <c r="B21" s="1232">
        <f>'Input data'!I65</f>
        <v>578.73</v>
      </c>
      <c r="C21" s="237">
        <f>B21*'Input data'!B65</f>
        <v>4904.4171752940001</v>
      </c>
      <c r="D21" s="649">
        <f>'Input data'!N65</f>
        <v>0.19892488097366726</v>
      </c>
      <c r="E21" s="417">
        <f>'Input data'!O65</f>
        <v>0.26585903447659598</v>
      </c>
      <c r="F21" s="417">
        <f>'Input data'!P65</f>
        <v>8.9228108703258049E-2</v>
      </c>
      <c r="G21" s="417">
        <f>'Input data'!Q65</f>
        <v>0</v>
      </c>
      <c r="H21" s="417">
        <f>'Input data'!R65</f>
        <v>0</v>
      </c>
      <c r="I21" s="417">
        <f>'Input data'!S65</f>
        <v>0</v>
      </c>
      <c r="J21" s="417">
        <f>'Input data'!T65</f>
        <v>0.4459879758464787</v>
      </c>
      <c r="K21" s="525">
        <f>'Input data'!U65</f>
        <v>1</v>
      </c>
      <c r="L21" s="649">
        <f>'Input data'!V65</f>
        <v>0.29028184578274857</v>
      </c>
      <c r="M21" s="417">
        <f>'Input data'!W65</f>
        <v>0.30317187715157518</v>
      </c>
      <c r="N21" s="417">
        <f>'Input data'!X65</f>
        <v>8.2805443243048754E-2</v>
      </c>
      <c r="O21" s="417">
        <f>'Input data'!Y65</f>
        <v>0</v>
      </c>
      <c r="P21" s="417">
        <f>'Input data'!Z65</f>
        <v>0</v>
      </c>
      <c r="Q21" s="417">
        <f>'Input data'!AA65</f>
        <v>0</v>
      </c>
      <c r="R21" s="417">
        <f>'Input data'!AB65</f>
        <v>0.32374083382262742</v>
      </c>
      <c r="S21" s="417">
        <f t="shared" si="6"/>
        <v>0.99999999999999989</v>
      </c>
      <c r="T21" s="649">
        <f t="shared" si="18"/>
        <v>0.8</v>
      </c>
      <c r="U21" s="417">
        <f t="shared" si="7"/>
        <v>0.11</v>
      </c>
      <c r="V21" s="417">
        <f t="shared" si="7"/>
        <v>0.09</v>
      </c>
      <c r="W21" s="417">
        <f t="shared" si="7"/>
        <v>0</v>
      </c>
      <c r="X21" s="525">
        <f t="shared" si="8"/>
        <v>1</v>
      </c>
      <c r="Y21" s="649">
        <f>'Input data'!$G$35</f>
        <v>0.66241124199764068</v>
      </c>
      <c r="Z21" s="525">
        <f>'Input data'!$H$35</f>
        <v>0.33758875800235938</v>
      </c>
      <c r="AA21" s="523">
        <f>'Input data'!J65</f>
        <v>28.161493315089835</v>
      </c>
      <c r="AB21" s="236">
        <f>'Input data'!L65</f>
        <v>22051.341194541048</v>
      </c>
      <c r="AC21" s="417">
        <f t="shared" si="19"/>
        <v>0.88463681982043585</v>
      </c>
      <c r="AD21" s="417">
        <f t="shared" si="9"/>
        <v>8.8860692477895534E-2</v>
      </c>
      <c r="AE21" s="417">
        <f t="shared" si="9"/>
        <v>0</v>
      </c>
      <c r="AF21" s="417">
        <f t="shared" si="9"/>
        <v>2.6502487701668711E-2</v>
      </c>
      <c r="AG21" s="417">
        <f t="shared" si="20"/>
        <v>1</v>
      </c>
      <c r="AH21" s="436">
        <f t="shared" si="21"/>
        <v>0.78201761382701329</v>
      </c>
      <c r="AI21" s="1233">
        <f t="shared" si="21"/>
        <v>0.21798238617298668</v>
      </c>
      <c r="AK21" s="542">
        <f t="shared" si="0"/>
        <v>1965</v>
      </c>
      <c r="AL21" s="235">
        <f t="shared" si="1"/>
        <v>3923.5337402352002</v>
      </c>
      <c r="AM21" s="419">
        <f t="shared" si="2"/>
        <v>357.36151795971654</v>
      </c>
      <c r="AN21" s="419">
        <f t="shared" si="3"/>
        <v>182.12437132262355</v>
      </c>
      <c r="AO21" s="419">
        <f t="shared" si="4"/>
        <v>441.39754577645999</v>
      </c>
      <c r="AP21" s="419">
        <f t="shared" si="5"/>
        <v>0</v>
      </c>
      <c r="AQ21" s="237">
        <f t="shared" si="10"/>
        <v>4904.4171752940001</v>
      </c>
      <c r="AS21" s="527">
        <f t="shared" si="11"/>
        <v>19507.428347114164</v>
      </c>
      <c r="AT21" s="775">
        <f t="shared" si="12"/>
        <v>1532.3615190646635</v>
      </c>
      <c r="AU21" s="775">
        <f t="shared" si="13"/>
        <v>427.13592954859814</v>
      </c>
      <c r="AV21" s="419">
        <f t="shared" si="14"/>
        <v>0</v>
      </c>
      <c r="AW21" s="775">
        <f t="shared" si="15"/>
        <v>584.41539881362473</v>
      </c>
      <c r="AX21" s="530">
        <f t="shared" si="16"/>
        <v>22051.341194541048</v>
      </c>
      <c r="AZ21" s="684">
        <f t="shared" si="22"/>
        <v>26.955758369835049</v>
      </c>
      <c r="BA21" s="417">
        <f t="shared" si="17"/>
        <v>0.13076227476612651</v>
      </c>
      <c r="BB21" s="205">
        <f>'Input data'!D65/10^6</f>
        <v>0</v>
      </c>
    </row>
    <row r="22" spans="1:54">
      <c r="A22" s="542">
        <f>'Input data'!A66</f>
        <v>1966</v>
      </c>
      <c r="B22" s="1232">
        <f>'Input data'!I66</f>
        <v>578.73</v>
      </c>
      <c r="C22" s="237">
        <f>B22*'Input data'!B66</f>
        <v>5058.5238303599999</v>
      </c>
      <c r="D22" s="649">
        <f>'Input data'!N66</f>
        <v>0.19892488097366726</v>
      </c>
      <c r="E22" s="417">
        <f>'Input data'!O66</f>
        <v>0.26585903447659598</v>
      </c>
      <c r="F22" s="417">
        <f>'Input data'!P66</f>
        <v>8.9228108703258049E-2</v>
      </c>
      <c r="G22" s="417">
        <f>'Input data'!Q66</f>
        <v>0</v>
      </c>
      <c r="H22" s="417">
        <f>'Input data'!R66</f>
        <v>0</v>
      </c>
      <c r="I22" s="417">
        <f>'Input data'!S66</f>
        <v>0</v>
      </c>
      <c r="J22" s="417">
        <f>'Input data'!T66</f>
        <v>0.4459879758464787</v>
      </c>
      <c r="K22" s="525">
        <f>'Input data'!U66</f>
        <v>1</v>
      </c>
      <c r="L22" s="649">
        <f>'Input data'!V66</f>
        <v>0.29028184578274857</v>
      </c>
      <c r="M22" s="417">
        <f>'Input data'!W66</f>
        <v>0.30317187715157518</v>
      </c>
      <c r="N22" s="417">
        <f>'Input data'!X66</f>
        <v>8.2805443243048754E-2</v>
      </c>
      <c r="O22" s="417">
        <f>'Input data'!Y66</f>
        <v>0</v>
      </c>
      <c r="P22" s="417">
        <f>'Input data'!Z66</f>
        <v>0</v>
      </c>
      <c r="Q22" s="417">
        <f>'Input data'!AA66</f>
        <v>0</v>
      </c>
      <c r="R22" s="417">
        <f>'Input data'!AB66</f>
        <v>0.32374083382262742</v>
      </c>
      <c r="S22" s="417">
        <f t="shared" si="6"/>
        <v>0.99999999999999989</v>
      </c>
      <c r="T22" s="649">
        <f t="shared" si="18"/>
        <v>0.8</v>
      </c>
      <c r="U22" s="417">
        <f t="shared" si="7"/>
        <v>0.11</v>
      </c>
      <c r="V22" s="417">
        <f t="shared" si="7"/>
        <v>0.09</v>
      </c>
      <c r="W22" s="417">
        <f t="shared" si="7"/>
        <v>0</v>
      </c>
      <c r="X22" s="525">
        <f t="shared" si="8"/>
        <v>1</v>
      </c>
      <c r="Y22" s="649">
        <f>'Input data'!$G$35</f>
        <v>0.66241124199764068</v>
      </c>
      <c r="Z22" s="525">
        <f>'Input data'!$H$35</f>
        <v>0.33758875800235938</v>
      </c>
      <c r="AA22" s="523">
        <f>'Input data'!J66</f>
        <v>28.161493315089835</v>
      </c>
      <c r="AB22" s="236">
        <f>'Input data'!L66</f>
        <v>23030.047693762743</v>
      </c>
      <c r="AC22" s="417">
        <f t="shared" si="19"/>
        <v>0.88463681982043585</v>
      </c>
      <c r="AD22" s="417">
        <f t="shared" si="9"/>
        <v>8.8860692477895534E-2</v>
      </c>
      <c r="AE22" s="417">
        <f t="shared" si="9"/>
        <v>0</v>
      </c>
      <c r="AF22" s="417">
        <f t="shared" si="9"/>
        <v>2.6502487701668711E-2</v>
      </c>
      <c r="AG22" s="417">
        <f t="shared" si="20"/>
        <v>1</v>
      </c>
      <c r="AH22" s="436">
        <f t="shared" si="21"/>
        <v>0.78201761382701329</v>
      </c>
      <c r="AI22" s="1233">
        <f t="shared" si="21"/>
        <v>0.21798238617298668</v>
      </c>
      <c r="AK22" s="542">
        <f t="shared" si="0"/>
        <v>1966</v>
      </c>
      <c r="AL22" s="235">
        <f t="shared" si="1"/>
        <v>4046.8190642879999</v>
      </c>
      <c r="AM22" s="419">
        <f t="shared" si="2"/>
        <v>368.59053584577731</v>
      </c>
      <c r="AN22" s="419">
        <f t="shared" si="3"/>
        <v>187.8470854938227</v>
      </c>
      <c r="AO22" s="419">
        <f t="shared" si="4"/>
        <v>455.26714473239997</v>
      </c>
      <c r="AP22" s="419">
        <f t="shared" si="5"/>
        <v>0</v>
      </c>
      <c r="AQ22" s="237">
        <f t="shared" si="10"/>
        <v>5058.5238303599999</v>
      </c>
      <c r="AS22" s="527">
        <f t="shared" si="11"/>
        <v>20373.228152123236</v>
      </c>
      <c r="AT22" s="775">
        <f t="shared" si="12"/>
        <v>1600.3724470456373</v>
      </c>
      <c r="AU22" s="775">
        <f t="shared" si="13"/>
        <v>446.09353882108087</v>
      </c>
      <c r="AV22" s="419">
        <f t="shared" si="14"/>
        <v>0</v>
      </c>
      <c r="AW22" s="775">
        <f t="shared" si="15"/>
        <v>610.35355577279097</v>
      </c>
      <c r="AX22" s="530">
        <f t="shared" si="16"/>
        <v>23030.047693762746</v>
      </c>
      <c r="AZ22" s="684">
        <f t="shared" si="22"/>
        <v>28.088571524122745</v>
      </c>
      <c r="BA22" s="417">
        <f t="shared" si="17"/>
        <v>0.13060558471479916</v>
      </c>
      <c r="BB22" s="205">
        <f>'Input data'!D66/10^6</f>
        <v>0</v>
      </c>
    </row>
    <row r="23" spans="1:54">
      <c r="A23" s="542">
        <f>'Input data'!A67</f>
        <v>1967</v>
      </c>
      <c r="B23" s="1232">
        <f>'Input data'!I67</f>
        <v>578.73</v>
      </c>
      <c r="C23" s="237">
        <f>B23*'Input data'!B67</f>
        <v>5214.2588696016001</v>
      </c>
      <c r="D23" s="649">
        <f>'Input data'!N67</f>
        <v>0.19892488097366726</v>
      </c>
      <c r="E23" s="417">
        <f>'Input data'!O67</f>
        <v>0.26585903447659598</v>
      </c>
      <c r="F23" s="417">
        <f>'Input data'!P67</f>
        <v>8.9228108703258049E-2</v>
      </c>
      <c r="G23" s="417">
        <f>'Input data'!Q67</f>
        <v>0</v>
      </c>
      <c r="H23" s="417">
        <f>'Input data'!R67</f>
        <v>0</v>
      </c>
      <c r="I23" s="417">
        <f>'Input data'!S67</f>
        <v>0</v>
      </c>
      <c r="J23" s="417">
        <f>'Input data'!T67</f>
        <v>0.4459879758464787</v>
      </c>
      <c r="K23" s="525">
        <f>'Input data'!U67</f>
        <v>1</v>
      </c>
      <c r="L23" s="649">
        <f>'Input data'!V67</f>
        <v>0.29028184578274857</v>
      </c>
      <c r="M23" s="417">
        <f>'Input data'!W67</f>
        <v>0.30317187715157518</v>
      </c>
      <c r="N23" s="417">
        <f>'Input data'!X67</f>
        <v>8.2805443243048754E-2</v>
      </c>
      <c r="O23" s="417">
        <f>'Input data'!Y67</f>
        <v>0</v>
      </c>
      <c r="P23" s="417">
        <f>'Input data'!Z67</f>
        <v>0</v>
      </c>
      <c r="Q23" s="417">
        <f>'Input data'!AA67</f>
        <v>0</v>
      </c>
      <c r="R23" s="417">
        <f>'Input data'!AB67</f>
        <v>0.32374083382262742</v>
      </c>
      <c r="S23" s="417">
        <f t="shared" si="6"/>
        <v>0.99999999999999989</v>
      </c>
      <c r="T23" s="649">
        <f t="shared" si="18"/>
        <v>0.8</v>
      </c>
      <c r="U23" s="417">
        <f t="shared" si="18"/>
        <v>0.11</v>
      </c>
      <c r="V23" s="417">
        <f t="shared" si="18"/>
        <v>0.09</v>
      </c>
      <c r="W23" s="417">
        <f t="shared" si="18"/>
        <v>0</v>
      </c>
      <c r="X23" s="525">
        <f t="shared" si="8"/>
        <v>1</v>
      </c>
      <c r="Y23" s="649">
        <f>'Input data'!$G$35</f>
        <v>0.66241124199764068</v>
      </c>
      <c r="Z23" s="525">
        <f>'Input data'!$H$35</f>
        <v>0.33758875800235938</v>
      </c>
      <c r="AA23" s="523">
        <f>'Input data'!J67</f>
        <v>28.161493315089835</v>
      </c>
      <c r="AB23" s="236">
        <f>'Input data'!L67</f>
        <v>24687.422565292898</v>
      </c>
      <c r="AC23" s="417">
        <f t="shared" si="19"/>
        <v>0.88463681982043585</v>
      </c>
      <c r="AD23" s="417">
        <f t="shared" si="19"/>
        <v>8.8860692477895534E-2</v>
      </c>
      <c r="AE23" s="417">
        <f t="shared" si="19"/>
        <v>0</v>
      </c>
      <c r="AF23" s="417">
        <f t="shared" si="19"/>
        <v>2.6502487701668711E-2</v>
      </c>
      <c r="AG23" s="417">
        <f t="shared" si="20"/>
        <v>1</v>
      </c>
      <c r="AH23" s="436">
        <f t="shared" si="21"/>
        <v>0.78201761382701329</v>
      </c>
      <c r="AI23" s="1233">
        <f t="shared" si="21"/>
        <v>0.21798238617298668</v>
      </c>
      <c r="AK23" s="542">
        <f t="shared" si="0"/>
        <v>1967</v>
      </c>
      <c r="AL23" s="235">
        <f t="shared" si="1"/>
        <v>4171.4070956812802</v>
      </c>
      <c r="AM23" s="419">
        <f t="shared" si="2"/>
        <v>379.93820633010108</v>
      </c>
      <c r="AN23" s="419">
        <f t="shared" si="3"/>
        <v>193.63026932607497</v>
      </c>
      <c r="AO23" s="419">
        <f t="shared" si="4"/>
        <v>469.28329826414398</v>
      </c>
      <c r="AP23" s="419">
        <f t="shared" si="5"/>
        <v>0</v>
      </c>
      <c r="AQ23" s="237">
        <f t="shared" si="10"/>
        <v>5214.2588696016001</v>
      </c>
      <c r="AS23" s="527">
        <f t="shared" si="11"/>
        <v>21839.402987723977</v>
      </c>
      <c r="AT23" s="775">
        <f t="shared" si="12"/>
        <v>1715.5444655361168</v>
      </c>
      <c r="AU23" s="775">
        <f t="shared" si="13"/>
        <v>478.19699911023429</v>
      </c>
      <c r="AV23" s="419">
        <f t="shared" si="14"/>
        <v>0</v>
      </c>
      <c r="AW23" s="775">
        <f t="shared" si="15"/>
        <v>654.27811292257365</v>
      </c>
      <c r="AX23" s="530">
        <f t="shared" si="16"/>
        <v>24687.422565292902</v>
      </c>
      <c r="AZ23" s="684">
        <f t="shared" si="22"/>
        <v>29.901681434894503</v>
      </c>
      <c r="BA23" s="417">
        <f t="shared" si="17"/>
        <v>0.13012215918228248</v>
      </c>
      <c r="BB23" s="205">
        <f>'Input data'!D67/10^6</f>
        <v>0</v>
      </c>
    </row>
    <row r="24" spans="1:54">
      <c r="A24" s="542">
        <f>'Input data'!A68</f>
        <v>1968</v>
      </c>
      <c r="B24" s="1232">
        <f>'Input data'!I68</f>
        <v>578.73</v>
      </c>
      <c r="C24" s="237">
        <f>B24*'Input data'!B68</f>
        <v>5371.1272473768013</v>
      </c>
      <c r="D24" s="649">
        <f>'Input data'!N68</f>
        <v>0.19892488097366726</v>
      </c>
      <c r="E24" s="417">
        <f>'Input data'!O68</f>
        <v>0.26585903447659598</v>
      </c>
      <c r="F24" s="417">
        <f>'Input data'!P68</f>
        <v>8.9228108703258049E-2</v>
      </c>
      <c r="G24" s="417">
        <f>'Input data'!Q68</f>
        <v>0</v>
      </c>
      <c r="H24" s="417">
        <f>'Input data'!R68</f>
        <v>0</v>
      </c>
      <c r="I24" s="417">
        <f>'Input data'!S68</f>
        <v>0</v>
      </c>
      <c r="J24" s="417">
        <f>'Input data'!T68</f>
        <v>0.4459879758464787</v>
      </c>
      <c r="K24" s="525">
        <f>'Input data'!U68</f>
        <v>1</v>
      </c>
      <c r="L24" s="649">
        <f>'Input data'!V68</f>
        <v>0.29028184578274857</v>
      </c>
      <c r="M24" s="417">
        <f>'Input data'!W68</f>
        <v>0.30317187715157518</v>
      </c>
      <c r="N24" s="417">
        <f>'Input data'!X68</f>
        <v>8.2805443243048754E-2</v>
      </c>
      <c r="O24" s="417">
        <f>'Input data'!Y68</f>
        <v>0</v>
      </c>
      <c r="P24" s="417">
        <f>'Input data'!Z68</f>
        <v>0</v>
      </c>
      <c r="Q24" s="417">
        <f>'Input data'!AA68</f>
        <v>0</v>
      </c>
      <c r="R24" s="417">
        <f>'Input data'!AB68</f>
        <v>0.32374083382262742</v>
      </c>
      <c r="S24" s="417">
        <f t="shared" si="6"/>
        <v>0.99999999999999989</v>
      </c>
      <c r="T24" s="649">
        <f t="shared" ref="T24:W39" si="23">T23</f>
        <v>0.8</v>
      </c>
      <c r="U24" s="417">
        <f t="shared" si="23"/>
        <v>0.11</v>
      </c>
      <c r="V24" s="417">
        <f t="shared" si="23"/>
        <v>0.09</v>
      </c>
      <c r="W24" s="417">
        <f t="shared" si="23"/>
        <v>0</v>
      </c>
      <c r="X24" s="525">
        <f t="shared" si="8"/>
        <v>1</v>
      </c>
      <c r="Y24" s="649">
        <f>'Input data'!$G$35</f>
        <v>0.66241124199764068</v>
      </c>
      <c r="Z24" s="525">
        <f>'Input data'!$H$35</f>
        <v>0.33758875800235938</v>
      </c>
      <c r="AA24" s="523">
        <f>'Input data'!J68</f>
        <v>28.161493315089835</v>
      </c>
      <c r="AB24" s="236">
        <f>'Input data'!L68</f>
        <v>25712.801037541321</v>
      </c>
      <c r="AC24" s="417">
        <f t="shared" ref="AC24:AF39" si="24">AC23</f>
        <v>0.88463681982043585</v>
      </c>
      <c r="AD24" s="417">
        <f t="shared" si="24"/>
        <v>8.8860692477895534E-2</v>
      </c>
      <c r="AE24" s="417">
        <f t="shared" si="24"/>
        <v>0</v>
      </c>
      <c r="AF24" s="417">
        <f t="shared" si="24"/>
        <v>2.6502487701668711E-2</v>
      </c>
      <c r="AG24" s="417">
        <f t="shared" si="20"/>
        <v>1</v>
      </c>
      <c r="AH24" s="436">
        <f t="shared" ref="AH24:AI39" si="25">AH23</f>
        <v>0.78201761382701329</v>
      </c>
      <c r="AI24" s="1233">
        <f t="shared" si="25"/>
        <v>0.21798238617298668</v>
      </c>
      <c r="AK24" s="542">
        <f t="shared" si="0"/>
        <v>1968</v>
      </c>
      <c r="AL24" s="235">
        <f t="shared" si="1"/>
        <v>4296.9017979014416</v>
      </c>
      <c r="AM24" s="419">
        <f t="shared" si="2"/>
        <v>391.36845779484594</v>
      </c>
      <c r="AN24" s="419">
        <f t="shared" si="3"/>
        <v>199.45553941660222</v>
      </c>
      <c r="AO24" s="419">
        <f t="shared" si="4"/>
        <v>483.40145226391212</v>
      </c>
      <c r="AP24" s="419">
        <f t="shared" si="5"/>
        <v>0</v>
      </c>
      <c r="AQ24" s="237">
        <f t="shared" si="10"/>
        <v>5371.1272473768013</v>
      </c>
      <c r="AS24" s="527">
        <f t="shared" si="11"/>
        <v>22746.490538526159</v>
      </c>
      <c r="AT24" s="775">
        <f t="shared" si="12"/>
        <v>1786.7986581717907</v>
      </c>
      <c r="AU24" s="775">
        <f t="shared" si="13"/>
        <v>498.05864757048198</v>
      </c>
      <c r="AV24" s="419">
        <f t="shared" si="14"/>
        <v>0</v>
      </c>
      <c r="AW24" s="775">
        <f t="shared" si="15"/>
        <v>681.45319327289337</v>
      </c>
      <c r="AX24" s="530">
        <f t="shared" si="16"/>
        <v>25712.801037541325</v>
      </c>
      <c r="AZ24" s="684">
        <f t="shared" si="22"/>
        <v>31.083928284918127</v>
      </c>
      <c r="BA24" s="417">
        <f t="shared" si="17"/>
        <v>0.12998794462059632</v>
      </c>
      <c r="BB24" s="205">
        <f>'Input data'!D68/10^6</f>
        <v>0</v>
      </c>
    </row>
    <row r="25" spans="1:54">
      <c r="A25" s="542">
        <f>'Input data'!A69</f>
        <v>1969</v>
      </c>
      <c r="B25" s="1232">
        <f>'Input data'!I69</f>
        <v>578.73</v>
      </c>
      <c r="C25" s="237">
        <f>B25*'Input data'!B69</f>
        <v>5529.1289636856</v>
      </c>
      <c r="D25" s="649">
        <f>'Input data'!N69</f>
        <v>0.19892488097366726</v>
      </c>
      <c r="E25" s="417">
        <f>'Input data'!O69</f>
        <v>0.26585903447659598</v>
      </c>
      <c r="F25" s="417">
        <f>'Input data'!P69</f>
        <v>8.9228108703258049E-2</v>
      </c>
      <c r="G25" s="417">
        <f>'Input data'!Q69</f>
        <v>0</v>
      </c>
      <c r="H25" s="417">
        <f>'Input data'!R69</f>
        <v>0</v>
      </c>
      <c r="I25" s="417">
        <f>'Input data'!S69</f>
        <v>0</v>
      </c>
      <c r="J25" s="417">
        <f>'Input data'!T69</f>
        <v>0.4459879758464787</v>
      </c>
      <c r="K25" s="525">
        <f>'Input data'!U69</f>
        <v>1</v>
      </c>
      <c r="L25" s="649">
        <f>'Input data'!V69</f>
        <v>0.29028184578274857</v>
      </c>
      <c r="M25" s="417">
        <f>'Input data'!W69</f>
        <v>0.30317187715157518</v>
      </c>
      <c r="N25" s="417">
        <f>'Input data'!X69</f>
        <v>8.2805443243048754E-2</v>
      </c>
      <c r="O25" s="417">
        <f>'Input data'!Y69</f>
        <v>0</v>
      </c>
      <c r="P25" s="417">
        <f>'Input data'!Z69</f>
        <v>0</v>
      </c>
      <c r="Q25" s="417">
        <f>'Input data'!AA69</f>
        <v>0</v>
      </c>
      <c r="R25" s="417">
        <f>'Input data'!AB69</f>
        <v>0.32374083382262742</v>
      </c>
      <c r="S25" s="417">
        <f t="shared" si="6"/>
        <v>0.99999999999999989</v>
      </c>
      <c r="T25" s="649">
        <f t="shared" si="23"/>
        <v>0.8</v>
      </c>
      <c r="U25" s="417">
        <f t="shared" si="23"/>
        <v>0.11</v>
      </c>
      <c r="V25" s="417">
        <f t="shared" si="23"/>
        <v>0.09</v>
      </c>
      <c r="W25" s="417">
        <f t="shared" si="23"/>
        <v>0</v>
      </c>
      <c r="X25" s="525">
        <f t="shared" si="8"/>
        <v>1</v>
      </c>
      <c r="Y25" s="649">
        <f>'Input data'!$G$35</f>
        <v>0.66241124199764068</v>
      </c>
      <c r="Z25" s="525">
        <f>'Input data'!$H$35</f>
        <v>0.33758875800235938</v>
      </c>
      <c r="AA25" s="523">
        <f>'Input data'!J69</f>
        <v>28.161493315089835</v>
      </c>
      <c r="AB25" s="236">
        <f>'Input data'!L69</f>
        <v>26925.373179300965</v>
      </c>
      <c r="AC25" s="417">
        <f t="shared" si="24"/>
        <v>0.88463681982043585</v>
      </c>
      <c r="AD25" s="417">
        <f t="shared" si="24"/>
        <v>8.8860692477895534E-2</v>
      </c>
      <c r="AE25" s="417">
        <f t="shared" si="24"/>
        <v>0</v>
      </c>
      <c r="AF25" s="417">
        <f t="shared" si="24"/>
        <v>2.6502487701668711E-2</v>
      </c>
      <c r="AG25" s="417">
        <f t="shared" si="20"/>
        <v>1</v>
      </c>
      <c r="AH25" s="436">
        <f t="shared" si="25"/>
        <v>0.78201761382701329</v>
      </c>
      <c r="AI25" s="1233">
        <f t="shared" si="25"/>
        <v>0.21798238617298668</v>
      </c>
      <c r="AK25" s="542">
        <f t="shared" si="0"/>
        <v>1969</v>
      </c>
      <c r="AL25" s="235">
        <f t="shared" si="1"/>
        <v>4423.3031709484803</v>
      </c>
      <c r="AM25" s="419">
        <f t="shared" si="2"/>
        <v>402.88129024001171</v>
      </c>
      <c r="AN25" s="419">
        <f t="shared" si="3"/>
        <v>205.32289576540435</v>
      </c>
      <c r="AO25" s="419">
        <f t="shared" si="4"/>
        <v>497.62160673170399</v>
      </c>
      <c r="AP25" s="419">
        <f t="shared" si="5"/>
        <v>0</v>
      </c>
      <c r="AQ25" s="237">
        <f t="shared" si="10"/>
        <v>5529.1289636856</v>
      </c>
      <c r="AS25" s="527">
        <f t="shared" si="11"/>
        <v>23819.176501815262</v>
      </c>
      <c r="AT25" s="775">
        <f t="shared" si="12"/>
        <v>1871.0610562150571</v>
      </c>
      <c r="AU25" s="775">
        <f t="shared" si="13"/>
        <v>521.54624972338218</v>
      </c>
      <c r="AV25" s="419">
        <f t="shared" si="14"/>
        <v>0</v>
      </c>
      <c r="AW25" s="775">
        <f t="shared" si="15"/>
        <v>713.58937154726436</v>
      </c>
      <c r="AX25" s="530">
        <f t="shared" si="16"/>
        <v>26925.373179300965</v>
      </c>
      <c r="AZ25" s="684">
        <f t="shared" si="22"/>
        <v>32.454502142986563</v>
      </c>
      <c r="BA25" s="417">
        <f t="shared" si="17"/>
        <v>0.12978237816330343</v>
      </c>
      <c r="BB25" s="205">
        <f>'Input data'!D69/10^6</f>
        <v>0</v>
      </c>
    </row>
    <row r="26" spans="1:54">
      <c r="A26" s="542">
        <f>'Input data'!A70</f>
        <v>1970</v>
      </c>
      <c r="B26" s="1232">
        <f>'Input data'!I70</f>
        <v>578.73</v>
      </c>
      <c r="C26" s="237">
        <f>B26*'Input data'!B70</f>
        <v>5688.2640185279997</v>
      </c>
      <c r="D26" s="649">
        <f>'Input data'!N70</f>
        <v>0.19892488097366726</v>
      </c>
      <c r="E26" s="417">
        <f>'Input data'!O70</f>
        <v>0.26585903447659598</v>
      </c>
      <c r="F26" s="417">
        <f>'Input data'!P70</f>
        <v>8.9228108703258049E-2</v>
      </c>
      <c r="G26" s="417">
        <f>'Input data'!Q70</f>
        <v>0</v>
      </c>
      <c r="H26" s="417">
        <f>'Input data'!R70</f>
        <v>0</v>
      </c>
      <c r="I26" s="417">
        <f>'Input data'!S70</f>
        <v>0</v>
      </c>
      <c r="J26" s="417">
        <f>'Input data'!T70</f>
        <v>0.4459879758464787</v>
      </c>
      <c r="K26" s="525">
        <f>'Input data'!U70</f>
        <v>1</v>
      </c>
      <c r="L26" s="649">
        <f>'Input data'!V70</f>
        <v>0.29028184578274857</v>
      </c>
      <c r="M26" s="417">
        <f>'Input data'!W70</f>
        <v>0.30317187715157518</v>
      </c>
      <c r="N26" s="417">
        <f>'Input data'!X70</f>
        <v>8.2805443243048754E-2</v>
      </c>
      <c r="O26" s="417">
        <f>'Input data'!Y70</f>
        <v>0</v>
      </c>
      <c r="P26" s="417">
        <f>'Input data'!Z70</f>
        <v>0</v>
      </c>
      <c r="Q26" s="417">
        <f>'Input data'!AA70</f>
        <v>0</v>
      </c>
      <c r="R26" s="417">
        <f>'Input data'!AB70</f>
        <v>0.32374083382262742</v>
      </c>
      <c r="S26" s="417">
        <f t="shared" si="6"/>
        <v>0.99999999999999989</v>
      </c>
      <c r="T26" s="649">
        <f t="shared" si="23"/>
        <v>0.8</v>
      </c>
      <c r="U26" s="417">
        <f t="shared" si="23"/>
        <v>0.11</v>
      </c>
      <c r="V26" s="417">
        <f t="shared" si="23"/>
        <v>0.09</v>
      </c>
      <c r="W26" s="417">
        <f t="shared" si="23"/>
        <v>0</v>
      </c>
      <c r="X26" s="525">
        <f t="shared" si="8"/>
        <v>1</v>
      </c>
      <c r="Y26" s="649">
        <f>'Input data'!$G$35</f>
        <v>0.66241124199764068</v>
      </c>
      <c r="Z26" s="525">
        <f>'Input data'!$H$35</f>
        <v>0.33758875800235938</v>
      </c>
      <c r="AA26" s="523">
        <f>'Input data'!J70</f>
        <v>28.161493315089835</v>
      </c>
      <c r="AB26" s="236">
        <f>'Input data'!L70</f>
        <v>28338.598277115165</v>
      </c>
      <c r="AC26" s="417">
        <f t="shared" si="24"/>
        <v>0.88463681982043585</v>
      </c>
      <c r="AD26" s="417">
        <f t="shared" si="24"/>
        <v>8.8860692477895534E-2</v>
      </c>
      <c r="AE26" s="417">
        <f t="shared" si="24"/>
        <v>0</v>
      </c>
      <c r="AF26" s="417">
        <f t="shared" si="24"/>
        <v>2.6502487701668711E-2</v>
      </c>
      <c r="AG26" s="417">
        <f t="shared" si="20"/>
        <v>1</v>
      </c>
      <c r="AH26" s="436">
        <f t="shared" si="25"/>
        <v>0.78201761382701329</v>
      </c>
      <c r="AI26" s="1233">
        <f t="shared" si="25"/>
        <v>0.21798238617298668</v>
      </c>
      <c r="AK26" s="542">
        <f t="shared" si="0"/>
        <v>1970</v>
      </c>
      <c r="AL26" s="235">
        <f t="shared" si="1"/>
        <v>4550.6112148224001</v>
      </c>
      <c r="AM26" s="419">
        <f t="shared" si="2"/>
        <v>414.47670366559851</v>
      </c>
      <c r="AN26" s="419">
        <f t="shared" si="3"/>
        <v>211.23233837248148</v>
      </c>
      <c r="AO26" s="419">
        <f t="shared" si="4"/>
        <v>511.94376166751994</v>
      </c>
      <c r="AP26" s="419">
        <f t="shared" si="5"/>
        <v>0</v>
      </c>
      <c r="AQ26" s="237">
        <f t="shared" si="10"/>
        <v>5688.2640185279997</v>
      </c>
      <c r="AS26" s="527">
        <f t="shared" si="11"/>
        <v>25069.367458036042</v>
      </c>
      <c r="AT26" s="775">
        <f t="shared" si="12"/>
        <v>1969.2669539226747</v>
      </c>
      <c r="AU26" s="775">
        <f t="shared" si="13"/>
        <v>548.92051283467595</v>
      </c>
      <c r="AV26" s="419">
        <f t="shared" si="14"/>
        <v>0</v>
      </c>
      <c r="AW26" s="775">
        <f t="shared" si="15"/>
        <v>751.04335232177482</v>
      </c>
      <c r="AX26" s="530">
        <f t="shared" si="16"/>
        <v>28338.598277115168</v>
      </c>
      <c r="AZ26" s="684">
        <f t="shared" si="22"/>
        <v>34.026862295643163</v>
      </c>
      <c r="BA26" s="417">
        <f t="shared" si="17"/>
        <v>0.12951190105321536</v>
      </c>
      <c r="BB26" s="205">
        <f>'Input data'!D70/10^6</f>
        <v>0</v>
      </c>
    </row>
    <row r="27" spans="1:54">
      <c r="A27" s="542">
        <f>'Input data'!A71</f>
        <v>1971</v>
      </c>
      <c r="B27" s="1232">
        <f>'Input data'!I71</f>
        <v>578.73</v>
      </c>
      <c r="C27" s="237">
        <f>B27*'Input data'!B71</f>
        <v>11903.214468600001</v>
      </c>
      <c r="D27" s="649">
        <f>'Input data'!N71</f>
        <v>0.19892488097366726</v>
      </c>
      <c r="E27" s="417">
        <f>'Input data'!O71</f>
        <v>0.26585903447659598</v>
      </c>
      <c r="F27" s="417">
        <f>'Input data'!P71</f>
        <v>8.9228108703258049E-2</v>
      </c>
      <c r="G27" s="417">
        <f>'Input data'!Q71</f>
        <v>0</v>
      </c>
      <c r="H27" s="417">
        <f>'Input data'!R71</f>
        <v>0</v>
      </c>
      <c r="I27" s="417">
        <f>'Input data'!S71</f>
        <v>0</v>
      </c>
      <c r="J27" s="417">
        <f>'Input data'!T71</f>
        <v>0.4459879758464787</v>
      </c>
      <c r="K27" s="525">
        <f>'Input data'!U71</f>
        <v>1</v>
      </c>
      <c r="L27" s="649">
        <f>'Input data'!V71</f>
        <v>0.29028184578274857</v>
      </c>
      <c r="M27" s="417">
        <f>'Input data'!W71</f>
        <v>0.30317187715157518</v>
      </c>
      <c r="N27" s="417">
        <f>'Input data'!X71</f>
        <v>8.2805443243048754E-2</v>
      </c>
      <c r="O27" s="417">
        <f>'Input data'!Y71</f>
        <v>0</v>
      </c>
      <c r="P27" s="417">
        <f>'Input data'!Z71</f>
        <v>0</v>
      </c>
      <c r="Q27" s="417">
        <f>'Input data'!AA71</f>
        <v>0</v>
      </c>
      <c r="R27" s="417">
        <f>'Input data'!AB71</f>
        <v>0.32374083382262742</v>
      </c>
      <c r="S27" s="417">
        <f t="shared" si="6"/>
        <v>0.99999999999999989</v>
      </c>
      <c r="T27" s="649">
        <f t="shared" si="23"/>
        <v>0.8</v>
      </c>
      <c r="U27" s="417">
        <f t="shared" si="23"/>
        <v>0.11</v>
      </c>
      <c r="V27" s="417">
        <f t="shared" si="23"/>
        <v>0.09</v>
      </c>
      <c r="W27" s="417">
        <f t="shared" si="23"/>
        <v>0</v>
      </c>
      <c r="X27" s="525">
        <f t="shared" si="8"/>
        <v>1</v>
      </c>
      <c r="Y27" s="649">
        <f>'Input data'!$G$35</f>
        <v>0.66241124199764068</v>
      </c>
      <c r="Z27" s="525">
        <f>'Input data'!$H$35</f>
        <v>0.33758875800235938</v>
      </c>
      <c r="AA27" s="523">
        <f>'Input data'!J71</f>
        <v>28.161493315089835</v>
      </c>
      <c r="AB27" s="236">
        <f>'Input data'!L71</f>
        <v>29551.198517386027</v>
      </c>
      <c r="AC27" s="417">
        <f t="shared" si="24"/>
        <v>0.88463681982043585</v>
      </c>
      <c r="AD27" s="417">
        <f t="shared" si="24"/>
        <v>8.8860692477895534E-2</v>
      </c>
      <c r="AE27" s="417">
        <f t="shared" si="24"/>
        <v>0</v>
      </c>
      <c r="AF27" s="417">
        <f t="shared" si="24"/>
        <v>2.6502487701668711E-2</v>
      </c>
      <c r="AG27" s="417">
        <f t="shared" si="20"/>
        <v>1</v>
      </c>
      <c r="AH27" s="436">
        <f t="shared" si="25"/>
        <v>0.78201761382701329</v>
      </c>
      <c r="AI27" s="1233">
        <f t="shared" si="25"/>
        <v>0.21798238617298668</v>
      </c>
      <c r="AK27" s="542">
        <f t="shared" si="0"/>
        <v>1971</v>
      </c>
      <c r="AL27" s="235">
        <f t="shared" si="1"/>
        <v>9522.5715748800012</v>
      </c>
      <c r="AM27" s="419">
        <f t="shared" si="2"/>
        <v>867.3305387900574</v>
      </c>
      <c r="AN27" s="419">
        <f t="shared" si="3"/>
        <v>442.02305275594279</v>
      </c>
      <c r="AO27" s="419">
        <f t="shared" si="4"/>
        <v>1071.2893021740001</v>
      </c>
      <c r="AP27" s="419">
        <f t="shared" si="5"/>
        <v>0</v>
      </c>
      <c r="AQ27" s="237">
        <f t="shared" si="10"/>
        <v>11903.214468600003</v>
      </c>
      <c r="AS27" s="527">
        <f t="shared" si="11"/>
        <v>26142.078278302753</v>
      </c>
      <c r="AT27" s="775">
        <f t="shared" si="12"/>
        <v>2053.5313045490952</v>
      </c>
      <c r="AU27" s="775">
        <f t="shared" si="13"/>
        <v>572.40865925758681</v>
      </c>
      <c r="AV27" s="419">
        <f t="shared" si="14"/>
        <v>0</v>
      </c>
      <c r="AW27" s="775">
        <f t="shared" si="15"/>
        <v>783.18027527659376</v>
      </c>
      <c r="AX27" s="530">
        <f t="shared" si="16"/>
        <v>29551.19851738603</v>
      </c>
      <c r="AZ27" s="684">
        <f t="shared" si="22"/>
        <v>41.454412985986032</v>
      </c>
      <c r="BA27" s="417">
        <f t="shared" si="17"/>
        <v>0.13966578503380447</v>
      </c>
      <c r="BB27" s="205">
        <f>'Input data'!D71/10^6</f>
        <v>0</v>
      </c>
    </row>
    <row r="28" spans="1:54">
      <c r="A28" s="542">
        <f>'Input data'!A72</f>
        <v>1972</v>
      </c>
      <c r="B28" s="1232">
        <f>'Input data'!I72</f>
        <v>578.73</v>
      </c>
      <c r="C28" s="237">
        <f>B28*'Input data'!B72</f>
        <v>12179.1760818</v>
      </c>
      <c r="D28" s="649">
        <f>'Input data'!N72</f>
        <v>0.19892488097366726</v>
      </c>
      <c r="E28" s="417">
        <f>'Input data'!O72</f>
        <v>0.26585903447659598</v>
      </c>
      <c r="F28" s="417">
        <f>'Input data'!P72</f>
        <v>8.9228108703258049E-2</v>
      </c>
      <c r="G28" s="417">
        <f>'Input data'!Q72</f>
        <v>0</v>
      </c>
      <c r="H28" s="417">
        <f>'Input data'!R72</f>
        <v>0</v>
      </c>
      <c r="I28" s="417">
        <f>'Input data'!S72</f>
        <v>0</v>
      </c>
      <c r="J28" s="417">
        <f>'Input data'!T72</f>
        <v>0.4459879758464787</v>
      </c>
      <c r="K28" s="525">
        <f>'Input data'!U72</f>
        <v>1</v>
      </c>
      <c r="L28" s="649">
        <f>'Input data'!V72</f>
        <v>0.29028184578274857</v>
      </c>
      <c r="M28" s="417">
        <f>'Input data'!W72</f>
        <v>0.30317187715157518</v>
      </c>
      <c r="N28" s="417">
        <f>'Input data'!X72</f>
        <v>8.2805443243048754E-2</v>
      </c>
      <c r="O28" s="417">
        <f>'Input data'!Y72</f>
        <v>0</v>
      </c>
      <c r="P28" s="417">
        <f>'Input data'!Z72</f>
        <v>0</v>
      </c>
      <c r="Q28" s="417">
        <f>'Input data'!AA72</f>
        <v>0</v>
      </c>
      <c r="R28" s="417">
        <f>'Input data'!AB72</f>
        <v>0.32374083382262742</v>
      </c>
      <c r="S28" s="417">
        <f t="shared" si="6"/>
        <v>0.99999999999999989</v>
      </c>
      <c r="T28" s="649">
        <f t="shared" si="23"/>
        <v>0.8</v>
      </c>
      <c r="U28" s="417">
        <f t="shared" si="23"/>
        <v>0.11</v>
      </c>
      <c r="V28" s="417">
        <f t="shared" si="23"/>
        <v>0.09</v>
      </c>
      <c r="W28" s="417">
        <f t="shared" si="23"/>
        <v>0</v>
      </c>
      <c r="X28" s="525">
        <f t="shared" si="8"/>
        <v>1</v>
      </c>
      <c r="Y28" s="649">
        <f>'Input data'!$G$35</f>
        <v>0.66241124199764068</v>
      </c>
      <c r="Z28" s="525">
        <f>'Input data'!$H$35</f>
        <v>0.33758875800235938</v>
      </c>
      <c r="AA28" s="523">
        <f>'Input data'!J72</f>
        <v>28.161493315089835</v>
      </c>
      <c r="AB28" s="236">
        <f>'Input data'!L72</f>
        <v>30040.200533112282</v>
      </c>
      <c r="AC28" s="417">
        <f t="shared" si="24"/>
        <v>0.88463681982043585</v>
      </c>
      <c r="AD28" s="417">
        <f t="shared" si="24"/>
        <v>8.8860692477895534E-2</v>
      </c>
      <c r="AE28" s="417">
        <f t="shared" si="24"/>
        <v>0</v>
      </c>
      <c r="AF28" s="417">
        <f t="shared" si="24"/>
        <v>2.6502487701668711E-2</v>
      </c>
      <c r="AG28" s="417">
        <f t="shared" si="20"/>
        <v>1</v>
      </c>
      <c r="AH28" s="436">
        <f t="shared" si="25"/>
        <v>0.78201761382701329</v>
      </c>
      <c r="AI28" s="1233">
        <f t="shared" si="25"/>
        <v>0.21798238617298668</v>
      </c>
      <c r="AK28" s="542">
        <f t="shared" si="0"/>
        <v>1972</v>
      </c>
      <c r="AL28" s="235">
        <f t="shared" si="1"/>
        <v>9743.3408654400009</v>
      </c>
      <c r="AM28" s="419">
        <f t="shared" si="2"/>
        <v>887.43854703384068</v>
      </c>
      <c r="AN28" s="419">
        <f t="shared" si="3"/>
        <v>452.27082196415938</v>
      </c>
      <c r="AO28" s="419">
        <f t="shared" si="4"/>
        <v>1096.1258473620001</v>
      </c>
      <c r="AP28" s="419">
        <f t="shared" si="5"/>
        <v>0</v>
      </c>
      <c r="AQ28" s="237">
        <f t="shared" si="10"/>
        <v>12179.1760818</v>
      </c>
      <c r="AS28" s="527">
        <f t="shared" si="11"/>
        <v>26574.667466380612</v>
      </c>
      <c r="AT28" s="775">
        <f t="shared" si="12"/>
        <v>2087.5123610768255</v>
      </c>
      <c r="AU28" s="775">
        <f t="shared" si="13"/>
        <v>581.88066047037842</v>
      </c>
      <c r="AV28" s="419">
        <f t="shared" si="14"/>
        <v>0</v>
      </c>
      <c r="AW28" s="775">
        <f t="shared" si="15"/>
        <v>796.14004518447007</v>
      </c>
      <c r="AX28" s="530">
        <f t="shared" si="16"/>
        <v>30040.200533112285</v>
      </c>
      <c r="AZ28" s="684">
        <f t="shared" si="22"/>
        <v>42.219376614912278</v>
      </c>
      <c r="BA28" s="417">
        <f t="shared" si="17"/>
        <v>0.1397786693280367</v>
      </c>
      <c r="BB28" s="205">
        <f>'Input data'!D72/10^6</f>
        <v>0</v>
      </c>
    </row>
    <row r="29" spans="1:54">
      <c r="A29" s="542">
        <f>'Input data'!A73</f>
        <v>1973</v>
      </c>
      <c r="B29" s="1232">
        <f>'Input data'!I73</f>
        <v>578.73</v>
      </c>
      <c r="C29" s="237">
        <f>B29*'Input data'!B73</f>
        <v>12458.2975608</v>
      </c>
      <c r="D29" s="649">
        <f>'Input data'!N73</f>
        <v>0.19892488097366726</v>
      </c>
      <c r="E29" s="417">
        <f>'Input data'!O73</f>
        <v>0.26585903447659598</v>
      </c>
      <c r="F29" s="417">
        <f>'Input data'!P73</f>
        <v>8.9228108703258049E-2</v>
      </c>
      <c r="G29" s="417">
        <f>'Input data'!Q73</f>
        <v>0</v>
      </c>
      <c r="H29" s="417">
        <f>'Input data'!R73</f>
        <v>0</v>
      </c>
      <c r="I29" s="417">
        <f>'Input data'!S73</f>
        <v>0</v>
      </c>
      <c r="J29" s="417">
        <f>'Input data'!T73</f>
        <v>0.4459879758464787</v>
      </c>
      <c r="K29" s="525">
        <f>'Input data'!U73</f>
        <v>1</v>
      </c>
      <c r="L29" s="649">
        <f>'Input data'!V73</f>
        <v>0.29028184578274857</v>
      </c>
      <c r="M29" s="417">
        <f>'Input data'!W73</f>
        <v>0.30317187715157518</v>
      </c>
      <c r="N29" s="417">
        <f>'Input data'!X73</f>
        <v>8.2805443243048754E-2</v>
      </c>
      <c r="O29" s="417">
        <f>'Input data'!Y73</f>
        <v>0</v>
      </c>
      <c r="P29" s="417">
        <f>'Input data'!Z73</f>
        <v>0</v>
      </c>
      <c r="Q29" s="417">
        <f>'Input data'!AA73</f>
        <v>0</v>
      </c>
      <c r="R29" s="417">
        <f>'Input data'!AB73</f>
        <v>0.32374083382262742</v>
      </c>
      <c r="S29" s="417">
        <f t="shared" si="6"/>
        <v>0.99999999999999989</v>
      </c>
      <c r="T29" s="649">
        <f t="shared" si="23"/>
        <v>0.8</v>
      </c>
      <c r="U29" s="417">
        <f t="shared" si="23"/>
        <v>0.11</v>
      </c>
      <c r="V29" s="417">
        <f t="shared" si="23"/>
        <v>0.09</v>
      </c>
      <c r="W29" s="417">
        <f t="shared" si="23"/>
        <v>0</v>
      </c>
      <c r="X29" s="525">
        <f t="shared" si="8"/>
        <v>1</v>
      </c>
      <c r="Y29" s="649">
        <f>'Input data'!$G$35</f>
        <v>0.66241124199764068</v>
      </c>
      <c r="Z29" s="525">
        <f>'Input data'!$H$35</f>
        <v>0.33758875800235938</v>
      </c>
      <c r="AA29" s="523">
        <f>'Input data'!J73</f>
        <v>28.161493315089835</v>
      </c>
      <c r="AB29" s="236">
        <f>'Input data'!L73</f>
        <v>31413.637843906185</v>
      </c>
      <c r="AC29" s="417">
        <f t="shared" si="24"/>
        <v>0.88463681982043585</v>
      </c>
      <c r="AD29" s="417">
        <f t="shared" si="24"/>
        <v>8.8860692477895534E-2</v>
      </c>
      <c r="AE29" s="417">
        <f t="shared" si="24"/>
        <v>0</v>
      </c>
      <c r="AF29" s="417">
        <f t="shared" si="24"/>
        <v>2.6502487701668711E-2</v>
      </c>
      <c r="AG29" s="417">
        <f t="shared" si="20"/>
        <v>1</v>
      </c>
      <c r="AH29" s="436">
        <f t="shared" si="25"/>
        <v>0.78201761382701329</v>
      </c>
      <c r="AI29" s="1233">
        <f t="shared" si="25"/>
        <v>0.21798238617298668</v>
      </c>
      <c r="AK29" s="542">
        <f t="shared" si="0"/>
        <v>1973</v>
      </c>
      <c r="AL29" s="235">
        <f t="shared" si="1"/>
        <v>9966.6380486400012</v>
      </c>
      <c r="AM29" s="419">
        <f t="shared" si="2"/>
        <v>907.7767996468275</v>
      </c>
      <c r="AN29" s="419">
        <f t="shared" si="3"/>
        <v>462.63593204117245</v>
      </c>
      <c r="AO29" s="419">
        <f t="shared" si="4"/>
        <v>1121.246780472</v>
      </c>
      <c r="AP29" s="419">
        <f t="shared" si="5"/>
        <v>0</v>
      </c>
      <c r="AQ29" s="237">
        <f t="shared" si="10"/>
        <v>12458.297560800002</v>
      </c>
      <c r="AS29" s="527">
        <f t="shared" si="11"/>
        <v>27789.660681224061</v>
      </c>
      <c r="AT29" s="775">
        <f t="shared" si="12"/>
        <v>2182.9533805296123</v>
      </c>
      <c r="AU29" s="775">
        <f t="shared" si="13"/>
        <v>608.48423152971634</v>
      </c>
      <c r="AV29" s="419">
        <f t="shared" si="14"/>
        <v>0</v>
      </c>
      <c r="AW29" s="775">
        <f t="shared" si="15"/>
        <v>832.5395506227984</v>
      </c>
      <c r="AX29" s="530">
        <f t="shared" si="16"/>
        <v>31413.637843906188</v>
      </c>
      <c r="AZ29" s="684">
        <f t="shared" si="22"/>
        <v>43.871935404706193</v>
      </c>
      <c r="BA29" s="417">
        <f t="shared" si="17"/>
        <v>0.13939746716043214</v>
      </c>
      <c r="BB29" s="205">
        <f>'Input data'!D73/10^6</f>
        <v>0</v>
      </c>
    </row>
    <row r="30" spans="1:54">
      <c r="A30" s="542">
        <f>'Input data'!A74</f>
        <v>1974</v>
      </c>
      <c r="B30" s="1232">
        <f>'Input data'!I74</f>
        <v>578.73</v>
      </c>
      <c r="C30" s="237">
        <f>B30*'Input data'!B74</f>
        <v>12739.525617000001</v>
      </c>
      <c r="D30" s="649">
        <f>'Input data'!N74</f>
        <v>0.19892488097366726</v>
      </c>
      <c r="E30" s="417">
        <f>'Input data'!O74</f>
        <v>0.26585903447659598</v>
      </c>
      <c r="F30" s="417">
        <f>'Input data'!P74</f>
        <v>8.9228108703258049E-2</v>
      </c>
      <c r="G30" s="417">
        <f>'Input data'!Q74</f>
        <v>0</v>
      </c>
      <c r="H30" s="417">
        <f>'Input data'!R74</f>
        <v>0</v>
      </c>
      <c r="I30" s="417">
        <f>'Input data'!S74</f>
        <v>0</v>
      </c>
      <c r="J30" s="417">
        <f>'Input data'!T74</f>
        <v>0.4459879758464787</v>
      </c>
      <c r="K30" s="525">
        <f>'Input data'!U74</f>
        <v>1</v>
      </c>
      <c r="L30" s="649">
        <f>'Input data'!V74</f>
        <v>0.29028184578274857</v>
      </c>
      <c r="M30" s="417">
        <f>'Input data'!W74</f>
        <v>0.30317187715157518</v>
      </c>
      <c r="N30" s="417">
        <f>'Input data'!X74</f>
        <v>8.2805443243048754E-2</v>
      </c>
      <c r="O30" s="417">
        <f>'Input data'!Y74</f>
        <v>0</v>
      </c>
      <c r="P30" s="417">
        <f>'Input data'!Z74</f>
        <v>0</v>
      </c>
      <c r="Q30" s="417">
        <f>'Input data'!AA74</f>
        <v>0</v>
      </c>
      <c r="R30" s="417">
        <f>'Input data'!AB74</f>
        <v>0.32374083382262742</v>
      </c>
      <c r="S30" s="417">
        <f t="shared" si="6"/>
        <v>0.99999999999999989</v>
      </c>
      <c r="T30" s="649">
        <f t="shared" si="23"/>
        <v>0.8</v>
      </c>
      <c r="U30" s="417">
        <f t="shared" si="23"/>
        <v>0.11</v>
      </c>
      <c r="V30" s="417">
        <f t="shared" si="23"/>
        <v>0.09</v>
      </c>
      <c r="W30" s="417">
        <f t="shared" si="23"/>
        <v>0</v>
      </c>
      <c r="X30" s="525">
        <f t="shared" si="8"/>
        <v>1</v>
      </c>
      <c r="Y30" s="649">
        <f>'Input data'!$G$35</f>
        <v>0.66241124199764068</v>
      </c>
      <c r="Z30" s="525">
        <f>'Input data'!$H$35</f>
        <v>0.33758875800235938</v>
      </c>
      <c r="AA30" s="523">
        <f>'Input data'!J74</f>
        <v>28.161493315089835</v>
      </c>
      <c r="AB30" s="236">
        <f>'Input data'!L74</f>
        <v>33333.342360728602</v>
      </c>
      <c r="AC30" s="417">
        <f t="shared" si="24"/>
        <v>0.88463681982043585</v>
      </c>
      <c r="AD30" s="417">
        <f t="shared" si="24"/>
        <v>8.8860692477895534E-2</v>
      </c>
      <c r="AE30" s="417">
        <f t="shared" si="24"/>
        <v>0</v>
      </c>
      <c r="AF30" s="417">
        <f t="shared" si="24"/>
        <v>2.6502487701668711E-2</v>
      </c>
      <c r="AG30" s="417">
        <f t="shared" si="20"/>
        <v>1</v>
      </c>
      <c r="AH30" s="436">
        <f t="shared" si="25"/>
        <v>0.78201761382701329</v>
      </c>
      <c r="AI30" s="1233">
        <f t="shared" si="25"/>
        <v>0.21798238617298668</v>
      </c>
      <c r="AK30" s="542">
        <f t="shared" si="0"/>
        <v>1974</v>
      </c>
      <c r="AL30" s="235">
        <f t="shared" si="1"/>
        <v>10191.620493600001</v>
      </c>
      <c r="AM30" s="419">
        <f t="shared" si="2"/>
        <v>928.26854850595032</v>
      </c>
      <c r="AN30" s="419">
        <f t="shared" si="3"/>
        <v>473.07926936404988</v>
      </c>
      <c r="AO30" s="419">
        <f t="shared" si="4"/>
        <v>1146.5573055300001</v>
      </c>
      <c r="AP30" s="419">
        <f t="shared" si="5"/>
        <v>0</v>
      </c>
      <c r="AQ30" s="237">
        <f t="shared" si="10"/>
        <v>12739.525617000003</v>
      </c>
      <c r="AS30" s="527">
        <f t="shared" si="11"/>
        <v>29487.901979980772</v>
      </c>
      <c r="AT30" s="775">
        <f t="shared" si="12"/>
        <v>2316.3548504720175</v>
      </c>
      <c r="AU30" s="775">
        <f t="shared" si="13"/>
        <v>645.66903430509478</v>
      </c>
      <c r="AV30" s="419">
        <f t="shared" si="14"/>
        <v>0</v>
      </c>
      <c r="AW30" s="775">
        <f t="shared" si="15"/>
        <v>883.41649597072251</v>
      </c>
      <c r="AX30" s="530">
        <f t="shared" si="16"/>
        <v>33333.342360728602</v>
      </c>
      <c r="AZ30" s="684">
        <f t="shared" si="22"/>
        <v>46.072867977728606</v>
      </c>
      <c r="BA30" s="417">
        <f t="shared" si="17"/>
        <v>0.13876595455786125</v>
      </c>
      <c r="BB30" s="205">
        <f>'Input data'!D74/10^6</f>
        <v>0</v>
      </c>
    </row>
    <row r="31" spans="1:54">
      <c r="A31" s="542">
        <f>'Input data'!A75</f>
        <v>1975</v>
      </c>
      <c r="B31" s="1232">
        <f>'Input data'!I75</f>
        <v>578.73</v>
      </c>
      <c r="C31" s="237">
        <f>B31*'Input data'!B75</f>
        <v>13022.860250400001</v>
      </c>
      <c r="D31" s="649">
        <f>'Input data'!N75</f>
        <v>0.19892488097366726</v>
      </c>
      <c r="E31" s="417">
        <f>'Input data'!O75</f>
        <v>0.26585903447659598</v>
      </c>
      <c r="F31" s="417">
        <f>'Input data'!P75</f>
        <v>8.9228108703258049E-2</v>
      </c>
      <c r="G31" s="417">
        <f>'Input data'!Q75</f>
        <v>0</v>
      </c>
      <c r="H31" s="417">
        <f>'Input data'!R75</f>
        <v>0</v>
      </c>
      <c r="I31" s="417">
        <f>'Input data'!S75</f>
        <v>0</v>
      </c>
      <c r="J31" s="417">
        <f>'Input data'!T75</f>
        <v>0.4459879758464787</v>
      </c>
      <c r="K31" s="525">
        <f>'Input data'!U75</f>
        <v>1</v>
      </c>
      <c r="L31" s="649">
        <f>'Input data'!V75</f>
        <v>0.29028184578274857</v>
      </c>
      <c r="M31" s="417">
        <f>'Input data'!W75</f>
        <v>0.30317187715157518</v>
      </c>
      <c r="N31" s="417">
        <f>'Input data'!X75</f>
        <v>8.2805443243048754E-2</v>
      </c>
      <c r="O31" s="417">
        <f>'Input data'!Y75</f>
        <v>0</v>
      </c>
      <c r="P31" s="417">
        <f>'Input data'!Z75</f>
        <v>0</v>
      </c>
      <c r="Q31" s="417">
        <f>'Input data'!AA75</f>
        <v>0</v>
      </c>
      <c r="R31" s="417">
        <f>'Input data'!AB75</f>
        <v>0.32374083382262742</v>
      </c>
      <c r="S31" s="417">
        <f t="shared" si="6"/>
        <v>0.99999999999999989</v>
      </c>
      <c r="T31" s="649">
        <f t="shared" si="23"/>
        <v>0.8</v>
      </c>
      <c r="U31" s="417">
        <f t="shared" si="23"/>
        <v>0.11</v>
      </c>
      <c r="V31" s="417">
        <f t="shared" si="23"/>
        <v>0.09</v>
      </c>
      <c r="W31" s="417">
        <f t="shared" si="23"/>
        <v>0</v>
      </c>
      <c r="X31" s="525">
        <f t="shared" si="8"/>
        <v>1</v>
      </c>
      <c r="Y31" s="649">
        <f>'Input data'!$G$35</f>
        <v>0.66241124199764068</v>
      </c>
      <c r="Z31" s="525">
        <f>'Input data'!$H$35</f>
        <v>0.33758875800235938</v>
      </c>
      <c r="AA31" s="523">
        <f>'Input data'!J75</f>
        <v>28.161493315089835</v>
      </c>
      <c r="AB31" s="236">
        <f>'Input data'!L75</f>
        <v>33898.491906116746</v>
      </c>
      <c r="AC31" s="417">
        <f t="shared" si="24"/>
        <v>0.88463681982043585</v>
      </c>
      <c r="AD31" s="417">
        <f t="shared" si="24"/>
        <v>8.8860692477895534E-2</v>
      </c>
      <c r="AE31" s="417">
        <f t="shared" si="24"/>
        <v>0</v>
      </c>
      <c r="AF31" s="417">
        <f t="shared" si="24"/>
        <v>2.6502487701668711E-2</v>
      </c>
      <c r="AG31" s="417">
        <f t="shared" si="20"/>
        <v>1</v>
      </c>
      <c r="AH31" s="436">
        <f t="shared" si="25"/>
        <v>0.78201761382701329</v>
      </c>
      <c r="AI31" s="1233">
        <f t="shared" si="25"/>
        <v>0.21798238617298668</v>
      </c>
      <c r="AK31" s="542">
        <f t="shared" si="0"/>
        <v>1975</v>
      </c>
      <c r="AL31" s="235">
        <f t="shared" si="1"/>
        <v>10418.288200320001</v>
      </c>
      <c r="AM31" s="419">
        <f t="shared" si="2"/>
        <v>948.9137936112088</v>
      </c>
      <c r="AN31" s="419">
        <f t="shared" si="3"/>
        <v>483.60083393279143</v>
      </c>
      <c r="AO31" s="419">
        <f t="shared" si="4"/>
        <v>1172.0574225360001</v>
      </c>
      <c r="AP31" s="419">
        <f t="shared" si="5"/>
        <v>0</v>
      </c>
      <c r="AQ31" s="237">
        <f t="shared" si="10"/>
        <v>13022.860250400001</v>
      </c>
      <c r="AS31" s="527">
        <f t="shared" si="11"/>
        <v>29987.854076535903</v>
      </c>
      <c r="AT31" s="775">
        <f t="shared" si="12"/>
        <v>2355.6274465571969</v>
      </c>
      <c r="AU31" s="775">
        <f t="shared" si="13"/>
        <v>656.61601817667406</v>
      </c>
      <c r="AV31" s="419">
        <f t="shared" si="14"/>
        <v>0</v>
      </c>
      <c r="AW31" s="775">
        <f t="shared" si="15"/>
        <v>898.39436484697535</v>
      </c>
      <c r="AX31" s="530">
        <f t="shared" si="16"/>
        <v>33898.491906116746</v>
      </c>
      <c r="AZ31" s="684">
        <f t="shared" si="22"/>
        <v>46.921352156516747</v>
      </c>
      <c r="BA31" s="417">
        <f t="shared" si="17"/>
        <v>0.13885383903532642</v>
      </c>
      <c r="BB31" s="205">
        <f>'Input data'!D75/10^6</f>
        <v>0</v>
      </c>
    </row>
    <row r="32" spans="1:54">
      <c r="A32" s="542">
        <f>'Input data'!A76</f>
        <v>1976</v>
      </c>
      <c r="B32" s="1232">
        <f>'Input data'!I76</f>
        <v>578.73</v>
      </c>
      <c r="C32" s="237">
        <f>B32*'Input data'!B76</f>
        <v>13307.248172400001</v>
      </c>
      <c r="D32" s="649">
        <f>'Input data'!N76</f>
        <v>0.19892488097366726</v>
      </c>
      <c r="E32" s="417">
        <f>'Input data'!O76</f>
        <v>0.26585903447659598</v>
      </c>
      <c r="F32" s="417">
        <f>'Input data'!P76</f>
        <v>8.9228108703258049E-2</v>
      </c>
      <c r="G32" s="417">
        <f>'Input data'!Q76</f>
        <v>0</v>
      </c>
      <c r="H32" s="417">
        <f>'Input data'!R76</f>
        <v>0</v>
      </c>
      <c r="I32" s="417">
        <f>'Input data'!S76</f>
        <v>0</v>
      </c>
      <c r="J32" s="417">
        <f>'Input data'!T76</f>
        <v>0.4459879758464787</v>
      </c>
      <c r="K32" s="525">
        <f>'Input data'!U76</f>
        <v>1</v>
      </c>
      <c r="L32" s="649">
        <f>'Input data'!V76</f>
        <v>0.29028184578274857</v>
      </c>
      <c r="M32" s="417">
        <f>'Input data'!W76</f>
        <v>0.30317187715157518</v>
      </c>
      <c r="N32" s="417">
        <f>'Input data'!X76</f>
        <v>8.2805443243048754E-2</v>
      </c>
      <c r="O32" s="417">
        <f>'Input data'!Y76</f>
        <v>0</v>
      </c>
      <c r="P32" s="417">
        <f>'Input data'!Z76</f>
        <v>0</v>
      </c>
      <c r="Q32" s="417">
        <f>'Input data'!AA76</f>
        <v>0</v>
      </c>
      <c r="R32" s="417">
        <f>'Input data'!AB76</f>
        <v>0.32374083382262742</v>
      </c>
      <c r="S32" s="417">
        <f t="shared" si="6"/>
        <v>0.99999999999999989</v>
      </c>
      <c r="T32" s="649">
        <f t="shared" si="23"/>
        <v>0.8</v>
      </c>
      <c r="U32" s="417">
        <f t="shared" si="23"/>
        <v>0.11</v>
      </c>
      <c r="V32" s="417">
        <f t="shared" si="23"/>
        <v>0.09</v>
      </c>
      <c r="W32" s="417">
        <f t="shared" si="23"/>
        <v>0</v>
      </c>
      <c r="X32" s="525">
        <f t="shared" si="8"/>
        <v>1</v>
      </c>
      <c r="Y32" s="649">
        <f>'Input data'!$G$35</f>
        <v>0.66241124199764068</v>
      </c>
      <c r="Z32" s="525">
        <f>'Input data'!$H$35</f>
        <v>0.33758875800235938</v>
      </c>
      <c r="AA32" s="523">
        <f>'Input data'!J76</f>
        <v>28.161493315089835</v>
      </c>
      <c r="AB32" s="236">
        <f>'Input data'!L76</f>
        <v>34661.175449757327</v>
      </c>
      <c r="AC32" s="417">
        <f t="shared" si="24"/>
        <v>0.88463681982043585</v>
      </c>
      <c r="AD32" s="417">
        <f t="shared" si="24"/>
        <v>8.8860692477895534E-2</v>
      </c>
      <c r="AE32" s="417">
        <f t="shared" si="24"/>
        <v>0</v>
      </c>
      <c r="AF32" s="417">
        <f t="shared" si="24"/>
        <v>2.6502487701668711E-2</v>
      </c>
      <c r="AG32" s="417">
        <f t="shared" si="20"/>
        <v>1</v>
      </c>
      <c r="AH32" s="436">
        <f t="shared" si="25"/>
        <v>0.78201761382701329</v>
      </c>
      <c r="AI32" s="1233">
        <f t="shared" si="25"/>
        <v>0.21798238617298668</v>
      </c>
      <c r="AK32" s="542">
        <f t="shared" si="0"/>
        <v>1976</v>
      </c>
      <c r="AL32" s="235">
        <f t="shared" si="1"/>
        <v>10645.798537920002</v>
      </c>
      <c r="AM32" s="419">
        <f t="shared" si="2"/>
        <v>969.63578683953506</v>
      </c>
      <c r="AN32" s="419">
        <f t="shared" si="3"/>
        <v>494.1615121244651</v>
      </c>
      <c r="AO32" s="419">
        <f t="shared" si="4"/>
        <v>1197.652335516</v>
      </c>
      <c r="AP32" s="419">
        <f t="shared" si="5"/>
        <v>0</v>
      </c>
      <c r="AQ32" s="237">
        <f t="shared" si="10"/>
        <v>13307.248172400003</v>
      </c>
      <c r="AS32" s="527">
        <f t="shared" si="11"/>
        <v>30662.552021111489</v>
      </c>
      <c r="AT32" s="775">
        <f t="shared" si="12"/>
        <v>2408.6268039744236</v>
      </c>
      <c r="AU32" s="775">
        <f t="shared" si="13"/>
        <v>671.38924858884434</v>
      </c>
      <c r="AV32" s="419">
        <f t="shared" si="14"/>
        <v>0</v>
      </c>
      <c r="AW32" s="775">
        <f t="shared" si="15"/>
        <v>918.607376082575</v>
      </c>
      <c r="AX32" s="530">
        <f t="shared" si="16"/>
        <v>34661.175449757327</v>
      </c>
      <c r="AZ32" s="684">
        <f t="shared" si="22"/>
        <v>47.968423622157324</v>
      </c>
      <c r="BA32" s="417">
        <f t="shared" si="17"/>
        <v>0.13884285870193683</v>
      </c>
      <c r="BB32" s="205">
        <f>'Input data'!D76/10^6</f>
        <v>0</v>
      </c>
    </row>
    <row r="33" spans="1:54">
      <c r="A33" s="542">
        <f>'Input data'!A77</f>
        <v>1977</v>
      </c>
      <c r="B33" s="1232">
        <f>'Input data'!I77</f>
        <v>578.73</v>
      </c>
      <c r="C33" s="237">
        <f>B33*'Input data'!B77</f>
        <v>13590.582805800001</v>
      </c>
      <c r="D33" s="649">
        <f>'Input data'!N77</f>
        <v>0.19892488097366726</v>
      </c>
      <c r="E33" s="417">
        <f>'Input data'!O77</f>
        <v>0.26585903447659598</v>
      </c>
      <c r="F33" s="417">
        <f>'Input data'!P77</f>
        <v>8.9228108703258049E-2</v>
      </c>
      <c r="G33" s="417">
        <f>'Input data'!Q77</f>
        <v>0</v>
      </c>
      <c r="H33" s="417">
        <f>'Input data'!R77</f>
        <v>0</v>
      </c>
      <c r="I33" s="417">
        <f>'Input data'!S77</f>
        <v>0</v>
      </c>
      <c r="J33" s="417">
        <f>'Input data'!T77</f>
        <v>0.4459879758464787</v>
      </c>
      <c r="K33" s="525">
        <f>'Input data'!U77</f>
        <v>1</v>
      </c>
      <c r="L33" s="649">
        <f>'Input data'!V77</f>
        <v>0.29028184578274857</v>
      </c>
      <c r="M33" s="417">
        <f>'Input data'!W77</f>
        <v>0.30317187715157518</v>
      </c>
      <c r="N33" s="417">
        <f>'Input data'!X77</f>
        <v>8.2805443243048754E-2</v>
      </c>
      <c r="O33" s="417">
        <f>'Input data'!Y77</f>
        <v>0</v>
      </c>
      <c r="P33" s="417">
        <f>'Input data'!Z77</f>
        <v>0</v>
      </c>
      <c r="Q33" s="417">
        <f>'Input data'!AA77</f>
        <v>0</v>
      </c>
      <c r="R33" s="417">
        <f>'Input data'!AB77</f>
        <v>0.32374083382262742</v>
      </c>
      <c r="S33" s="417">
        <f t="shared" si="6"/>
        <v>0.99999999999999989</v>
      </c>
      <c r="T33" s="649">
        <f t="shared" si="23"/>
        <v>0.8</v>
      </c>
      <c r="U33" s="417">
        <f t="shared" si="23"/>
        <v>0.11</v>
      </c>
      <c r="V33" s="417">
        <f t="shared" si="23"/>
        <v>0.09</v>
      </c>
      <c r="W33" s="417">
        <f t="shared" si="23"/>
        <v>0</v>
      </c>
      <c r="X33" s="525">
        <f t="shared" si="8"/>
        <v>1</v>
      </c>
      <c r="Y33" s="649">
        <f>'Input data'!$G$35</f>
        <v>0.66241124199764068</v>
      </c>
      <c r="Z33" s="525">
        <f>'Input data'!$H$35</f>
        <v>0.33758875800235938</v>
      </c>
      <c r="AA33" s="523">
        <f>'Input data'!J77</f>
        <v>28.161493315089835</v>
      </c>
      <c r="AB33" s="236">
        <f>'Input data'!L77</f>
        <v>34628.580935108963</v>
      </c>
      <c r="AC33" s="417">
        <f t="shared" si="24"/>
        <v>0.88463681982043585</v>
      </c>
      <c r="AD33" s="417">
        <f t="shared" si="24"/>
        <v>8.8860692477895534E-2</v>
      </c>
      <c r="AE33" s="417">
        <f t="shared" si="24"/>
        <v>0</v>
      </c>
      <c r="AF33" s="417">
        <f t="shared" si="24"/>
        <v>2.6502487701668711E-2</v>
      </c>
      <c r="AG33" s="417">
        <f t="shared" si="20"/>
        <v>1</v>
      </c>
      <c r="AH33" s="436">
        <f t="shared" si="25"/>
        <v>0.78201761382701329</v>
      </c>
      <c r="AI33" s="1233">
        <f t="shared" si="25"/>
        <v>0.21798238617298668</v>
      </c>
      <c r="AK33" s="542">
        <f t="shared" si="0"/>
        <v>1977</v>
      </c>
      <c r="AL33" s="235">
        <f t="shared" si="1"/>
        <v>10872.466244640002</v>
      </c>
      <c r="AM33" s="419">
        <f t="shared" si="2"/>
        <v>990.28103194479343</v>
      </c>
      <c r="AN33" s="419">
        <f t="shared" si="3"/>
        <v>504.68307669320666</v>
      </c>
      <c r="AO33" s="419">
        <f t="shared" si="4"/>
        <v>1223.152452522</v>
      </c>
      <c r="AP33" s="419">
        <f t="shared" si="5"/>
        <v>0</v>
      </c>
      <c r="AQ33" s="237">
        <f t="shared" si="10"/>
        <v>13590.582805800001</v>
      </c>
      <c r="AS33" s="527">
        <f t="shared" si="11"/>
        <v>30633.717713329366</v>
      </c>
      <c r="AT33" s="775">
        <f t="shared" si="12"/>
        <v>2406.3617907247035</v>
      </c>
      <c r="AU33" s="775">
        <f t="shared" si="13"/>
        <v>670.75789069593031</v>
      </c>
      <c r="AV33" s="419">
        <f t="shared" si="14"/>
        <v>0</v>
      </c>
      <c r="AW33" s="775">
        <f t="shared" si="15"/>
        <v>917.74354035896488</v>
      </c>
      <c r="AX33" s="530">
        <f t="shared" si="16"/>
        <v>34628.580935108963</v>
      </c>
      <c r="AZ33" s="684">
        <f t="shared" si="22"/>
        <v>48.219163740908961</v>
      </c>
      <c r="BA33" s="417">
        <f t="shared" si="17"/>
        <v>0.13921808804088248</v>
      </c>
      <c r="BB33" s="205">
        <f>'Input data'!D77/10^6</f>
        <v>0</v>
      </c>
    </row>
    <row r="34" spans="1:54">
      <c r="A34" s="542">
        <f>'Input data'!A78</f>
        <v>1978</v>
      </c>
      <c r="B34" s="1232">
        <f>'Input data'!I78</f>
        <v>578.73</v>
      </c>
      <c r="C34" s="237">
        <f>B34*'Input data'!B78</f>
        <v>13879.710526499999</v>
      </c>
      <c r="D34" s="649">
        <f>'Input data'!N78</f>
        <v>0.19892488097366726</v>
      </c>
      <c r="E34" s="417">
        <f>'Input data'!O78</f>
        <v>0.26585903447659598</v>
      </c>
      <c r="F34" s="417">
        <f>'Input data'!P78</f>
        <v>8.9228108703258049E-2</v>
      </c>
      <c r="G34" s="417">
        <f>'Input data'!Q78</f>
        <v>0</v>
      </c>
      <c r="H34" s="417">
        <f>'Input data'!R78</f>
        <v>0</v>
      </c>
      <c r="I34" s="417">
        <f>'Input data'!S78</f>
        <v>0</v>
      </c>
      <c r="J34" s="417">
        <f>'Input data'!T78</f>
        <v>0.4459879758464787</v>
      </c>
      <c r="K34" s="525">
        <f>'Input data'!U78</f>
        <v>1</v>
      </c>
      <c r="L34" s="649">
        <f>'Input data'!V78</f>
        <v>0.29028184578274857</v>
      </c>
      <c r="M34" s="417">
        <f>'Input data'!W78</f>
        <v>0.30317187715157518</v>
      </c>
      <c r="N34" s="417">
        <f>'Input data'!X78</f>
        <v>8.2805443243048754E-2</v>
      </c>
      <c r="O34" s="417">
        <f>'Input data'!Y78</f>
        <v>0</v>
      </c>
      <c r="P34" s="417">
        <f>'Input data'!Z78</f>
        <v>0</v>
      </c>
      <c r="Q34" s="417">
        <f>'Input data'!AA78</f>
        <v>0</v>
      </c>
      <c r="R34" s="417">
        <f>'Input data'!AB78</f>
        <v>0.32374083382262742</v>
      </c>
      <c r="S34" s="417">
        <f t="shared" si="6"/>
        <v>0.99999999999999989</v>
      </c>
      <c r="T34" s="649">
        <f t="shared" si="23"/>
        <v>0.8</v>
      </c>
      <c r="U34" s="417">
        <f t="shared" si="23"/>
        <v>0.11</v>
      </c>
      <c r="V34" s="417">
        <f t="shared" si="23"/>
        <v>0.09</v>
      </c>
      <c r="W34" s="417">
        <f t="shared" si="23"/>
        <v>0</v>
      </c>
      <c r="X34" s="525">
        <f t="shared" si="8"/>
        <v>1</v>
      </c>
      <c r="Y34" s="649">
        <f>'Input data'!$G$35</f>
        <v>0.66241124199764068</v>
      </c>
      <c r="Z34" s="525">
        <f>'Input data'!$H$35</f>
        <v>0.33758875800235938</v>
      </c>
      <c r="AA34" s="523">
        <f>'Input data'!J78</f>
        <v>28.161493315089835</v>
      </c>
      <c r="AB34" s="236">
        <f>'Input data'!L78</f>
        <v>35672.476463628758</v>
      </c>
      <c r="AC34" s="417">
        <f t="shared" si="24"/>
        <v>0.88463681982043585</v>
      </c>
      <c r="AD34" s="417">
        <f t="shared" si="24"/>
        <v>8.8860692477895534E-2</v>
      </c>
      <c r="AE34" s="417">
        <f t="shared" si="24"/>
        <v>0</v>
      </c>
      <c r="AF34" s="417">
        <f t="shared" si="24"/>
        <v>2.6502487701668711E-2</v>
      </c>
      <c r="AG34" s="417">
        <f t="shared" si="20"/>
        <v>1</v>
      </c>
      <c r="AH34" s="436">
        <f t="shared" si="25"/>
        <v>0.78201761382701329</v>
      </c>
      <c r="AI34" s="1233">
        <f t="shared" si="25"/>
        <v>0.21798238617298668</v>
      </c>
      <c r="AK34" s="542">
        <f t="shared" si="0"/>
        <v>1978</v>
      </c>
      <c r="AL34" s="235">
        <f t="shared" si="1"/>
        <v>11103.7684212</v>
      </c>
      <c r="AM34" s="419">
        <f t="shared" si="2"/>
        <v>1011.3483917269251</v>
      </c>
      <c r="AN34" s="419">
        <f t="shared" si="3"/>
        <v>515.41976618807485</v>
      </c>
      <c r="AO34" s="419">
        <f t="shared" si="4"/>
        <v>1249.1739473849998</v>
      </c>
      <c r="AP34" s="419">
        <f t="shared" si="5"/>
        <v>0</v>
      </c>
      <c r="AQ34" s="237">
        <f t="shared" si="10"/>
        <v>13879.710526500001</v>
      </c>
      <c r="AS34" s="527">
        <f t="shared" si="11"/>
        <v>31557.186133903891</v>
      </c>
      <c r="AT34" s="775">
        <f t="shared" si="12"/>
        <v>2478.9027452052137</v>
      </c>
      <c r="AU34" s="775">
        <f t="shared" si="13"/>
        <v>690.97821575426781</v>
      </c>
      <c r="AV34" s="419">
        <f t="shared" si="14"/>
        <v>0</v>
      </c>
      <c r="AW34" s="775">
        <f t="shared" si="15"/>
        <v>945.40936876538774</v>
      </c>
      <c r="AX34" s="530">
        <f t="shared" si="16"/>
        <v>35672.476463628758</v>
      </c>
      <c r="AZ34" s="684">
        <f t="shared" si="22"/>
        <v>49.552186990128753</v>
      </c>
      <c r="BA34" s="417">
        <f t="shared" si="17"/>
        <v>0.1390701975756925</v>
      </c>
      <c r="BB34" s="205">
        <f>'Input data'!D78/10^6</f>
        <v>0</v>
      </c>
    </row>
    <row r="35" spans="1:54">
      <c r="A35" s="542">
        <f>'Input data'!A79</f>
        <v>1979</v>
      </c>
      <c r="B35" s="1232">
        <f>'Input data'!I79</f>
        <v>578.73</v>
      </c>
      <c r="C35" s="237">
        <f>B35*'Input data'!B79</f>
        <v>14188.324086299999</v>
      </c>
      <c r="D35" s="649">
        <f>'Input data'!N79</f>
        <v>0.19892488097366726</v>
      </c>
      <c r="E35" s="417">
        <f>'Input data'!O79</f>
        <v>0.26585903447659598</v>
      </c>
      <c r="F35" s="417">
        <f>'Input data'!P79</f>
        <v>8.9228108703258049E-2</v>
      </c>
      <c r="G35" s="417">
        <f>'Input data'!Q79</f>
        <v>0</v>
      </c>
      <c r="H35" s="417">
        <f>'Input data'!R79</f>
        <v>0</v>
      </c>
      <c r="I35" s="417">
        <f>'Input data'!S79</f>
        <v>0</v>
      </c>
      <c r="J35" s="417">
        <f>'Input data'!T79</f>
        <v>0.4459879758464787</v>
      </c>
      <c r="K35" s="525">
        <f>'Input data'!U79</f>
        <v>1</v>
      </c>
      <c r="L35" s="649">
        <f>'Input data'!V79</f>
        <v>0.29028184578274857</v>
      </c>
      <c r="M35" s="417">
        <f>'Input data'!W79</f>
        <v>0.30317187715157518</v>
      </c>
      <c r="N35" s="417">
        <f>'Input data'!X79</f>
        <v>8.2805443243048754E-2</v>
      </c>
      <c r="O35" s="417">
        <f>'Input data'!Y79</f>
        <v>0</v>
      </c>
      <c r="P35" s="417">
        <f>'Input data'!Z79</f>
        <v>0</v>
      </c>
      <c r="Q35" s="417">
        <f>'Input data'!AA79</f>
        <v>0</v>
      </c>
      <c r="R35" s="417">
        <f>'Input data'!AB79</f>
        <v>0.32374083382262742</v>
      </c>
      <c r="S35" s="417">
        <f t="shared" si="6"/>
        <v>0.99999999999999989</v>
      </c>
      <c r="T35" s="649">
        <f t="shared" si="23"/>
        <v>0.8</v>
      </c>
      <c r="U35" s="417">
        <f t="shared" si="23"/>
        <v>0.11</v>
      </c>
      <c r="V35" s="417">
        <f t="shared" si="23"/>
        <v>0.09</v>
      </c>
      <c r="W35" s="417">
        <f t="shared" si="23"/>
        <v>0</v>
      </c>
      <c r="X35" s="525">
        <f t="shared" si="8"/>
        <v>1</v>
      </c>
      <c r="Y35" s="649">
        <f>'Input data'!$G$35</f>
        <v>0.66241124199764068</v>
      </c>
      <c r="Z35" s="525">
        <f>'Input data'!$H$35</f>
        <v>0.33758875800235938</v>
      </c>
      <c r="AA35" s="523">
        <f>'Input data'!J79</f>
        <v>28.161493315089835</v>
      </c>
      <c r="AB35" s="236">
        <f>'Input data'!L79</f>
        <v>37024.643043817407</v>
      </c>
      <c r="AC35" s="417">
        <f t="shared" si="24"/>
        <v>0.88463681982043585</v>
      </c>
      <c r="AD35" s="417">
        <f t="shared" si="24"/>
        <v>8.8860692477895534E-2</v>
      </c>
      <c r="AE35" s="417">
        <f t="shared" si="24"/>
        <v>0</v>
      </c>
      <c r="AF35" s="417">
        <f t="shared" si="24"/>
        <v>2.6502487701668711E-2</v>
      </c>
      <c r="AG35" s="417">
        <f t="shared" si="20"/>
        <v>1</v>
      </c>
      <c r="AH35" s="436">
        <f t="shared" si="25"/>
        <v>0.78201761382701329</v>
      </c>
      <c r="AI35" s="1233">
        <f t="shared" si="25"/>
        <v>0.21798238617298668</v>
      </c>
      <c r="AK35" s="542">
        <f t="shared" si="0"/>
        <v>1979</v>
      </c>
      <c r="AL35" s="235">
        <f t="shared" si="1"/>
        <v>11350.659269039999</v>
      </c>
      <c r="AM35" s="419">
        <f t="shared" si="2"/>
        <v>1033.8355917858125</v>
      </c>
      <c r="AN35" s="419">
        <f t="shared" si="3"/>
        <v>526.88005770718758</v>
      </c>
      <c r="AO35" s="419">
        <f t="shared" si="4"/>
        <v>1276.9491677669998</v>
      </c>
      <c r="AP35" s="419">
        <f t="shared" si="5"/>
        <v>0</v>
      </c>
      <c r="AQ35" s="237">
        <f t="shared" si="10"/>
        <v>14188.324086299999</v>
      </c>
      <c r="AS35" s="527">
        <f t="shared" si="11"/>
        <v>32753.362477269453</v>
      </c>
      <c r="AT35" s="775">
        <f t="shared" si="12"/>
        <v>2572.8656482579895</v>
      </c>
      <c r="AU35" s="775">
        <f t="shared" si="13"/>
        <v>717.16977136252285</v>
      </c>
      <c r="AV35" s="419">
        <f t="shared" si="14"/>
        <v>0</v>
      </c>
      <c r="AW35" s="775">
        <f t="shared" si="15"/>
        <v>981.24514692744481</v>
      </c>
      <c r="AX35" s="530">
        <f t="shared" si="16"/>
        <v>37024.643043817414</v>
      </c>
      <c r="AZ35" s="684">
        <f t="shared" si="22"/>
        <v>51.212967130117406</v>
      </c>
      <c r="BA35" s="417">
        <f t="shared" si="17"/>
        <v>0.13881143355248629</v>
      </c>
      <c r="BB35" s="205">
        <f>'Input data'!D79/10^6</f>
        <v>0</v>
      </c>
    </row>
    <row r="36" spans="1:54">
      <c r="A36" s="542">
        <f>'Input data'!A80</f>
        <v>1980</v>
      </c>
      <c r="B36" s="1232">
        <f>'Input data'!I80</f>
        <v>578.73</v>
      </c>
      <c r="C36" s="237">
        <f>B36*'Input data'!B80</f>
        <v>14522.743216800001</v>
      </c>
      <c r="D36" s="649">
        <f>'Input data'!N80</f>
        <v>0.19892488097366726</v>
      </c>
      <c r="E36" s="417">
        <f>'Input data'!O80</f>
        <v>0.26585903447659598</v>
      </c>
      <c r="F36" s="417">
        <f>'Input data'!P80</f>
        <v>8.9228108703258049E-2</v>
      </c>
      <c r="G36" s="417">
        <f>'Input data'!Q80</f>
        <v>0</v>
      </c>
      <c r="H36" s="417">
        <f>'Input data'!R80</f>
        <v>0</v>
      </c>
      <c r="I36" s="417">
        <f>'Input data'!S80</f>
        <v>0</v>
      </c>
      <c r="J36" s="417">
        <f>'Input data'!T80</f>
        <v>0.4459879758464787</v>
      </c>
      <c r="K36" s="525">
        <f>'Input data'!U80</f>
        <v>1</v>
      </c>
      <c r="L36" s="649">
        <f>'Input data'!V80</f>
        <v>0.29028184578274857</v>
      </c>
      <c r="M36" s="417">
        <f>'Input data'!W80</f>
        <v>0.30317187715157518</v>
      </c>
      <c r="N36" s="417">
        <f>'Input data'!X80</f>
        <v>8.2805443243048754E-2</v>
      </c>
      <c r="O36" s="417">
        <f>'Input data'!Y80</f>
        <v>0</v>
      </c>
      <c r="P36" s="417">
        <f>'Input data'!Z80</f>
        <v>0</v>
      </c>
      <c r="Q36" s="417">
        <f>'Input data'!AA80</f>
        <v>0</v>
      </c>
      <c r="R36" s="417">
        <f>'Input data'!AB80</f>
        <v>0.32374083382262742</v>
      </c>
      <c r="S36" s="417">
        <f t="shared" si="6"/>
        <v>0.99999999999999989</v>
      </c>
      <c r="T36" s="649">
        <f t="shared" si="23"/>
        <v>0.8</v>
      </c>
      <c r="U36" s="417">
        <f t="shared" si="23"/>
        <v>0.11</v>
      </c>
      <c r="V36" s="417">
        <f t="shared" si="23"/>
        <v>0.09</v>
      </c>
      <c r="W36" s="417">
        <f t="shared" si="23"/>
        <v>0</v>
      </c>
      <c r="X36" s="525">
        <f t="shared" si="8"/>
        <v>1</v>
      </c>
      <c r="Y36" s="649">
        <f>'Input data'!$G$35</f>
        <v>0.66241124199764068</v>
      </c>
      <c r="Z36" s="525">
        <f>'Input data'!$H$35</f>
        <v>0.33758875800235938</v>
      </c>
      <c r="AA36" s="523">
        <f>'Input data'!J80</f>
        <v>28.161493315089835</v>
      </c>
      <c r="AB36" s="236">
        <f>'Input data'!L80</f>
        <v>39475.891037469897</v>
      </c>
      <c r="AC36" s="417">
        <f t="shared" si="24"/>
        <v>0.88463681982043585</v>
      </c>
      <c r="AD36" s="417">
        <f t="shared" si="24"/>
        <v>8.8860692477895534E-2</v>
      </c>
      <c r="AE36" s="417">
        <f t="shared" si="24"/>
        <v>0</v>
      </c>
      <c r="AF36" s="417">
        <f t="shared" si="24"/>
        <v>2.6502487701668711E-2</v>
      </c>
      <c r="AG36" s="417">
        <f t="shared" si="20"/>
        <v>1</v>
      </c>
      <c r="AH36" s="436">
        <f t="shared" si="25"/>
        <v>0.78201761382701329</v>
      </c>
      <c r="AI36" s="1233">
        <f t="shared" si="25"/>
        <v>0.21798238617298668</v>
      </c>
      <c r="AK36" s="542">
        <f t="shared" si="0"/>
        <v>1980</v>
      </c>
      <c r="AL36" s="235">
        <f t="shared" si="1"/>
        <v>11618.194573440001</v>
      </c>
      <c r="AM36" s="419">
        <f t="shared" si="2"/>
        <v>1058.203120859863</v>
      </c>
      <c r="AN36" s="419">
        <f t="shared" si="3"/>
        <v>539.29863298813723</v>
      </c>
      <c r="AO36" s="419">
        <f t="shared" si="4"/>
        <v>1307.046889512</v>
      </c>
      <c r="AP36" s="419">
        <f t="shared" si="5"/>
        <v>0</v>
      </c>
      <c r="AQ36" s="237">
        <f t="shared" si="10"/>
        <v>14522.743216800001</v>
      </c>
      <c r="AS36" s="527">
        <f t="shared" si="11"/>
        <v>34921.826706965418</v>
      </c>
      <c r="AT36" s="775">
        <f t="shared" si="12"/>
        <v>2743.2044075207327</v>
      </c>
      <c r="AU36" s="775">
        <f t="shared" si="13"/>
        <v>764.65060625079207</v>
      </c>
      <c r="AV36" s="419">
        <f t="shared" si="14"/>
        <v>0</v>
      </c>
      <c r="AW36" s="775">
        <f t="shared" si="15"/>
        <v>1046.2093167329601</v>
      </c>
      <c r="AX36" s="530">
        <f t="shared" si="16"/>
        <v>39475.891037469897</v>
      </c>
      <c r="AZ36" s="684">
        <f t="shared" si="22"/>
        <v>53.998634254269895</v>
      </c>
      <c r="BA36" s="417">
        <f t="shared" si="17"/>
        <v>0.13812595590368465</v>
      </c>
      <c r="BB36" s="205">
        <f>'Input data'!D80/10^6</f>
        <v>0</v>
      </c>
    </row>
    <row r="37" spans="1:54">
      <c r="A37" s="542">
        <f>'Input data'!A81</f>
        <v>1981</v>
      </c>
      <c r="B37" s="1232">
        <f>'Input data'!I81</f>
        <v>578.73</v>
      </c>
      <c r="C37" s="237">
        <f>B37*'Input data'!B81</f>
        <v>14880.3346965</v>
      </c>
      <c r="D37" s="649">
        <f>'Input data'!N81</f>
        <v>0.19892488097366726</v>
      </c>
      <c r="E37" s="417">
        <f>'Input data'!O81</f>
        <v>0.26585903447659598</v>
      </c>
      <c r="F37" s="417">
        <f>'Input data'!P81</f>
        <v>8.9228108703258049E-2</v>
      </c>
      <c r="G37" s="417">
        <f>'Input data'!Q81</f>
        <v>0</v>
      </c>
      <c r="H37" s="417">
        <f>'Input data'!R81</f>
        <v>0</v>
      </c>
      <c r="I37" s="417">
        <f>'Input data'!S81</f>
        <v>0</v>
      </c>
      <c r="J37" s="417">
        <f>'Input data'!T81</f>
        <v>0.4459879758464787</v>
      </c>
      <c r="K37" s="525">
        <f>'Input data'!U81</f>
        <v>1</v>
      </c>
      <c r="L37" s="649">
        <f>'Input data'!V81</f>
        <v>0.29028184578274857</v>
      </c>
      <c r="M37" s="417">
        <f>'Input data'!W81</f>
        <v>0.30317187715157518</v>
      </c>
      <c r="N37" s="417">
        <f>'Input data'!X81</f>
        <v>8.2805443243048754E-2</v>
      </c>
      <c r="O37" s="417">
        <f>'Input data'!Y81</f>
        <v>0</v>
      </c>
      <c r="P37" s="417">
        <f>'Input data'!Z81</f>
        <v>0</v>
      </c>
      <c r="Q37" s="417">
        <f>'Input data'!AA81</f>
        <v>0</v>
      </c>
      <c r="R37" s="417">
        <f>'Input data'!AB81</f>
        <v>0.32374083382262742</v>
      </c>
      <c r="S37" s="417">
        <f t="shared" si="6"/>
        <v>0.99999999999999989</v>
      </c>
      <c r="T37" s="649">
        <f t="shared" si="23"/>
        <v>0.8</v>
      </c>
      <c r="U37" s="417">
        <f t="shared" si="23"/>
        <v>0.11</v>
      </c>
      <c r="V37" s="417">
        <f t="shared" si="23"/>
        <v>0.09</v>
      </c>
      <c r="W37" s="417">
        <f t="shared" si="23"/>
        <v>0</v>
      </c>
      <c r="X37" s="525">
        <f t="shared" si="8"/>
        <v>1</v>
      </c>
      <c r="Y37" s="649">
        <f>'Input data'!$G$35</f>
        <v>0.66241124199764068</v>
      </c>
      <c r="Z37" s="525">
        <f>'Input data'!$H$35</f>
        <v>0.33758875800235938</v>
      </c>
      <c r="AA37" s="523">
        <f>'Input data'!J81</f>
        <v>28.161493315089835</v>
      </c>
      <c r="AB37" s="236">
        <f>'Input data'!L81</f>
        <v>41592.089899799212</v>
      </c>
      <c r="AC37" s="417">
        <f t="shared" si="24"/>
        <v>0.88463681982043585</v>
      </c>
      <c r="AD37" s="417">
        <f t="shared" si="24"/>
        <v>8.8860692477895534E-2</v>
      </c>
      <c r="AE37" s="417">
        <f t="shared" si="24"/>
        <v>0</v>
      </c>
      <c r="AF37" s="417">
        <f t="shared" si="24"/>
        <v>2.6502487701668711E-2</v>
      </c>
      <c r="AG37" s="417">
        <f t="shared" si="20"/>
        <v>1</v>
      </c>
      <c r="AH37" s="436">
        <f t="shared" si="25"/>
        <v>0.78201761382701329</v>
      </c>
      <c r="AI37" s="1233">
        <f t="shared" si="25"/>
        <v>0.21798238617298668</v>
      </c>
      <c r="AK37" s="542">
        <f t="shared" si="0"/>
        <v>1981</v>
      </c>
      <c r="AL37" s="235">
        <f t="shared" si="1"/>
        <v>11904.267757200001</v>
      </c>
      <c r="AM37" s="419">
        <f t="shared" si="2"/>
        <v>1084.2591086414066</v>
      </c>
      <c r="AN37" s="419">
        <f t="shared" si="3"/>
        <v>552.57770797359353</v>
      </c>
      <c r="AO37" s="419">
        <f t="shared" si="4"/>
        <v>1339.230122685</v>
      </c>
      <c r="AP37" s="419">
        <f t="shared" si="5"/>
        <v>0</v>
      </c>
      <c r="AQ37" s="237">
        <f t="shared" si="10"/>
        <v>14880.334696500002</v>
      </c>
      <c r="AS37" s="527">
        <f t="shared" si="11"/>
        <v>36793.894138644042</v>
      </c>
      <c r="AT37" s="775">
        <f t="shared" si="12"/>
        <v>2890.2603926743541</v>
      </c>
      <c r="AU37" s="775">
        <f t="shared" si="13"/>
        <v>805.64151742468857</v>
      </c>
      <c r="AV37" s="419">
        <f t="shared" si="14"/>
        <v>0</v>
      </c>
      <c r="AW37" s="775">
        <f t="shared" si="15"/>
        <v>1102.293851056128</v>
      </c>
      <c r="AX37" s="530">
        <f t="shared" si="16"/>
        <v>41592.089899799212</v>
      </c>
      <c r="AZ37" s="684">
        <f t="shared" si="22"/>
        <v>56.472424596299213</v>
      </c>
      <c r="BA37" s="417">
        <f t="shared" si="17"/>
        <v>0.13766475861503277</v>
      </c>
      <c r="BB37" s="205">
        <f>'Input data'!D81/10^6</f>
        <v>0</v>
      </c>
    </row>
    <row r="38" spans="1:54">
      <c r="A38" s="542">
        <f>'Input data'!A82</f>
        <v>1982</v>
      </c>
      <c r="B38" s="1232">
        <f>'Input data'!I82</f>
        <v>578.73</v>
      </c>
      <c r="C38" s="237">
        <f>B38*'Input data'!B82</f>
        <v>15257.938659600002</v>
      </c>
      <c r="D38" s="649">
        <f>'Input data'!N82</f>
        <v>0.19892488097366726</v>
      </c>
      <c r="E38" s="417">
        <f>'Input data'!O82</f>
        <v>0.26585903447659598</v>
      </c>
      <c r="F38" s="417">
        <f>'Input data'!P82</f>
        <v>8.9228108703258049E-2</v>
      </c>
      <c r="G38" s="417">
        <f>'Input data'!Q82</f>
        <v>0</v>
      </c>
      <c r="H38" s="417">
        <f>'Input data'!R82</f>
        <v>0</v>
      </c>
      <c r="I38" s="417">
        <f>'Input data'!S82</f>
        <v>0</v>
      </c>
      <c r="J38" s="417">
        <f>'Input data'!T82</f>
        <v>0.4459879758464787</v>
      </c>
      <c r="K38" s="525">
        <f>'Input data'!U82</f>
        <v>1</v>
      </c>
      <c r="L38" s="649">
        <f>'Input data'!V82</f>
        <v>0.29028184578274857</v>
      </c>
      <c r="M38" s="417">
        <f>'Input data'!W82</f>
        <v>0.30317187715157518</v>
      </c>
      <c r="N38" s="417">
        <f>'Input data'!X82</f>
        <v>8.2805443243048754E-2</v>
      </c>
      <c r="O38" s="417">
        <f>'Input data'!Y82</f>
        <v>0</v>
      </c>
      <c r="P38" s="417">
        <f>'Input data'!Z82</f>
        <v>0</v>
      </c>
      <c r="Q38" s="417">
        <f>'Input data'!AA82</f>
        <v>0</v>
      </c>
      <c r="R38" s="417">
        <f>'Input data'!AB82</f>
        <v>0.32374083382262742</v>
      </c>
      <c r="S38" s="417">
        <f t="shared" si="6"/>
        <v>0.99999999999999989</v>
      </c>
      <c r="T38" s="649">
        <f t="shared" si="23"/>
        <v>0.8</v>
      </c>
      <c r="U38" s="417">
        <f t="shared" si="23"/>
        <v>0.11</v>
      </c>
      <c r="V38" s="417">
        <f t="shared" si="23"/>
        <v>0.09</v>
      </c>
      <c r="W38" s="417">
        <f t="shared" si="23"/>
        <v>0</v>
      </c>
      <c r="X38" s="525">
        <f t="shared" si="8"/>
        <v>1</v>
      </c>
      <c r="Y38" s="649">
        <f>'Input data'!$G$35</f>
        <v>0.66241124199764068</v>
      </c>
      <c r="Z38" s="525">
        <f>'Input data'!$H$35</f>
        <v>0.33758875800235938</v>
      </c>
      <c r="AA38" s="523">
        <f>'Input data'!J82</f>
        <v>28.161493315089835</v>
      </c>
      <c r="AB38" s="236">
        <f>'Input data'!L82</f>
        <v>41432.6296664892</v>
      </c>
      <c r="AC38" s="417">
        <f t="shared" si="24"/>
        <v>0.88463681982043585</v>
      </c>
      <c r="AD38" s="417">
        <f t="shared" si="24"/>
        <v>8.8860692477895534E-2</v>
      </c>
      <c r="AE38" s="417">
        <f t="shared" si="24"/>
        <v>0</v>
      </c>
      <c r="AF38" s="417">
        <f t="shared" si="24"/>
        <v>2.6502487701668711E-2</v>
      </c>
      <c r="AG38" s="417">
        <f t="shared" si="20"/>
        <v>1</v>
      </c>
      <c r="AH38" s="436">
        <f t="shared" si="25"/>
        <v>0.78201761382701329</v>
      </c>
      <c r="AI38" s="1233">
        <f t="shared" si="25"/>
        <v>0.21798238617298668</v>
      </c>
      <c r="AK38" s="542">
        <f t="shared" si="0"/>
        <v>1982</v>
      </c>
      <c r="AL38" s="235">
        <f t="shared" si="1"/>
        <v>12206.350927680003</v>
      </c>
      <c r="AM38" s="419">
        <f t="shared" si="2"/>
        <v>1111.7733107612401</v>
      </c>
      <c r="AN38" s="419">
        <f t="shared" si="3"/>
        <v>566.59994179476041</v>
      </c>
      <c r="AO38" s="419">
        <f t="shared" si="4"/>
        <v>1373.2144793640002</v>
      </c>
      <c r="AP38" s="419">
        <f t="shared" si="5"/>
        <v>0</v>
      </c>
      <c r="AQ38" s="237">
        <f t="shared" si="10"/>
        <v>15257.938659600004</v>
      </c>
      <c r="AS38" s="527">
        <f t="shared" si="11"/>
        <v>36652.829744960851</v>
      </c>
      <c r="AT38" s="775">
        <f t="shared" si="12"/>
        <v>2879.179401128777</v>
      </c>
      <c r="AU38" s="775">
        <f t="shared" si="13"/>
        <v>802.55276221565077</v>
      </c>
      <c r="AV38" s="419">
        <f t="shared" si="14"/>
        <v>0</v>
      </c>
      <c r="AW38" s="775">
        <f t="shared" si="15"/>
        <v>1098.0677581839243</v>
      </c>
      <c r="AX38" s="530">
        <f t="shared" si="16"/>
        <v>41432.629666489207</v>
      </c>
      <c r="AZ38" s="684">
        <f t="shared" si="22"/>
        <v>56.690568326089213</v>
      </c>
      <c r="BA38" s="417">
        <f t="shared" si="17"/>
        <v>0.13814269083353542</v>
      </c>
      <c r="BB38" s="205">
        <f>'Input data'!D82/10^6</f>
        <v>0</v>
      </c>
    </row>
    <row r="39" spans="1:54">
      <c r="A39" s="542">
        <f>'Input data'!A83</f>
        <v>1983</v>
      </c>
      <c r="B39" s="1232">
        <f>'Input data'!I83</f>
        <v>578.73</v>
      </c>
      <c r="C39" s="237">
        <f>B39*'Input data'!B83</f>
        <v>15653.9751732</v>
      </c>
      <c r="D39" s="649">
        <f>'Input data'!N83</f>
        <v>0.19892488097366726</v>
      </c>
      <c r="E39" s="417">
        <f>'Input data'!O83</f>
        <v>0.26585903447659598</v>
      </c>
      <c r="F39" s="417">
        <f>'Input data'!P83</f>
        <v>8.9228108703258049E-2</v>
      </c>
      <c r="G39" s="417">
        <f>'Input data'!Q83</f>
        <v>0</v>
      </c>
      <c r="H39" s="417">
        <f>'Input data'!R83</f>
        <v>0</v>
      </c>
      <c r="I39" s="417">
        <f>'Input data'!S83</f>
        <v>0</v>
      </c>
      <c r="J39" s="417">
        <f>'Input data'!T83</f>
        <v>0.4459879758464787</v>
      </c>
      <c r="K39" s="525">
        <f>'Input data'!U83</f>
        <v>1</v>
      </c>
      <c r="L39" s="649">
        <f>'Input data'!V83</f>
        <v>0.29028184578274857</v>
      </c>
      <c r="M39" s="417">
        <f>'Input data'!W83</f>
        <v>0.30317187715157518</v>
      </c>
      <c r="N39" s="417">
        <f>'Input data'!X83</f>
        <v>8.2805443243048754E-2</v>
      </c>
      <c r="O39" s="417">
        <f>'Input data'!Y83</f>
        <v>0</v>
      </c>
      <c r="P39" s="417">
        <f>'Input data'!Z83</f>
        <v>0</v>
      </c>
      <c r="Q39" s="417">
        <f>'Input data'!AA83</f>
        <v>0</v>
      </c>
      <c r="R39" s="417">
        <f>'Input data'!AB83</f>
        <v>0.32374083382262742</v>
      </c>
      <c r="S39" s="417">
        <f t="shared" si="6"/>
        <v>0.99999999999999989</v>
      </c>
      <c r="T39" s="649">
        <f t="shared" si="23"/>
        <v>0.8</v>
      </c>
      <c r="U39" s="417">
        <f t="shared" si="23"/>
        <v>0.11</v>
      </c>
      <c r="V39" s="417">
        <f t="shared" si="23"/>
        <v>0.09</v>
      </c>
      <c r="W39" s="417">
        <f t="shared" si="23"/>
        <v>0</v>
      </c>
      <c r="X39" s="525">
        <f t="shared" si="8"/>
        <v>1</v>
      </c>
      <c r="Y39" s="649">
        <f>'Input data'!$G$35</f>
        <v>0.66241124199764068</v>
      </c>
      <c r="Z39" s="525">
        <f>'Input data'!$H$35</f>
        <v>0.33758875800235938</v>
      </c>
      <c r="AA39" s="523">
        <f>'Input data'!J83</f>
        <v>28.161493315089835</v>
      </c>
      <c r="AB39" s="236">
        <f>'Input data'!L83</f>
        <v>40667.55773170678</v>
      </c>
      <c r="AC39" s="417">
        <f t="shared" si="24"/>
        <v>0.88463681982043585</v>
      </c>
      <c r="AD39" s="417">
        <f t="shared" si="24"/>
        <v>8.8860692477895534E-2</v>
      </c>
      <c r="AE39" s="417">
        <f t="shared" si="24"/>
        <v>0</v>
      </c>
      <c r="AF39" s="417">
        <f t="shared" si="24"/>
        <v>2.6502487701668711E-2</v>
      </c>
      <c r="AG39" s="417">
        <f t="shared" si="20"/>
        <v>1</v>
      </c>
      <c r="AH39" s="436">
        <f t="shared" si="25"/>
        <v>0.78201761382701329</v>
      </c>
      <c r="AI39" s="1233">
        <f t="shared" si="25"/>
        <v>0.21798238617298668</v>
      </c>
      <c r="AK39" s="542">
        <f t="shared" si="0"/>
        <v>1983</v>
      </c>
      <c r="AL39" s="235">
        <f t="shared" si="1"/>
        <v>12523.180138560001</v>
      </c>
      <c r="AM39" s="419">
        <f t="shared" si="2"/>
        <v>1140.6306050347609</v>
      </c>
      <c r="AN39" s="419">
        <f t="shared" si="3"/>
        <v>581.30666401723931</v>
      </c>
      <c r="AO39" s="419">
        <f t="shared" si="4"/>
        <v>1408.8577655879999</v>
      </c>
      <c r="AP39" s="419">
        <f t="shared" si="5"/>
        <v>0</v>
      </c>
      <c r="AQ39" s="237">
        <f t="shared" si="10"/>
        <v>15653.975173200002</v>
      </c>
      <c r="AS39" s="527">
        <f t="shared" si="11"/>
        <v>35976.018941641065</v>
      </c>
      <c r="AT39" s="775">
        <f t="shared" si="12"/>
        <v>2826.0140729143122</v>
      </c>
      <c r="AU39" s="775">
        <f t="shared" si="13"/>
        <v>787.73326850994681</v>
      </c>
      <c r="AV39" s="419">
        <f t="shared" si="14"/>
        <v>0</v>
      </c>
      <c r="AW39" s="775">
        <f t="shared" si="15"/>
        <v>1077.7914486414613</v>
      </c>
      <c r="AX39" s="530">
        <f t="shared" si="16"/>
        <v>40667.55773170678</v>
      </c>
      <c r="AZ39" s="684">
        <f t="shared" si="22"/>
        <v>56.321532904906782</v>
      </c>
      <c r="BA39" s="417">
        <f t="shared" si="17"/>
        <v>0.13888709026994941</v>
      </c>
      <c r="BB39" s="205">
        <f>'Input data'!D83/10^6</f>
        <v>0</v>
      </c>
    </row>
    <row r="40" spans="1:54">
      <c r="A40" s="542">
        <f>'Input data'!A84</f>
        <v>1984</v>
      </c>
      <c r="B40" s="1232">
        <f>'Input data'!I84</f>
        <v>578.73</v>
      </c>
      <c r="C40" s="237">
        <f>B40*'Input data'!B84</f>
        <v>16065.284371499998</v>
      </c>
      <c r="D40" s="649">
        <f>'Input data'!N84</f>
        <v>0.19892488097366726</v>
      </c>
      <c r="E40" s="417">
        <f>'Input data'!O84</f>
        <v>0.26585903447659598</v>
      </c>
      <c r="F40" s="417">
        <f>'Input data'!P84</f>
        <v>8.9228108703258049E-2</v>
      </c>
      <c r="G40" s="417">
        <f>'Input data'!Q84</f>
        <v>0</v>
      </c>
      <c r="H40" s="417">
        <f>'Input data'!R84</f>
        <v>0</v>
      </c>
      <c r="I40" s="417">
        <f>'Input data'!S84</f>
        <v>0</v>
      </c>
      <c r="J40" s="417">
        <f>'Input data'!T84</f>
        <v>0.4459879758464787</v>
      </c>
      <c r="K40" s="525">
        <f>'Input data'!U84</f>
        <v>1</v>
      </c>
      <c r="L40" s="649">
        <f>'Input data'!V84</f>
        <v>0.29028184578274857</v>
      </c>
      <c r="M40" s="417">
        <f>'Input data'!W84</f>
        <v>0.30317187715157518</v>
      </c>
      <c r="N40" s="417">
        <f>'Input data'!X84</f>
        <v>8.2805443243048754E-2</v>
      </c>
      <c r="O40" s="417">
        <f>'Input data'!Y84</f>
        <v>0</v>
      </c>
      <c r="P40" s="417">
        <f>'Input data'!Z84</f>
        <v>0</v>
      </c>
      <c r="Q40" s="417">
        <f>'Input data'!AA84</f>
        <v>0</v>
      </c>
      <c r="R40" s="417">
        <f>'Input data'!AB84</f>
        <v>0.32374083382262742</v>
      </c>
      <c r="S40" s="417">
        <f t="shared" si="6"/>
        <v>0.99999999999999989</v>
      </c>
      <c r="T40" s="649">
        <f t="shared" ref="T40:W55" si="26">T39</f>
        <v>0.8</v>
      </c>
      <c r="U40" s="417">
        <f t="shared" si="26"/>
        <v>0.11</v>
      </c>
      <c r="V40" s="417">
        <f t="shared" si="26"/>
        <v>0.09</v>
      </c>
      <c r="W40" s="417">
        <f t="shared" si="26"/>
        <v>0</v>
      </c>
      <c r="X40" s="525">
        <f t="shared" si="8"/>
        <v>1</v>
      </c>
      <c r="Y40" s="649">
        <f>'Input data'!$G$35</f>
        <v>0.66241124199764068</v>
      </c>
      <c r="Z40" s="525">
        <f>'Input data'!$H$35</f>
        <v>0.33758875800235938</v>
      </c>
      <c r="AA40" s="523">
        <f>'Input data'!J84</f>
        <v>28.161493315089835</v>
      </c>
      <c r="AB40" s="236">
        <f>'Input data'!L84</f>
        <v>42741.24323153709</v>
      </c>
      <c r="AC40" s="417">
        <f t="shared" ref="AC40:AF55" si="27">AC39</f>
        <v>0.88463681982043585</v>
      </c>
      <c r="AD40" s="417">
        <f t="shared" si="27"/>
        <v>8.8860692477895534E-2</v>
      </c>
      <c r="AE40" s="417">
        <f t="shared" si="27"/>
        <v>0</v>
      </c>
      <c r="AF40" s="417">
        <f t="shared" si="27"/>
        <v>2.6502487701668711E-2</v>
      </c>
      <c r="AG40" s="417">
        <f t="shared" si="20"/>
        <v>1</v>
      </c>
      <c r="AH40" s="436">
        <f t="shared" ref="AH40:AI55" si="28">AH39</f>
        <v>0.78201761382701329</v>
      </c>
      <c r="AI40" s="1233">
        <f t="shared" si="28"/>
        <v>0.21798238617298668</v>
      </c>
      <c r="AK40" s="542">
        <f t="shared" si="0"/>
        <v>1984</v>
      </c>
      <c r="AL40" s="235">
        <f t="shared" si="1"/>
        <v>12852.2274972</v>
      </c>
      <c r="AM40" s="419">
        <f t="shared" si="2"/>
        <v>1170.6007470927659</v>
      </c>
      <c r="AN40" s="419">
        <f t="shared" si="3"/>
        <v>596.58053377223382</v>
      </c>
      <c r="AO40" s="419">
        <f t="shared" si="4"/>
        <v>1445.8755934349997</v>
      </c>
      <c r="AP40" s="419">
        <f t="shared" si="5"/>
        <v>0</v>
      </c>
      <c r="AQ40" s="237">
        <f t="shared" si="10"/>
        <v>16065.284371499998</v>
      </c>
      <c r="AS40" s="527">
        <f t="shared" si="11"/>
        <v>37810.477487518699</v>
      </c>
      <c r="AT40" s="775">
        <f t="shared" si="12"/>
        <v>2970.1157778649836</v>
      </c>
      <c r="AU40" s="775">
        <f t="shared" si="13"/>
        <v>827.90069305556767</v>
      </c>
      <c r="AV40" s="419">
        <f t="shared" si="14"/>
        <v>0</v>
      </c>
      <c r="AW40" s="775">
        <f t="shared" si="15"/>
        <v>1132.7492730978427</v>
      </c>
      <c r="AX40" s="530">
        <f t="shared" si="16"/>
        <v>42741.243231537097</v>
      </c>
      <c r="AZ40" s="684">
        <f t="shared" si="22"/>
        <v>58.806527603037097</v>
      </c>
      <c r="BA40" s="417">
        <f t="shared" si="17"/>
        <v>0.13848501093776203</v>
      </c>
      <c r="BB40" s="205">
        <f>'Input data'!D84/10^6</f>
        <v>0</v>
      </c>
    </row>
    <row r="41" spans="1:54">
      <c r="A41" s="542">
        <f>'Input data'!A85</f>
        <v>1985</v>
      </c>
      <c r="B41" s="1232">
        <f>'Input data'!I85</f>
        <v>578.73</v>
      </c>
      <c r="C41" s="237">
        <f>B41*'Input data'!B85</f>
        <v>16488.1797444</v>
      </c>
      <c r="D41" s="649">
        <f>'Input data'!N85</f>
        <v>0.19892488097366726</v>
      </c>
      <c r="E41" s="417">
        <f>'Input data'!O85</f>
        <v>0.26585903447659598</v>
      </c>
      <c r="F41" s="417">
        <f>'Input data'!P85</f>
        <v>8.9228108703258049E-2</v>
      </c>
      <c r="G41" s="417">
        <f>'Input data'!Q85</f>
        <v>0</v>
      </c>
      <c r="H41" s="417">
        <f>'Input data'!R85</f>
        <v>0</v>
      </c>
      <c r="I41" s="417">
        <f>'Input data'!S85</f>
        <v>0</v>
      </c>
      <c r="J41" s="417">
        <f>'Input data'!T85</f>
        <v>0.4459879758464787</v>
      </c>
      <c r="K41" s="525">
        <f>'Input data'!U85</f>
        <v>1</v>
      </c>
      <c r="L41" s="649">
        <f>'Input data'!V85</f>
        <v>0.29028184578274857</v>
      </c>
      <c r="M41" s="417">
        <f>'Input data'!W85</f>
        <v>0.30317187715157518</v>
      </c>
      <c r="N41" s="417">
        <f>'Input data'!X85</f>
        <v>8.2805443243048754E-2</v>
      </c>
      <c r="O41" s="417">
        <f>'Input data'!Y85</f>
        <v>0</v>
      </c>
      <c r="P41" s="417">
        <f>'Input data'!Z85</f>
        <v>0</v>
      </c>
      <c r="Q41" s="417">
        <f>'Input data'!AA85</f>
        <v>0</v>
      </c>
      <c r="R41" s="417">
        <f>'Input data'!AB85</f>
        <v>0.32374083382262742</v>
      </c>
      <c r="S41" s="417">
        <f t="shared" si="6"/>
        <v>0.99999999999999989</v>
      </c>
      <c r="T41" s="649">
        <f t="shared" si="26"/>
        <v>0.8</v>
      </c>
      <c r="U41" s="417">
        <f t="shared" si="26"/>
        <v>0.11</v>
      </c>
      <c r="V41" s="417">
        <f t="shared" si="26"/>
        <v>0.09</v>
      </c>
      <c r="W41" s="417">
        <f t="shared" si="26"/>
        <v>0</v>
      </c>
      <c r="X41" s="525">
        <f t="shared" si="8"/>
        <v>1</v>
      </c>
      <c r="Y41" s="649">
        <f>'Input data'!$G$35</f>
        <v>0.66241124199764068</v>
      </c>
      <c r="Z41" s="525">
        <f>'Input data'!$H$35</f>
        <v>0.33758875800235938</v>
      </c>
      <c r="AA41" s="523">
        <f>'Input data'!J85</f>
        <v>28.161493315089835</v>
      </c>
      <c r="AB41" s="236">
        <f>'Input data'!L85</f>
        <v>42223.440028488825</v>
      </c>
      <c r="AC41" s="417">
        <f t="shared" si="27"/>
        <v>0.88463681982043585</v>
      </c>
      <c r="AD41" s="417">
        <f t="shared" si="27"/>
        <v>8.8860692477895534E-2</v>
      </c>
      <c r="AE41" s="417">
        <f t="shared" si="27"/>
        <v>0</v>
      </c>
      <c r="AF41" s="417">
        <f t="shared" si="27"/>
        <v>2.6502487701668711E-2</v>
      </c>
      <c r="AG41" s="417">
        <f t="shared" si="20"/>
        <v>1</v>
      </c>
      <c r="AH41" s="436">
        <f t="shared" si="28"/>
        <v>0.78201761382701329</v>
      </c>
      <c r="AI41" s="1233">
        <f t="shared" si="28"/>
        <v>0.21798238617298668</v>
      </c>
      <c r="AK41" s="542">
        <f t="shared" si="0"/>
        <v>1985</v>
      </c>
      <c r="AL41" s="235">
        <f t="shared" si="1"/>
        <v>13190.543795520001</v>
      </c>
      <c r="AM41" s="419">
        <f t="shared" si="2"/>
        <v>1201.415118504518</v>
      </c>
      <c r="AN41" s="419">
        <f t="shared" si="3"/>
        <v>612.28465337948205</v>
      </c>
      <c r="AO41" s="419">
        <f t="shared" si="4"/>
        <v>1483.9361769960001</v>
      </c>
      <c r="AP41" s="419">
        <f t="shared" si="5"/>
        <v>0</v>
      </c>
      <c r="AQ41" s="237">
        <f t="shared" si="10"/>
        <v>16488.1797444</v>
      </c>
      <c r="AS41" s="527">
        <f t="shared" si="11"/>
        <v>37352.409708681247</v>
      </c>
      <c r="AT41" s="775">
        <f t="shared" si="12"/>
        <v>2934.1333087806988</v>
      </c>
      <c r="AU41" s="775">
        <f t="shared" si="13"/>
        <v>817.8708109497112</v>
      </c>
      <c r="AV41" s="419">
        <f t="shared" si="14"/>
        <v>0</v>
      </c>
      <c r="AW41" s="775">
        <f t="shared" si="15"/>
        <v>1119.0262000771716</v>
      </c>
      <c r="AX41" s="530">
        <f t="shared" si="16"/>
        <v>42223.440028488825</v>
      </c>
      <c r="AZ41" s="684">
        <f t="shared" si="22"/>
        <v>58.711619772888824</v>
      </c>
      <c r="BA41" s="417">
        <f t="shared" si="17"/>
        <v>0.13913202020802715</v>
      </c>
      <c r="BB41" s="205">
        <f>'Input data'!D85/10^6</f>
        <v>0</v>
      </c>
    </row>
    <row r="42" spans="1:54">
      <c r="A42" s="542">
        <f>'Input data'!A86</f>
        <v>1986</v>
      </c>
      <c r="B42" s="1232">
        <f>'Input data'!I86</f>
        <v>578.73</v>
      </c>
      <c r="C42" s="237">
        <f>B42*'Input data'!B86</f>
        <v>16916.341560300003</v>
      </c>
      <c r="D42" s="649">
        <f>'Input data'!N86</f>
        <v>0.19892488097366726</v>
      </c>
      <c r="E42" s="417">
        <f>'Input data'!O86</f>
        <v>0.26585903447659598</v>
      </c>
      <c r="F42" s="417">
        <f>'Input data'!P86</f>
        <v>8.9228108703258049E-2</v>
      </c>
      <c r="G42" s="417">
        <f>'Input data'!Q86</f>
        <v>0</v>
      </c>
      <c r="H42" s="417">
        <f>'Input data'!R86</f>
        <v>0</v>
      </c>
      <c r="I42" s="417">
        <f>'Input data'!S86</f>
        <v>0</v>
      </c>
      <c r="J42" s="417">
        <f>'Input data'!T86</f>
        <v>0.4459879758464787</v>
      </c>
      <c r="K42" s="525">
        <f>'Input data'!U86</f>
        <v>1</v>
      </c>
      <c r="L42" s="649">
        <f>'Input data'!V86</f>
        <v>0.29028184578274857</v>
      </c>
      <c r="M42" s="417">
        <f>'Input data'!W86</f>
        <v>0.30317187715157518</v>
      </c>
      <c r="N42" s="417">
        <f>'Input data'!X86</f>
        <v>8.2805443243048754E-2</v>
      </c>
      <c r="O42" s="417">
        <f>'Input data'!Y86</f>
        <v>0</v>
      </c>
      <c r="P42" s="417">
        <f>'Input data'!Z86</f>
        <v>0</v>
      </c>
      <c r="Q42" s="417">
        <f>'Input data'!AA86</f>
        <v>0</v>
      </c>
      <c r="R42" s="417">
        <f>'Input data'!AB86</f>
        <v>0.32374083382262742</v>
      </c>
      <c r="S42" s="417">
        <f t="shared" si="6"/>
        <v>0.99999999999999989</v>
      </c>
      <c r="T42" s="649">
        <f t="shared" si="26"/>
        <v>0.8</v>
      </c>
      <c r="U42" s="417">
        <f t="shared" si="26"/>
        <v>0.11</v>
      </c>
      <c r="V42" s="417">
        <f t="shared" si="26"/>
        <v>0.09</v>
      </c>
      <c r="W42" s="417">
        <f t="shared" si="26"/>
        <v>0</v>
      </c>
      <c r="X42" s="525">
        <f t="shared" si="8"/>
        <v>1</v>
      </c>
      <c r="Y42" s="649">
        <f>'Input data'!$G$35</f>
        <v>0.66241124199764068</v>
      </c>
      <c r="Z42" s="525">
        <f>'Input data'!$H$35</f>
        <v>0.33758875800235938</v>
      </c>
      <c r="AA42" s="523">
        <f>'Input data'!J86</f>
        <v>28.161493315089835</v>
      </c>
      <c r="AB42" s="236">
        <f>'Input data'!L86</f>
        <v>42230.970485281869</v>
      </c>
      <c r="AC42" s="417">
        <f t="shared" si="27"/>
        <v>0.88463681982043585</v>
      </c>
      <c r="AD42" s="417">
        <f t="shared" si="27"/>
        <v>8.8860692477895534E-2</v>
      </c>
      <c r="AE42" s="417">
        <f t="shared" si="27"/>
        <v>0</v>
      </c>
      <c r="AF42" s="417">
        <f t="shared" si="27"/>
        <v>2.6502487701668711E-2</v>
      </c>
      <c r="AG42" s="417">
        <f t="shared" si="20"/>
        <v>1</v>
      </c>
      <c r="AH42" s="436">
        <f t="shared" si="28"/>
        <v>0.78201761382701329</v>
      </c>
      <c r="AI42" s="1233">
        <f t="shared" si="28"/>
        <v>0.21798238617298668</v>
      </c>
      <c r="AK42" s="542">
        <f t="shared" si="0"/>
        <v>1986</v>
      </c>
      <c r="AL42" s="235">
        <f t="shared" si="1"/>
        <v>13533.073248240004</v>
      </c>
      <c r="AM42" s="419">
        <f t="shared" si="2"/>
        <v>1232.6132305316094</v>
      </c>
      <c r="AN42" s="419">
        <f t="shared" si="3"/>
        <v>628.18434110139094</v>
      </c>
      <c r="AO42" s="419">
        <f t="shared" si="4"/>
        <v>1522.4707404270002</v>
      </c>
      <c r="AP42" s="419">
        <f t="shared" si="5"/>
        <v>0</v>
      </c>
      <c r="AQ42" s="237">
        <f t="shared" si="10"/>
        <v>16916.341560300003</v>
      </c>
      <c r="AS42" s="527">
        <f t="shared" si="11"/>
        <v>37359.071428030438</v>
      </c>
      <c r="AT42" s="775">
        <f t="shared" si="12"/>
        <v>2934.6566049425437</v>
      </c>
      <c r="AU42" s="775">
        <f t="shared" si="13"/>
        <v>818.01667639317088</v>
      </c>
      <c r="AV42" s="419">
        <f t="shared" si="14"/>
        <v>0</v>
      </c>
      <c r="AW42" s="775">
        <f t="shared" si="15"/>
        <v>1119.2257759157171</v>
      </c>
      <c r="AX42" s="530">
        <f t="shared" si="16"/>
        <v>42230.970485281869</v>
      </c>
      <c r="AZ42" s="684">
        <f t="shared" si="22"/>
        <v>59.14731204558187</v>
      </c>
      <c r="BA42" s="417">
        <f t="shared" si="17"/>
        <v>0.13956961159874157</v>
      </c>
      <c r="BB42" s="205">
        <f>'Input data'!D86/10^6</f>
        <v>0</v>
      </c>
    </row>
    <row r="43" spans="1:54">
      <c r="A43" s="542">
        <f>'Input data'!A87</f>
        <v>1987</v>
      </c>
      <c r="B43" s="1232">
        <f>'Input data'!I87</f>
        <v>578.73</v>
      </c>
      <c r="C43" s="237">
        <f>B43*'Input data'!B87</f>
        <v>17343.976731900002</v>
      </c>
      <c r="D43" s="649">
        <f>'Input data'!N87</f>
        <v>0.19892488097366726</v>
      </c>
      <c r="E43" s="417">
        <f>'Input data'!O87</f>
        <v>0.26585903447659598</v>
      </c>
      <c r="F43" s="417">
        <f>'Input data'!P87</f>
        <v>8.9228108703258049E-2</v>
      </c>
      <c r="G43" s="417">
        <f>'Input data'!Q87</f>
        <v>0</v>
      </c>
      <c r="H43" s="417">
        <f>'Input data'!R87</f>
        <v>0</v>
      </c>
      <c r="I43" s="417">
        <f>'Input data'!S87</f>
        <v>0</v>
      </c>
      <c r="J43" s="417">
        <f>'Input data'!T87</f>
        <v>0.4459879758464787</v>
      </c>
      <c r="K43" s="525">
        <f>'Input data'!U87</f>
        <v>1</v>
      </c>
      <c r="L43" s="649">
        <f>'Input data'!V87</f>
        <v>0.29028184578274857</v>
      </c>
      <c r="M43" s="417">
        <f>'Input data'!W87</f>
        <v>0.30317187715157518</v>
      </c>
      <c r="N43" s="417">
        <f>'Input data'!X87</f>
        <v>8.2805443243048754E-2</v>
      </c>
      <c r="O43" s="417">
        <f>'Input data'!Y87</f>
        <v>0</v>
      </c>
      <c r="P43" s="417">
        <f>'Input data'!Z87</f>
        <v>0</v>
      </c>
      <c r="Q43" s="417">
        <f>'Input data'!AA87</f>
        <v>0</v>
      </c>
      <c r="R43" s="417">
        <f>'Input data'!AB87</f>
        <v>0.32374083382262742</v>
      </c>
      <c r="S43" s="417">
        <f t="shared" si="6"/>
        <v>0.99999999999999989</v>
      </c>
      <c r="T43" s="649">
        <f t="shared" si="26"/>
        <v>0.8</v>
      </c>
      <c r="U43" s="417">
        <f t="shared" si="26"/>
        <v>0.11</v>
      </c>
      <c r="V43" s="417">
        <f t="shared" si="26"/>
        <v>0.09</v>
      </c>
      <c r="W43" s="417">
        <f t="shared" si="26"/>
        <v>0</v>
      </c>
      <c r="X43" s="525">
        <f t="shared" si="8"/>
        <v>1</v>
      </c>
      <c r="Y43" s="649">
        <f>'Input data'!$G$35</f>
        <v>0.66241124199764068</v>
      </c>
      <c r="Z43" s="525">
        <f>'Input data'!$H$35</f>
        <v>0.33758875800235938</v>
      </c>
      <c r="AA43" s="523">
        <f>'Input data'!J87</f>
        <v>28.161493315089835</v>
      </c>
      <c r="AB43" s="236">
        <f>'Input data'!L87</f>
        <v>43118.131356436301</v>
      </c>
      <c r="AC43" s="417">
        <f t="shared" si="27"/>
        <v>0.88463681982043585</v>
      </c>
      <c r="AD43" s="417">
        <f t="shared" si="27"/>
        <v>8.8860692477895534E-2</v>
      </c>
      <c r="AE43" s="417">
        <f t="shared" si="27"/>
        <v>0</v>
      </c>
      <c r="AF43" s="417">
        <f t="shared" si="27"/>
        <v>2.6502487701668711E-2</v>
      </c>
      <c r="AG43" s="417">
        <f t="shared" si="20"/>
        <v>1</v>
      </c>
      <c r="AH43" s="436">
        <f t="shared" si="28"/>
        <v>0.78201761382701329</v>
      </c>
      <c r="AI43" s="1233">
        <f t="shared" si="28"/>
        <v>0.21798238617298668</v>
      </c>
      <c r="AK43" s="542">
        <f t="shared" si="0"/>
        <v>1987</v>
      </c>
      <c r="AL43" s="235">
        <f t="shared" si="1"/>
        <v>13875.181385520002</v>
      </c>
      <c r="AM43" s="419">
        <f t="shared" si="2"/>
        <v>1263.7729684971669</v>
      </c>
      <c r="AN43" s="419">
        <f t="shared" si="3"/>
        <v>644.06447201183357</v>
      </c>
      <c r="AO43" s="419">
        <f t="shared" si="4"/>
        <v>1560.9579058710001</v>
      </c>
      <c r="AP43" s="419">
        <f t="shared" si="5"/>
        <v>0</v>
      </c>
      <c r="AQ43" s="237">
        <f t="shared" si="10"/>
        <v>17343.976731900002</v>
      </c>
      <c r="AS43" s="527">
        <f t="shared" si="11"/>
        <v>38143.886599757629</v>
      </c>
      <c r="AT43" s="775">
        <f t="shared" si="12"/>
        <v>2996.3059698579746</v>
      </c>
      <c r="AU43" s="775">
        <f t="shared" si="13"/>
        <v>835.20104082781586</v>
      </c>
      <c r="AV43" s="419">
        <f t="shared" si="14"/>
        <v>0</v>
      </c>
      <c r="AW43" s="775">
        <f t="shared" si="15"/>
        <v>1142.7377459928891</v>
      </c>
      <c r="AX43" s="530">
        <f t="shared" si="16"/>
        <v>43118.131356436308</v>
      </c>
      <c r="AZ43" s="684">
        <f t="shared" si="22"/>
        <v>60.462108088336308</v>
      </c>
      <c r="BA43" s="417">
        <f t="shared" si="17"/>
        <v>0.13964184131197072</v>
      </c>
      <c r="BB43" s="205">
        <f>'Input data'!D87/10^6</f>
        <v>0</v>
      </c>
    </row>
    <row r="44" spans="1:54">
      <c r="A44" s="542">
        <f>'Input data'!A88</f>
        <v>1988</v>
      </c>
      <c r="B44" s="1232">
        <f>'Input data'!I88</f>
        <v>578.73</v>
      </c>
      <c r="C44" s="237">
        <f>B44*'Input data'!B88</f>
        <v>17762.658950400004</v>
      </c>
      <c r="D44" s="649">
        <f>'Input data'!N88</f>
        <v>0.19892488097366726</v>
      </c>
      <c r="E44" s="417">
        <f>'Input data'!O88</f>
        <v>0.26585903447659598</v>
      </c>
      <c r="F44" s="417">
        <f>'Input data'!P88</f>
        <v>8.9228108703258049E-2</v>
      </c>
      <c r="G44" s="417">
        <f>'Input data'!Q88</f>
        <v>0</v>
      </c>
      <c r="H44" s="417">
        <f>'Input data'!R88</f>
        <v>0</v>
      </c>
      <c r="I44" s="417">
        <f>'Input data'!S88</f>
        <v>0</v>
      </c>
      <c r="J44" s="417">
        <f>'Input data'!T88</f>
        <v>0.4459879758464787</v>
      </c>
      <c r="K44" s="525">
        <f>'Input data'!U88</f>
        <v>1</v>
      </c>
      <c r="L44" s="649">
        <f>'Input data'!V88</f>
        <v>0.29028184578274857</v>
      </c>
      <c r="M44" s="417">
        <f>'Input data'!W88</f>
        <v>0.30317187715157518</v>
      </c>
      <c r="N44" s="417">
        <f>'Input data'!X88</f>
        <v>8.2805443243048754E-2</v>
      </c>
      <c r="O44" s="417">
        <f>'Input data'!Y88</f>
        <v>0</v>
      </c>
      <c r="P44" s="417">
        <f>'Input data'!Z88</f>
        <v>0</v>
      </c>
      <c r="Q44" s="417">
        <f>'Input data'!AA88</f>
        <v>0</v>
      </c>
      <c r="R44" s="417">
        <f>'Input data'!AB88</f>
        <v>0.32374083382262742</v>
      </c>
      <c r="S44" s="417">
        <f t="shared" si="6"/>
        <v>0.99999999999999989</v>
      </c>
      <c r="T44" s="649">
        <f t="shared" si="26"/>
        <v>0.8</v>
      </c>
      <c r="U44" s="417">
        <f t="shared" si="26"/>
        <v>0.11</v>
      </c>
      <c r="V44" s="417">
        <f t="shared" si="26"/>
        <v>0.09</v>
      </c>
      <c r="W44" s="417">
        <f t="shared" si="26"/>
        <v>0</v>
      </c>
      <c r="X44" s="525">
        <f t="shared" si="8"/>
        <v>1</v>
      </c>
      <c r="Y44" s="649">
        <f>'Input data'!$G$35</f>
        <v>0.66241124199764068</v>
      </c>
      <c r="Z44" s="525">
        <f>'Input data'!$H$35</f>
        <v>0.33758875800235938</v>
      </c>
      <c r="AA44" s="523">
        <f>'Input data'!J88</f>
        <v>28.161493315089835</v>
      </c>
      <c r="AB44" s="236">
        <f>'Input data'!L88</f>
        <v>44929.15002605856</v>
      </c>
      <c r="AC44" s="417">
        <f t="shared" si="27"/>
        <v>0.88463681982043585</v>
      </c>
      <c r="AD44" s="417">
        <f t="shared" si="27"/>
        <v>8.8860692477895534E-2</v>
      </c>
      <c r="AE44" s="417">
        <f t="shared" si="27"/>
        <v>0</v>
      </c>
      <c r="AF44" s="417">
        <f t="shared" si="27"/>
        <v>2.6502487701668711E-2</v>
      </c>
      <c r="AG44" s="417">
        <f t="shared" si="20"/>
        <v>1</v>
      </c>
      <c r="AH44" s="436">
        <f t="shared" si="28"/>
        <v>0.78201761382701329</v>
      </c>
      <c r="AI44" s="1233">
        <f t="shared" si="28"/>
        <v>0.21798238617298668</v>
      </c>
      <c r="AK44" s="542">
        <f t="shared" si="0"/>
        <v>1988</v>
      </c>
      <c r="AL44" s="235">
        <f t="shared" si="1"/>
        <v>14210.127160320004</v>
      </c>
      <c r="AM44" s="419">
        <f t="shared" si="2"/>
        <v>1294.2803474166471</v>
      </c>
      <c r="AN44" s="419">
        <f t="shared" si="3"/>
        <v>659.61213712735321</v>
      </c>
      <c r="AO44" s="419">
        <f t="shared" si="4"/>
        <v>1598.6393055360004</v>
      </c>
      <c r="AP44" s="419">
        <f t="shared" si="5"/>
        <v>0</v>
      </c>
      <c r="AQ44" s="237">
        <f t="shared" si="10"/>
        <v>17762.658950400004</v>
      </c>
      <c r="AS44" s="527">
        <f t="shared" si="11"/>
        <v>39745.980396287698</v>
      </c>
      <c r="AT44" s="775">
        <f t="shared" si="12"/>
        <v>3122.1547921656102</v>
      </c>
      <c r="AU44" s="775">
        <f t="shared" si="13"/>
        <v>870.28059159321174</v>
      </c>
      <c r="AV44" s="419">
        <f t="shared" si="14"/>
        <v>0</v>
      </c>
      <c r="AW44" s="775">
        <f t="shared" si="15"/>
        <v>1190.7342460120453</v>
      </c>
      <c r="AX44" s="530">
        <f t="shared" si="16"/>
        <v>44929.15002605856</v>
      </c>
      <c r="AZ44" s="684">
        <f t="shared" si="22"/>
        <v>62.69180897645856</v>
      </c>
      <c r="BA44" s="417">
        <f t="shared" si="17"/>
        <v>0.13934358511063555</v>
      </c>
      <c r="BB44" s="205">
        <f>'Input data'!D88/10^6</f>
        <v>0</v>
      </c>
    </row>
    <row r="45" spans="1:54">
      <c r="A45" s="542">
        <f>'Input data'!A89</f>
        <v>1989</v>
      </c>
      <c r="B45" s="1232">
        <f>'Input data'!I89</f>
        <v>578.73</v>
      </c>
      <c r="C45" s="237">
        <f>B45*'Input data'!B89</f>
        <v>18164.488551300001</v>
      </c>
      <c r="D45" s="649">
        <f>'Input data'!N89</f>
        <v>0.19892488097366726</v>
      </c>
      <c r="E45" s="417">
        <f>'Input data'!O89</f>
        <v>0.26585903447659598</v>
      </c>
      <c r="F45" s="417">
        <f>'Input data'!P89</f>
        <v>8.9228108703258049E-2</v>
      </c>
      <c r="G45" s="417">
        <f>'Input data'!Q89</f>
        <v>0</v>
      </c>
      <c r="H45" s="417">
        <f>'Input data'!R89</f>
        <v>0</v>
      </c>
      <c r="I45" s="417">
        <f>'Input data'!S89</f>
        <v>0</v>
      </c>
      <c r="J45" s="417">
        <f>'Input data'!T89</f>
        <v>0.4459879758464787</v>
      </c>
      <c r="K45" s="525">
        <f>'Input data'!U89</f>
        <v>1</v>
      </c>
      <c r="L45" s="649">
        <f>'Input data'!V89</f>
        <v>0.29028184578274857</v>
      </c>
      <c r="M45" s="417">
        <f>'Input data'!W89</f>
        <v>0.30317187715157518</v>
      </c>
      <c r="N45" s="417">
        <f>'Input data'!X89</f>
        <v>8.2805443243048754E-2</v>
      </c>
      <c r="O45" s="417">
        <f>'Input data'!Y89</f>
        <v>0</v>
      </c>
      <c r="P45" s="417">
        <f>'Input data'!Z89</f>
        <v>0</v>
      </c>
      <c r="Q45" s="417">
        <f>'Input data'!AA89</f>
        <v>0</v>
      </c>
      <c r="R45" s="417">
        <f>'Input data'!AB89</f>
        <v>0.32374083382262742</v>
      </c>
      <c r="S45" s="417">
        <f t="shared" si="6"/>
        <v>0.99999999999999989</v>
      </c>
      <c r="T45" s="649">
        <f t="shared" si="26"/>
        <v>0.8</v>
      </c>
      <c r="U45" s="417">
        <f t="shared" si="26"/>
        <v>0.11</v>
      </c>
      <c r="V45" s="417">
        <f t="shared" si="26"/>
        <v>0.09</v>
      </c>
      <c r="W45" s="417">
        <f t="shared" si="26"/>
        <v>0</v>
      </c>
      <c r="X45" s="525">
        <f t="shared" si="8"/>
        <v>1</v>
      </c>
      <c r="Y45" s="649">
        <f>'Input data'!$G$35</f>
        <v>0.66241124199764068</v>
      </c>
      <c r="Z45" s="525">
        <f>'Input data'!$H$35</f>
        <v>0.33758875800235938</v>
      </c>
      <c r="AA45" s="523">
        <f>'Input data'!J89</f>
        <v>28.161493315089835</v>
      </c>
      <c r="AB45" s="236">
        <f>'Input data'!L89</f>
        <v>46005.106193655956</v>
      </c>
      <c r="AC45" s="417">
        <f t="shared" si="27"/>
        <v>0.88463681982043585</v>
      </c>
      <c r="AD45" s="417">
        <f t="shared" si="27"/>
        <v>8.8860692477895534E-2</v>
      </c>
      <c r="AE45" s="417">
        <f t="shared" si="27"/>
        <v>0</v>
      </c>
      <c r="AF45" s="417">
        <f t="shared" si="27"/>
        <v>2.6502487701668711E-2</v>
      </c>
      <c r="AG45" s="417">
        <f t="shared" si="20"/>
        <v>1</v>
      </c>
      <c r="AH45" s="436">
        <f t="shared" si="28"/>
        <v>0.78201761382701329</v>
      </c>
      <c r="AI45" s="1233">
        <f t="shared" si="28"/>
        <v>0.21798238617298668</v>
      </c>
      <c r="AK45" s="542">
        <f t="shared" si="0"/>
        <v>1989</v>
      </c>
      <c r="AL45" s="235">
        <f t="shared" si="1"/>
        <v>14531.590841040001</v>
      </c>
      <c r="AM45" s="419">
        <f t="shared" si="2"/>
        <v>1323.5597563670415</v>
      </c>
      <c r="AN45" s="419">
        <f t="shared" si="3"/>
        <v>674.5339842759588</v>
      </c>
      <c r="AO45" s="419">
        <f t="shared" si="4"/>
        <v>1634.8039696170001</v>
      </c>
      <c r="AP45" s="419">
        <f t="shared" si="5"/>
        <v>0</v>
      </c>
      <c r="AQ45" s="237">
        <f t="shared" si="10"/>
        <v>18164.488551300004</v>
      </c>
      <c r="AS45" s="527">
        <f t="shared" si="11"/>
        <v>40697.810838657242</v>
      </c>
      <c r="AT45" s="775">
        <f t="shared" si="12"/>
        <v>3196.9236605478518</v>
      </c>
      <c r="AU45" s="775">
        <f t="shared" si="13"/>
        <v>891.12193333953746</v>
      </c>
      <c r="AV45" s="419">
        <f t="shared" si="14"/>
        <v>0</v>
      </c>
      <c r="AW45" s="775">
        <f t="shared" si="15"/>
        <v>1219.2497611113299</v>
      </c>
      <c r="AX45" s="530">
        <f t="shared" si="16"/>
        <v>46005.106193655956</v>
      </c>
      <c r="AZ45" s="684">
        <f t="shared" si="22"/>
        <v>64.169594744955958</v>
      </c>
      <c r="BA45" s="417">
        <f t="shared" si="17"/>
        <v>0.13932132656894269</v>
      </c>
      <c r="BB45" s="205">
        <f>'Input data'!D89/10^6</f>
        <v>0</v>
      </c>
    </row>
    <row r="46" spans="1:54">
      <c r="A46" s="542">
        <f>'Input data'!A90</f>
        <v>1990</v>
      </c>
      <c r="B46" s="1232">
        <f>'Input data'!I90</f>
        <v>578.73</v>
      </c>
      <c r="C46" s="237">
        <f>B46*'Input data'!B90</f>
        <v>18537.879360000003</v>
      </c>
      <c r="D46" s="649">
        <f>'Input data'!N90</f>
        <v>0.19892488097366726</v>
      </c>
      <c r="E46" s="417">
        <f>'Input data'!O90</f>
        <v>0.26585903447659598</v>
      </c>
      <c r="F46" s="417">
        <f>'Input data'!P90</f>
        <v>8.9228108703258049E-2</v>
      </c>
      <c r="G46" s="417">
        <f>'Input data'!Q90</f>
        <v>0</v>
      </c>
      <c r="H46" s="417">
        <f>'Input data'!R90</f>
        <v>0</v>
      </c>
      <c r="I46" s="417">
        <f>'Input data'!S90</f>
        <v>0</v>
      </c>
      <c r="J46" s="417">
        <f>'Input data'!T90</f>
        <v>0.4459879758464787</v>
      </c>
      <c r="K46" s="525">
        <f>'Input data'!U90</f>
        <v>1</v>
      </c>
      <c r="L46" s="649">
        <f>'Input data'!V90</f>
        <v>0.29028184578274857</v>
      </c>
      <c r="M46" s="417">
        <f>'Input data'!W90</f>
        <v>0.30317187715157518</v>
      </c>
      <c r="N46" s="417">
        <f>'Input data'!X90</f>
        <v>8.2805443243048754E-2</v>
      </c>
      <c r="O46" s="417">
        <f>'Input data'!Y90</f>
        <v>0</v>
      </c>
      <c r="P46" s="417">
        <f>'Input data'!Z90</f>
        <v>0</v>
      </c>
      <c r="Q46" s="417">
        <f>'Input data'!AA90</f>
        <v>0</v>
      </c>
      <c r="R46" s="417">
        <f>'Input data'!AB90</f>
        <v>0.32374083382262742</v>
      </c>
      <c r="S46" s="417">
        <f t="shared" si="6"/>
        <v>0.99999999999999989</v>
      </c>
      <c r="T46" s="649">
        <f t="shared" si="26"/>
        <v>0.8</v>
      </c>
      <c r="U46" s="417">
        <f t="shared" si="26"/>
        <v>0.11</v>
      </c>
      <c r="V46" s="417">
        <f t="shared" si="26"/>
        <v>0.09</v>
      </c>
      <c r="W46" s="417">
        <f t="shared" si="26"/>
        <v>0</v>
      </c>
      <c r="X46" s="525">
        <f t="shared" si="8"/>
        <v>1</v>
      </c>
      <c r="Y46" s="649">
        <f>'Input data'!$G$35</f>
        <v>0.66241124199764068</v>
      </c>
      <c r="Z46" s="525">
        <f>'Input data'!$H$35</f>
        <v>0.33758875800235938</v>
      </c>
      <c r="AA46" s="523">
        <f>'Input data'!J90</f>
        <v>28.161493315089835</v>
      </c>
      <c r="AB46" s="236">
        <f>'Input data'!L90</f>
        <v>45858.908555943926</v>
      </c>
      <c r="AC46" s="417">
        <f t="shared" si="27"/>
        <v>0.88463681982043585</v>
      </c>
      <c r="AD46" s="417">
        <f t="shared" si="27"/>
        <v>8.8860692477895534E-2</v>
      </c>
      <c r="AE46" s="417">
        <f t="shared" si="27"/>
        <v>0</v>
      </c>
      <c r="AF46" s="417">
        <f t="shared" si="27"/>
        <v>2.6502487701668711E-2</v>
      </c>
      <c r="AG46" s="417">
        <f t="shared" si="20"/>
        <v>1</v>
      </c>
      <c r="AH46" s="436">
        <f t="shared" si="28"/>
        <v>0.78201761382701329</v>
      </c>
      <c r="AI46" s="1233">
        <f t="shared" si="28"/>
        <v>0.21798238617298668</v>
      </c>
      <c r="AK46" s="542">
        <f t="shared" si="0"/>
        <v>1990</v>
      </c>
      <c r="AL46" s="235">
        <f t="shared" si="1"/>
        <v>14830.303488000003</v>
      </c>
      <c r="AM46" s="419">
        <f t="shared" si="2"/>
        <v>1350.7669659946034</v>
      </c>
      <c r="AN46" s="419">
        <f t="shared" si="3"/>
        <v>688.39976360539708</v>
      </c>
      <c r="AO46" s="419">
        <f t="shared" si="4"/>
        <v>1668.4091424000001</v>
      </c>
      <c r="AP46" s="419">
        <f t="shared" si="5"/>
        <v>0</v>
      </c>
      <c r="AQ46" s="237">
        <f t="shared" si="10"/>
        <v>18537.879360000003</v>
      </c>
      <c r="AS46" s="527">
        <f t="shared" si="11"/>
        <v>40568.47902536641</v>
      </c>
      <c r="AT46" s="775">
        <f t="shared" si="12"/>
        <v>3186.7642950819754</v>
      </c>
      <c r="AU46" s="775">
        <f t="shared" si="13"/>
        <v>888.29007547969013</v>
      </c>
      <c r="AV46" s="419">
        <f t="shared" si="14"/>
        <v>0</v>
      </c>
      <c r="AW46" s="775">
        <f t="shared" si="15"/>
        <v>1215.3751600158539</v>
      </c>
      <c r="AX46" s="530">
        <f t="shared" si="16"/>
        <v>45858.908555943926</v>
      </c>
      <c r="AZ46" s="684">
        <f t="shared" si="22"/>
        <v>64.396787915943932</v>
      </c>
      <c r="BA46" s="417">
        <f t="shared" si="17"/>
        <v>0.13972754998777995</v>
      </c>
      <c r="BB46" s="205">
        <f>'Input data'!D90/10^6</f>
        <v>0</v>
      </c>
    </row>
    <row r="47" spans="1:54">
      <c r="A47" s="542">
        <f>'Input data'!A91</f>
        <v>1991</v>
      </c>
      <c r="B47" s="1232">
        <f>'Input data'!I91</f>
        <v>578.73</v>
      </c>
      <c r="C47" s="237">
        <f>B47*'Input data'!B91</f>
        <v>18923.909631900002</v>
      </c>
      <c r="D47" s="649">
        <f>'Input data'!N91</f>
        <v>0.19892488097366726</v>
      </c>
      <c r="E47" s="417">
        <f>'Input data'!O91</f>
        <v>0.26585903447659598</v>
      </c>
      <c r="F47" s="417">
        <f>'Input data'!P91</f>
        <v>8.9228108703258049E-2</v>
      </c>
      <c r="G47" s="417">
        <f>'Input data'!Q91</f>
        <v>0</v>
      </c>
      <c r="H47" s="417">
        <f>'Input data'!R91</f>
        <v>0</v>
      </c>
      <c r="I47" s="417">
        <f>'Input data'!S91</f>
        <v>0</v>
      </c>
      <c r="J47" s="417">
        <f>'Input data'!T91</f>
        <v>0.4459879758464787</v>
      </c>
      <c r="K47" s="525">
        <f>'Input data'!U91</f>
        <v>1</v>
      </c>
      <c r="L47" s="649">
        <f>'Input data'!V91</f>
        <v>0.29028184578274857</v>
      </c>
      <c r="M47" s="417">
        <f>'Input data'!W91</f>
        <v>0.30317187715157518</v>
      </c>
      <c r="N47" s="417">
        <f>'Input data'!X91</f>
        <v>8.2805443243048754E-2</v>
      </c>
      <c r="O47" s="417">
        <f>'Input data'!Y91</f>
        <v>0</v>
      </c>
      <c r="P47" s="417">
        <f>'Input data'!Z91</f>
        <v>0</v>
      </c>
      <c r="Q47" s="417">
        <f>'Input data'!AA91</f>
        <v>0</v>
      </c>
      <c r="R47" s="417">
        <f>'Input data'!AB91</f>
        <v>0.32374083382262742</v>
      </c>
      <c r="S47" s="417">
        <f t="shared" si="6"/>
        <v>0.99999999999999989</v>
      </c>
      <c r="T47" s="649">
        <f t="shared" si="26"/>
        <v>0.8</v>
      </c>
      <c r="U47" s="417">
        <f t="shared" si="26"/>
        <v>0.11</v>
      </c>
      <c r="V47" s="417">
        <f t="shared" si="26"/>
        <v>0.09</v>
      </c>
      <c r="W47" s="417">
        <f t="shared" si="26"/>
        <v>0</v>
      </c>
      <c r="X47" s="525">
        <f t="shared" si="8"/>
        <v>1</v>
      </c>
      <c r="Y47" s="649">
        <f>'Input data'!$G$35</f>
        <v>0.66241124199764068</v>
      </c>
      <c r="Z47" s="525">
        <f>'Input data'!$H$35</f>
        <v>0.33758875800235938</v>
      </c>
      <c r="AA47" s="523">
        <f>'Input data'!J91</f>
        <v>28.161493315089835</v>
      </c>
      <c r="AB47" s="236">
        <f>'Input data'!L91</f>
        <v>45391.964035486402</v>
      </c>
      <c r="AC47" s="417">
        <f t="shared" si="27"/>
        <v>0.88463681982043585</v>
      </c>
      <c r="AD47" s="417">
        <f t="shared" si="27"/>
        <v>8.8860692477895534E-2</v>
      </c>
      <c r="AE47" s="417">
        <f t="shared" si="27"/>
        <v>0</v>
      </c>
      <c r="AF47" s="417">
        <f t="shared" si="27"/>
        <v>2.6502487701668711E-2</v>
      </c>
      <c r="AG47" s="417">
        <f t="shared" si="20"/>
        <v>1</v>
      </c>
      <c r="AH47" s="436">
        <f t="shared" si="28"/>
        <v>0.78201761382701329</v>
      </c>
      <c r="AI47" s="1233">
        <f t="shared" si="28"/>
        <v>0.21798238617298668</v>
      </c>
      <c r="AK47" s="542">
        <f t="shared" si="0"/>
        <v>1991</v>
      </c>
      <c r="AL47" s="235">
        <f t="shared" si="1"/>
        <v>15139.127705520003</v>
      </c>
      <c r="AM47" s="419">
        <f t="shared" si="2"/>
        <v>1378.8951530989796</v>
      </c>
      <c r="AN47" s="419">
        <f t="shared" si="3"/>
        <v>702.73490641002081</v>
      </c>
      <c r="AO47" s="419">
        <f t="shared" si="4"/>
        <v>1703.151866871</v>
      </c>
      <c r="AP47" s="419">
        <f t="shared" si="5"/>
        <v>0</v>
      </c>
      <c r="AQ47" s="237">
        <f t="shared" si="10"/>
        <v>18923.909631900002</v>
      </c>
      <c r="AS47" s="527">
        <f t="shared" si="11"/>
        <v>40155.402709756287</v>
      </c>
      <c r="AT47" s="775">
        <f t="shared" si="12"/>
        <v>3154.3160277237816</v>
      </c>
      <c r="AU47" s="775">
        <f t="shared" si="13"/>
        <v>879.24532940126915</v>
      </c>
      <c r="AV47" s="419">
        <f t="shared" si="14"/>
        <v>0</v>
      </c>
      <c r="AW47" s="775">
        <f t="shared" si="15"/>
        <v>1202.9999686050669</v>
      </c>
      <c r="AX47" s="530">
        <f t="shared" si="16"/>
        <v>45391.964035486402</v>
      </c>
      <c r="AZ47" s="684">
        <f t="shared" si="22"/>
        <v>64.315873667386398</v>
      </c>
      <c r="BA47" s="417">
        <f t="shared" si="17"/>
        <v>0.14026620082570224</v>
      </c>
      <c r="BB47" s="205">
        <f>'Input data'!D91/10^6</f>
        <v>0</v>
      </c>
    </row>
    <row r="48" spans="1:54">
      <c r="A48" s="542">
        <f>'Input data'!A92</f>
        <v>1992</v>
      </c>
      <c r="B48" s="1232">
        <f>'Input data'!I92</f>
        <v>578.73</v>
      </c>
      <c r="C48" s="237">
        <f>B48*'Input data'!B92</f>
        <v>19323.106011299998</v>
      </c>
      <c r="D48" s="649">
        <f>'Input data'!N92</f>
        <v>0.19892488097366726</v>
      </c>
      <c r="E48" s="417">
        <f>'Input data'!O92</f>
        <v>0.26585903447659598</v>
      </c>
      <c r="F48" s="417">
        <f>'Input data'!P92</f>
        <v>8.9228108703258049E-2</v>
      </c>
      <c r="G48" s="417">
        <f>'Input data'!Q92</f>
        <v>0</v>
      </c>
      <c r="H48" s="417">
        <f>'Input data'!R92</f>
        <v>0</v>
      </c>
      <c r="I48" s="417">
        <f>'Input data'!S92</f>
        <v>0</v>
      </c>
      <c r="J48" s="417">
        <f>'Input data'!T92</f>
        <v>0.4459879758464787</v>
      </c>
      <c r="K48" s="525">
        <f>'Input data'!U92</f>
        <v>1</v>
      </c>
      <c r="L48" s="649">
        <f>'Input data'!V92</f>
        <v>0.29028184578274857</v>
      </c>
      <c r="M48" s="417">
        <f>'Input data'!W92</f>
        <v>0.30317187715157518</v>
      </c>
      <c r="N48" s="417">
        <f>'Input data'!X92</f>
        <v>8.2805443243048754E-2</v>
      </c>
      <c r="O48" s="417">
        <f>'Input data'!Y92</f>
        <v>0</v>
      </c>
      <c r="P48" s="417">
        <f>'Input data'!Z92</f>
        <v>0</v>
      </c>
      <c r="Q48" s="417">
        <f>'Input data'!AA92</f>
        <v>0</v>
      </c>
      <c r="R48" s="417">
        <f>'Input data'!AB92</f>
        <v>0.32374083382262742</v>
      </c>
      <c r="S48" s="417">
        <f t="shared" si="6"/>
        <v>0.99999999999999989</v>
      </c>
      <c r="T48" s="649">
        <f t="shared" si="26"/>
        <v>0.8</v>
      </c>
      <c r="U48" s="417">
        <f t="shared" si="26"/>
        <v>0.11</v>
      </c>
      <c r="V48" s="417">
        <f t="shared" si="26"/>
        <v>0.09</v>
      </c>
      <c r="W48" s="417">
        <f t="shared" si="26"/>
        <v>0</v>
      </c>
      <c r="X48" s="525">
        <f t="shared" si="8"/>
        <v>1</v>
      </c>
      <c r="Y48" s="649">
        <f>'Input data'!$G$35</f>
        <v>0.66241124199764068</v>
      </c>
      <c r="Z48" s="525">
        <f>'Input data'!$H$35</f>
        <v>0.33758875800235938</v>
      </c>
      <c r="AA48" s="523">
        <f>'Input data'!J92</f>
        <v>28.161493315089835</v>
      </c>
      <c r="AB48" s="236">
        <f>'Input data'!L92</f>
        <v>44421.911941013641</v>
      </c>
      <c r="AC48" s="417">
        <f t="shared" si="27"/>
        <v>0.88463681982043585</v>
      </c>
      <c r="AD48" s="417">
        <f t="shared" si="27"/>
        <v>8.8860692477895534E-2</v>
      </c>
      <c r="AE48" s="417">
        <f t="shared" si="27"/>
        <v>0</v>
      </c>
      <c r="AF48" s="417">
        <f t="shared" si="27"/>
        <v>2.6502487701668711E-2</v>
      </c>
      <c r="AG48" s="417">
        <f t="shared" si="20"/>
        <v>1</v>
      </c>
      <c r="AH48" s="436">
        <f t="shared" si="28"/>
        <v>0.78201761382701329</v>
      </c>
      <c r="AI48" s="1233">
        <f t="shared" si="28"/>
        <v>0.21798238617298668</v>
      </c>
      <c r="AK48" s="542">
        <f t="shared" si="0"/>
        <v>1992</v>
      </c>
      <c r="AL48" s="235">
        <f t="shared" si="1"/>
        <v>15458.484809039999</v>
      </c>
      <c r="AM48" s="419">
        <f t="shared" si="2"/>
        <v>1407.982691741704</v>
      </c>
      <c r="AN48" s="419">
        <f t="shared" si="3"/>
        <v>717.55896950129602</v>
      </c>
      <c r="AO48" s="419">
        <f t="shared" si="4"/>
        <v>1739.0795410169999</v>
      </c>
      <c r="AP48" s="419">
        <f t="shared" si="5"/>
        <v>0</v>
      </c>
      <c r="AQ48" s="237">
        <f t="shared" si="10"/>
        <v>19323.106011299998</v>
      </c>
      <c r="AS48" s="527">
        <f t="shared" si="11"/>
        <v>39297.258909841752</v>
      </c>
      <c r="AT48" s="775">
        <f t="shared" si="12"/>
        <v>3086.9064997524802</v>
      </c>
      <c r="AU48" s="775">
        <f t="shared" si="13"/>
        <v>860.45535651808859</v>
      </c>
      <c r="AV48" s="419">
        <f t="shared" si="14"/>
        <v>0</v>
      </c>
      <c r="AW48" s="775">
        <f t="shared" si="15"/>
        <v>1177.2911749013244</v>
      </c>
      <c r="AX48" s="530">
        <f t="shared" si="16"/>
        <v>44421.911941013648</v>
      </c>
      <c r="AZ48" s="684">
        <f t="shared" si="22"/>
        <v>63.745017952313646</v>
      </c>
      <c r="BA48" s="417">
        <f t="shared" si="17"/>
        <v>0.1410192438906612</v>
      </c>
      <c r="BB48" s="205">
        <f>'Input data'!D92/10^6</f>
        <v>0</v>
      </c>
    </row>
    <row r="49" spans="1:54">
      <c r="A49" s="542">
        <f>'Input data'!A93</f>
        <v>1993</v>
      </c>
      <c r="B49" s="1232">
        <f>'Input data'!I93</f>
        <v>578.73</v>
      </c>
      <c r="C49" s="237">
        <f>B49*'Input data'!B93</f>
        <v>19735.468498199996</v>
      </c>
      <c r="D49" s="649">
        <f>'Input data'!N93</f>
        <v>0.19892488097366726</v>
      </c>
      <c r="E49" s="417">
        <f>'Input data'!O93</f>
        <v>0.26585903447659598</v>
      </c>
      <c r="F49" s="417">
        <f>'Input data'!P93</f>
        <v>8.9228108703258049E-2</v>
      </c>
      <c r="G49" s="417">
        <f>'Input data'!Q93</f>
        <v>0</v>
      </c>
      <c r="H49" s="417">
        <f>'Input data'!R93</f>
        <v>0</v>
      </c>
      <c r="I49" s="417">
        <f>'Input data'!S93</f>
        <v>0</v>
      </c>
      <c r="J49" s="417">
        <f>'Input data'!T93</f>
        <v>0.4459879758464787</v>
      </c>
      <c r="K49" s="525">
        <f>'Input data'!U93</f>
        <v>1</v>
      </c>
      <c r="L49" s="649">
        <f>'Input data'!V93</f>
        <v>0.29028184578274857</v>
      </c>
      <c r="M49" s="417">
        <f>'Input data'!W93</f>
        <v>0.30317187715157518</v>
      </c>
      <c r="N49" s="417">
        <f>'Input data'!X93</f>
        <v>8.2805443243048754E-2</v>
      </c>
      <c r="O49" s="417">
        <f>'Input data'!Y93</f>
        <v>0</v>
      </c>
      <c r="P49" s="417">
        <f>'Input data'!Z93</f>
        <v>0</v>
      </c>
      <c r="Q49" s="417">
        <f>'Input data'!AA93</f>
        <v>0</v>
      </c>
      <c r="R49" s="417">
        <f>'Input data'!AB93</f>
        <v>0.32374083382262742</v>
      </c>
      <c r="S49" s="417">
        <f t="shared" si="6"/>
        <v>0.99999999999999989</v>
      </c>
      <c r="T49" s="649">
        <f t="shared" si="26"/>
        <v>0.8</v>
      </c>
      <c r="U49" s="417">
        <f t="shared" si="26"/>
        <v>0.11</v>
      </c>
      <c r="V49" s="417">
        <f t="shared" si="26"/>
        <v>0.09</v>
      </c>
      <c r="W49" s="417">
        <f t="shared" si="26"/>
        <v>0</v>
      </c>
      <c r="X49" s="525">
        <f t="shared" si="8"/>
        <v>1</v>
      </c>
      <c r="Y49" s="649">
        <f>'Input data'!$G$35</f>
        <v>0.66241124199764068</v>
      </c>
      <c r="Z49" s="525">
        <f>'Input data'!$H$35</f>
        <v>0.33758875800235938</v>
      </c>
      <c r="AA49" s="523">
        <f>'Input data'!J93</f>
        <v>28.161493315089835</v>
      </c>
      <c r="AB49" s="236">
        <f>'Input data'!L93</f>
        <v>44969.865070541367</v>
      </c>
      <c r="AC49" s="417">
        <f t="shared" si="27"/>
        <v>0.88463681982043585</v>
      </c>
      <c r="AD49" s="417">
        <f t="shared" si="27"/>
        <v>8.8860692477895534E-2</v>
      </c>
      <c r="AE49" s="417">
        <f t="shared" si="27"/>
        <v>0</v>
      </c>
      <c r="AF49" s="417">
        <f t="shared" si="27"/>
        <v>2.6502487701668711E-2</v>
      </c>
      <c r="AG49" s="417">
        <f t="shared" si="20"/>
        <v>1</v>
      </c>
      <c r="AH49" s="436">
        <f t="shared" si="28"/>
        <v>0.78201761382701329</v>
      </c>
      <c r="AI49" s="1233">
        <f t="shared" si="28"/>
        <v>0.21798238617298668</v>
      </c>
      <c r="AK49" s="542">
        <f t="shared" si="0"/>
        <v>1993</v>
      </c>
      <c r="AL49" s="235">
        <f t="shared" si="1"/>
        <v>15788.374798559998</v>
      </c>
      <c r="AM49" s="419">
        <f t="shared" si="2"/>
        <v>1438.029581922777</v>
      </c>
      <c r="AN49" s="419">
        <f t="shared" si="3"/>
        <v>732.87195287922282</v>
      </c>
      <c r="AO49" s="419">
        <f t="shared" si="4"/>
        <v>1776.1921648379996</v>
      </c>
      <c r="AP49" s="419">
        <f t="shared" si="5"/>
        <v>0</v>
      </c>
      <c r="AQ49" s="237">
        <f t="shared" si="10"/>
        <v>19735.4684982</v>
      </c>
      <c r="AS49" s="527">
        <f t="shared" si="11"/>
        <v>39781.998423757817</v>
      </c>
      <c r="AT49" s="775">
        <f t="shared" si="12"/>
        <v>3124.984106122618</v>
      </c>
      <c r="AU49" s="775">
        <f t="shared" si="13"/>
        <v>871.06924468321438</v>
      </c>
      <c r="AV49" s="419">
        <f t="shared" si="14"/>
        <v>0</v>
      </c>
      <c r="AW49" s="775">
        <f t="shared" si="15"/>
        <v>1191.813295977724</v>
      </c>
      <c r="AX49" s="530">
        <f t="shared" si="16"/>
        <v>44969.865070541367</v>
      </c>
      <c r="AZ49" s="684">
        <f t="shared" si="22"/>
        <v>64.705333568741366</v>
      </c>
      <c r="BA49" s="417">
        <f t="shared" si="17"/>
        <v>0.1411778572583787</v>
      </c>
      <c r="BB49" s="205">
        <f>'Input data'!D93/10^6</f>
        <v>0</v>
      </c>
    </row>
    <row r="50" spans="1:54">
      <c r="A50" s="542">
        <f>'Input data'!A94</f>
        <v>1994</v>
      </c>
      <c r="B50" s="1232">
        <f>'Input data'!I94</f>
        <v>578.73</v>
      </c>
      <c r="C50" s="237">
        <f>B50*'Input data'!B94</f>
        <v>20161.523736900002</v>
      </c>
      <c r="D50" s="649">
        <f>'Input data'!N94</f>
        <v>0.19892488097366726</v>
      </c>
      <c r="E50" s="417">
        <f>'Input data'!O94</f>
        <v>0.26585903447659598</v>
      </c>
      <c r="F50" s="417">
        <f>'Input data'!P94</f>
        <v>8.9228108703258049E-2</v>
      </c>
      <c r="G50" s="417">
        <f>'Input data'!Q94</f>
        <v>0</v>
      </c>
      <c r="H50" s="417">
        <f>'Input data'!R94</f>
        <v>0</v>
      </c>
      <c r="I50" s="417">
        <f>'Input data'!S94</f>
        <v>0</v>
      </c>
      <c r="J50" s="417">
        <f>'Input data'!T94</f>
        <v>0.4459879758464787</v>
      </c>
      <c r="K50" s="525">
        <f>'Input data'!U94</f>
        <v>1</v>
      </c>
      <c r="L50" s="649">
        <f>'Input data'!V94</f>
        <v>0.29028184578274857</v>
      </c>
      <c r="M50" s="417">
        <f>'Input data'!W94</f>
        <v>0.30317187715157518</v>
      </c>
      <c r="N50" s="417">
        <f>'Input data'!X94</f>
        <v>8.2805443243048754E-2</v>
      </c>
      <c r="O50" s="417">
        <f>'Input data'!Y94</f>
        <v>0</v>
      </c>
      <c r="P50" s="417">
        <f>'Input data'!Z94</f>
        <v>0</v>
      </c>
      <c r="Q50" s="417">
        <f>'Input data'!AA94</f>
        <v>0</v>
      </c>
      <c r="R50" s="417">
        <f>'Input data'!AB94</f>
        <v>0.32374083382262742</v>
      </c>
      <c r="S50" s="417">
        <f t="shared" si="6"/>
        <v>0.99999999999999989</v>
      </c>
      <c r="T50" s="649">
        <f t="shared" si="26"/>
        <v>0.8</v>
      </c>
      <c r="U50" s="417">
        <f t="shared" si="26"/>
        <v>0.11</v>
      </c>
      <c r="V50" s="417">
        <f t="shared" si="26"/>
        <v>0.09</v>
      </c>
      <c r="W50" s="417">
        <f t="shared" si="26"/>
        <v>0</v>
      </c>
      <c r="X50" s="525">
        <f t="shared" si="8"/>
        <v>1</v>
      </c>
      <c r="Y50" s="649">
        <f>'Input data'!$G$35</f>
        <v>0.66241124199764068</v>
      </c>
      <c r="Z50" s="525">
        <f>'Input data'!$H$35</f>
        <v>0.33758875800235938</v>
      </c>
      <c r="AA50" s="523">
        <f>'Input data'!J94</f>
        <v>28.161493315089835</v>
      </c>
      <c r="AB50" s="236">
        <f>'Input data'!L94</f>
        <v>46408.901224532579</v>
      </c>
      <c r="AC50" s="417">
        <f t="shared" si="27"/>
        <v>0.88463681982043585</v>
      </c>
      <c r="AD50" s="417">
        <f t="shared" si="27"/>
        <v>8.8860692477895534E-2</v>
      </c>
      <c r="AE50" s="417">
        <f t="shared" si="27"/>
        <v>0</v>
      </c>
      <c r="AF50" s="417">
        <f t="shared" si="27"/>
        <v>2.6502487701668711E-2</v>
      </c>
      <c r="AG50" s="417">
        <f t="shared" si="20"/>
        <v>1</v>
      </c>
      <c r="AH50" s="436">
        <f t="shared" si="28"/>
        <v>0.78201761382701329</v>
      </c>
      <c r="AI50" s="1233">
        <f t="shared" si="28"/>
        <v>0.21798238617298668</v>
      </c>
      <c r="AK50" s="542">
        <f t="shared" si="0"/>
        <v>1994</v>
      </c>
      <c r="AL50" s="235">
        <f t="shared" si="1"/>
        <v>16129.218989520003</v>
      </c>
      <c r="AM50" s="419">
        <f t="shared" si="2"/>
        <v>1469.0741977037328</v>
      </c>
      <c r="AN50" s="419">
        <f t="shared" si="3"/>
        <v>748.69341335526758</v>
      </c>
      <c r="AO50" s="419">
        <f t="shared" si="4"/>
        <v>1814.5371363210002</v>
      </c>
      <c r="AP50" s="419">
        <f t="shared" si="5"/>
        <v>0</v>
      </c>
      <c r="AQ50" s="237">
        <f t="shared" si="10"/>
        <v>20161.523736900002</v>
      </c>
      <c r="AS50" s="527">
        <f t="shared" si="11"/>
        <v>41055.022790631228</v>
      </c>
      <c r="AT50" s="775">
        <f t="shared" si="12"/>
        <v>3224.983630299625</v>
      </c>
      <c r="AU50" s="775">
        <f t="shared" si="13"/>
        <v>898.94346965059367</v>
      </c>
      <c r="AV50" s="419">
        <f t="shared" si="14"/>
        <v>0</v>
      </c>
      <c r="AW50" s="775">
        <f t="shared" si="15"/>
        <v>1229.9513339511327</v>
      </c>
      <c r="AX50" s="530">
        <f t="shared" si="16"/>
        <v>46408.901224532579</v>
      </c>
      <c r="AZ50" s="684">
        <f t="shared" si="22"/>
        <v>66.570424961432579</v>
      </c>
      <c r="BA50" s="417">
        <f t="shared" si="17"/>
        <v>0.14099629357510057</v>
      </c>
      <c r="BB50" s="205">
        <f>'Input data'!D94/10^6</f>
        <v>0</v>
      </c>
    </row>
    <row r="51" spans="1:54">
      <c r="A51" s="542">
        <f>'Input data'!A95</f>
        <v>1995</v>
      </c>
      <c r="B51" s="1232">
        <f>'Input data'!I95</f>
        <v>578.73</v>
      </c>
      <c r="C51" s="237">
        <f>B51*'Input data'!B95</f>
        <v>20602.325015999999</v>
      </c>
      <c r="D51" s="649">
        <f>'Input data'!N95</f>
        <v>0.19892488097366726</v>
      </c>
      <c r="E51" s="417">
        <f>'Input data'!O95</f>
        <v>0.26585903447659598</v>
      </c>
      <c r="F51" s="417">
        <f>'Input data'!P95</f>
        <v>8.9228108703258049E-2</v>
      </c>
      <c r="G51" s="417">
        <f>'Input data'!Q95</f>
        <v>0</v>
      </c>
      <c r="H51" s="417">
        <f>'Input data'!R95</f>
        <v>0</v>
      </c>
      <c r="I51" s="417">
        <f>'Input data'!S95</f>
        <v>0</v>
      </c>
      <c r="J51" s="417">
        <f>'Input data'!T95</f>
        <v>0.4459879758464787</v>
      </c>
      <c r="K51" s="525">
        <f>'Input data'!U95</f>
        <v>1</v>
      </c>
      <c r="L51" s="649">
        <f>'Input data'!V95</f>
        <v>0.29028184578274857</v>
      </c>
      <c r="M51" s="417">
        <f>'Input data'!W95</f>
        <v>0.30317187715157518</v>
      </c>
      <c r="N51" s="417">
        <f>'Input data'!X95</f>
        <v>8.2805443243048754E-2</v>
      </c>
      <c r="O51" s="417">
        <f>'Input data'!Y95</f>
        <v>0</v>
      </c>
      <c r="P51" s="417">
        <f>'Input data'!Z95</f>
        <v>0</v>
      </c>
      <c r="Q51" s="417">
        <f>'Input data'!AA95</f>
        <v>0</v>
      </c>
      <c r="R51" s="417">
        <f>'Input data'!AB95</f>
        <v>0.32374083382262742</v>
      </c>
      <c r="S51" s="417">
        <f t="shared" si="6"/>
        <v>0.99999999999999989</v>
      </c>
      <c r="T51" s="649">
        <f t="shared" si="26"/>
        <v>0.8</v>
      </c>
      <c r="U51" s="417">
        <f t="shared" si="26"/>
        <v>0.11</v>
      </c>
      <c r="V51" s="417">
        <f t="shared" si="26"/>
        <v>0.09</v>
      </c>
      <c r="W51" s="417">
        <f t="shared" si="26"/>
        <v>0</v>
      </c>
      <c r="X51" s="525">
        <f t="shared" si="8"/>
        <v>1</v>
      </c>
      <c r="Y51" s="649">
        <f>'Input data'!$G$35</f>
        <v>0.66241124199764068</v>
      </c>
      <c r="Z51" s="525">
        <f>'Input data'!$H$35</f>
        <v>0.33758875800235938</v>
      </c>
      <c r="AA51" s="523">
        <f>'Input data'!J95</f>
        <v>28.161493315089835</v>
      </c>
      <c r="AB51" s="236">
        <f>'Input data'!L95</f>
        <v>47847.575036037226</v>
      </c>
      <c r="AC51" s="417">
        <f t="shared" si="27"/>
        <v>0.88463681982043585</v>
      </c>
      <c r="AD51" s="417">
        <f t="shared" si="27"/>
        <v>8.8860692477895534E-2</v>
      </c>
      <c r="AE51" s="417">
        <f t="shared" si="27"/>
        <v>0</v>
      </c>
      <c r="AF51" s="417">
        <f t="shared" si="27"/>
        <v>2.6502487701668711E-2</v>
      </c>
      <c r="AG51" s="417">
        <f t="shared" si="20"/>
        <v>1</v>
      </c>
      <c r="AH51" s="436">
        <f t="shared" si="28"/>
        <v>0.78201761382701329</v>
      </c>
      <c r="AI51" s="1233">
        <f t="shared" si="28"/>
        <v>0.21798238617298668</v>
      </c>
      <c r="AK51" s="542">
        <f t="shared" si="0"/>
        <v>1995</v>
      </c>
      <c r="AL51" s="235">
        <f t="shared" si="1"/>
        <v>16481.8600128</v>
      </c>
      <c r="AM51" s="419">
        <f t="shared" si="2"/>
        <v>1501.1932872076384</v>
      </c>
      <c r="AN51" s="419">
        <f t="shared" si="3"/>
        <v>765.06246455236158</v>
      </c>
      <c r="AO51" s="419">
        <f t="shared" si="4"/>
        <v>1854.2092514399999</v>
      </c>
      <c r="AP51" s="419">
        <f t="shared" si="5"/>
        <v>0</v>
      </c>
      <c r="AQ51" s="237">
        <f t="shared" si="10"/>
        <v>20602.325015999999</v>
      </c>
      <c r="AS51" s="527">
        <f t="shared" si="11"/>
        <v>42327.726615999651</v>
      </c>
      <c r="AT51" s="775">
        <f t="shared" si="12"/>
        <v>3324.9579750701628</v>
      </c>
      <c r="AU51" s="775">
        <f t="shared" si="13"/>
        <v>926.81067602017208</v>
      </c>
      <c r="AV51" s="419">
        <f t="shared" si="14"/>
        <v>0</v>
      </c>
      <c r="AW51" s="775">
        <f t="shared" si="15"/>
        <v>1268.0797689472474</v>
      </c>
      <c r="AX51" s="530">
        <f t="shared" si="16"/>
        <v>47847.575036037226</v>
      </c>
      <c r="AZ51" s="684">
        <f t="shared" si="22"/>
        <v>68.449900052037222</v>
      </c>
      <c r="BA51" s="417">
        <f t="shared" si="17"/>
        <v>0.14083750912578072</v>
      </c>
      <c r="BB51" s="205">
        <f>'Input data'!D95/10^6</f>
        <v>0</v>
      </c>
    </row>
    <row r="52" spans="1:54">
      <c r="A52" s="542">
        <f>'Input data'!A96</f>
        <v>1996</v>
      </c>
      <c r="B52" s="1232">
        <f>'Input data'!I96</f>
        <v>578.73</v>
      </c>
      <c r="C52" s="237">
        <f>B52*'Input data'!B96</f>
        <v>21065.772000000001</v>
      </c>
      <c r="D52" s="649">
        <f>'Input data'!N96</f>
        <v>0.19892488097366726</v>
      </c>
      <c r="E52" s="417">
        <f>'Input data'!O96</f>
        <v>0.26585903447659598</v>
      </c>
      <c r="F52" s="417">
        <f>'Input data'!P96</f>
        <v>8.9228108703258049E-2</v>
      </c>
      <c r="G52" s="417">
        <f>'Input data'!Q96</f>
        <v>0</v>
      </c>
      <c r="H52" s="417">
        <f>'Input data'!R96</f>
        <v>0</v>
      </c>
      <c r="I52" s="417">
        <f>'Input data'!S96</f>
        <v>0</v>
      </c>
      <c r="J52" s="417">
        <f>'Input data'!T96</f>
        <v>0.4459879758464787</v>
      </c>
      <c r="K52" s="525">
        <f>'Input data'!U96</f>
        <v>1</v>
      </c>
      <c r="L52" s="649">
        <f>'Input data'!V96</f>
        <v>0.29028184578274857</v>
      </c>
      <c r="M52" s="417">
        <f>'Input data'!W96</f>
        <v>0.30317187715157518</v>
      </c>
      <c r="N52" s="417">
        <f>'Input data'!X96</f>
        <v>8.2805443243048754E-2</v>
      </c>
      <c r="O52" s="417">
        <f>'Input data'!Y96</f>
        <v>0</v>
      </c>
      <c r="P52" s="417">
        <f>'Input data'!Z96</f>
        <v>0</v>
      </c>
      <c r="Q52" s="417">
        <f>'Input data'!AA96</f>
        <v>0</v>
      </c>
      <c r="R52" s="417">
        <f>'Input data'!AB96</f>
        <v>0.32374083382262742</v>
      </c>
      <c r="S52" s="417">
        <f t="shared" si="6"/>
        <v>0.99999999999999989</v>
      </c>
      <c r="T52" s="649">
        <f t="shared" si="26"/>
        <v>0.8</v>
      </c>
      <c r="U52" s="417">
        <f t="shared" si="26"/>
        <v>0.11</v>
      </c>
      <c r="V52" s="417">
        <f t="shared" si="26"/>
        <v>0.09</v>
      </c>
      <c r="W52" s="417">
        <f t="shared" si="26"/>
        <v>0</v>
      </c>
      <c r="X52" s="525">
        <f t="shared" si="8"/>
        <v>1</v>
      </c>
      <c r="Y52" s="649">
        <f>'Input data'!$G$35</f>
        <v>0.66241124199764068</v>
      </c>
      <c r="Z52" s="525">
        <f>'Input data'!$H$35</f>
        <v>0.33758875800235938</v>
      </c>
      <c r="AA52" s="523">
        <f>'Input data'!J96</f>
        <v>28.161493315089835</v>
      </c>
      <c r="AB52" s="236">
        <f>'Input data'!L96</f>
        <v>49905.020265450526</v>
      </c>
      <c r="AC52" s="417">
        <f t="shared" si="27"/>
        <v>0.88463681982043585</v>
      </c>
      <c r="AD52" s="417">
        <f t="shared" si="27"/>
        <v>8.8860692477895534E-2</v>
      </c>
      <c r="AE52" s="417">
        <f t="shared" si="27"/>
        <v>0</v>
      </c>
      <c r="AF52" s="417">
        <f t="shared" si="27"/>
        <v>2.6502487701668711E-2</v>
      </c>
      <c r="AG52" s="417">
        <f t="shared" si="20"/>
        <v>1</v>
      </c>
      <c r="AH52" s="436">
        <f t="shared" si="28"/>
        <v>0.78201761382701329</v>
      </c>
      <c r="AI52" s="1233">
        <f t="shared" si="28"/>
        <v>0.21798238617298668</v>
      </c>
      <c r="AK52" s="542">
        <f t="shared" si="0"/>
        <v>1996</v>
      </c>
      <c r="AL52" s="235">
        <f t="shared" si="1"/>
        <v>16852.617600000001</v>
      </c>
      <c r="AM52" s="419">
        <f t="shared" si="2"/>
        <v>1534.9624613575036</v>
      </c>
      <c r="AN52" s="419">
        <f t="shared" si="3"/>
        <v>782.27245864249676</v>
      </c>
      <c r="AO52" s="419">
        <f t="shared" si="4"/>
        <v>1895.91948</v>
      </c>
      <c r="AP52" s="419">
        <f t="shared" si="5"/>
        <v>0</v>
      </c>
      <c r="AQ52" s="237">
        <f t="shared" si="10"/>
        <v>21065.772000000001</v>
      </c>
      <c r="AS52" s="527">
        <f t="shared" si="11"/>
        <v>44147.818420702555</v>
      </c>
      <c r="AT52" s="775">
        <f t="shared" si="12"/>
        <v>3467.931133451867</v>
      </c>
      <c r="AU52" s="775">
        <f t="shared" si="13"/>
        <v>966.66352545947666</v>
      </c>
      <c r="AV52" s="419">
        <f t="shared" si="14"/>
        <v>0</v>
      </c>
      <c r="AW52" s="775">
        <f t="shared" si="15"/>
        <v>1322.6071858366304</v>
      </c>
      <c r="AX52" s="530">
        <f t="shared" si="16"/>
        <v>49905.020265450526</v>
      </c>
      <c r="AZ52" s="684">
        <f t="shared" si="22"/>
        <v>70.970792265450527</v>
      </c>
      <c r="BA52" s="417">
        <f t="shared" si="17"/>
        <v>0.14048534511853916</v>
      </c>
      <c r="BB52" s="205">
        <f>'Input data'!D96/10^6</f>
        <v>0</v>
      </c>
    </row>
    <row r="53" spans="1:54">
      <c r="A53" s="542">
        <f>'Input data'!A97</f>
        <v>1997</v>
      </c>
      <c r="B53" s="1232">
        <f>'Input data'!I97</f>
        <v>578.73</v>
      </c>
      <c r="C53" s="237">
        <f>B53*'Input data'!B97</f>
        <v>21553.444621800001</v>
      </c>
      <c r="D53" s="649">
        <f>'Input data'!N97</f>
        <v>0.19892488097366726</v>
      </c>
      <c r="E53" s="417">
        <f>'Input data'!O97</f>
        <v>0.26585903447659598</v>
      </c>
      <c r="F53" s="417">
        <f>'Input data'!P97</f>
        <v>8.9228108703258049E-2</v>
      </c>
      <c r="G53" s="417">
        <f>'Input data'!Q97</f>
        <v>0</v>
      </c>
      <c r="H53" s="417">
        <f>'Input data'!R97</f>
        <v>0</v>
      </c>
      <c r="I53" s="417">
        <f>'Input data'!S97</f>
        <v>0</v>
      </c>
      <c r="J53" s="417">
        <f>'Input data'!T97</f>
        <v>0.4459879758464787</v>
      </c>
      <c r="K53" s="525">
        <f>'Input data'!U97</f>
        <v>1</v>
      </c>
      <c r="L53" s="649">
        <f>'Input data'!V97</f>
        <v>0.29028184578274857</v>
      </c>
      <c r="M53" s="417">
        <f>'Input data'!W97</f>
        <v>0.30317187715157518</v>
      </c>
      <c r="N53" s="417">
        <f>'Input data'!X97</f>
        <v>8.2805443243048754E-2</v>
      </c>
      <c r="O53" s="417">
        <f>'Input data'!Y97</f>
        <v>0</v>
      </c>
      <c r="P53" s="417">
        <f>'Input data'!Z97</f>
        <v>0</v>
      </c>
      <c r="Q53" s="417">
        <f>'Input data'!AA97</f>
        <v>0</v>
      </c>
      <c r="R53" s="417">
        <f>'Input data'!AB97</f>
        <v>0.32374083382262742</v>
      </c>
      <c r="S53" s="417">
        <f t="shared" si="6"/>
        <v>0.99999999999999989</v>
      </c>
      <c r="T53" s="649">
        <f t="shared" si="26"/>
        <v>0.8</v>
      </c>
      <c r="U53" s="417">
        <f t="shared" si="26"/>
        <v>0.11</v>
      </c>
      <c r="V53" s="417">
        <f t="shared" si="26"/>
        <v>0.09</v>
      </c>
      <c r="W53" s="417">
        <f t="shared" si="26"/>
        <v>0</v>
      </c>
      <c r="X53" s="525">
        <f t="shared" si="8"/>
        <v>1</v>
      </c>
      <c r="Y53" s="649">
        <f>'Input data'!$G$35</f>
        <v>0.66241124199764068</v>
      </c>
      <c r="Z53" s="525">
        <f>'Input data'!$H$35</f>
        <v>0.33758875800235938</v>
      </c>
      <c r="AA53" s="523">
        <f>'Input data'!J97</f>
        <v>28.161493315089835</v>
      </c>
      <c r="AB53" s="236">
        <f>'Input data'!L97</f>
        <v>51202.551848342468</v>
      </c>
      <c r="AC53" s="417">
        <f t="shared" si="27"/>
        <v>0.88463681982043585</v>
      </c>
      <c r="AD53" s="417">
        <f t="shared" si="27"/>
        <v>8.8860692477895534E-2</v>
      </c>
      <c r="AE53" s="417">
        <f t="shared" si="27"/>
        <v>0</v>
      </c>
      <c r="AF53" s="417">
        <f t="shared" si="27"/>
        <v>2.6502487701668711E-2</v>
      </c>
      <c r="AG53" s="417">
        <f t="shared" si="20"/>
        <v>1</v>
      </c>
      <c r="AH53" s="436">
        <f t="shared" si="28"/>
        <v>0.78201761382701329</v>
      </c>
      <c r="AI53" s="1233">
        <f t="shared" si="28"/>
        <v>0.21798238617298668</v>
      </c>
      <c r="AK53" s="542">
        <f t="shared" si="0"/>
        <v>1997</v>
      </c>
      <c r="AL53" s="235">
        <f t="shared" si="1"/>
        <v>17242.755697440003</v>
      </c>
      <c r="AM53" s="419">
        <f t="shared" si="2"/>
        <v>1570.4968423379298</v>
      </c>
      <c r="AN53" s="419">
        <f t="shared" si="3"/>
        <v>800.38206606007043</v>
      </c>
      <c r="AO53" s="419">
        <f t="shared" si="4"/>
        <v>1939.8100159620001</v>
      </c>
      <c r="AP53" s="419">
        <f t="shared" si="5"/>
        <v>0</v>
      </c>
      <c r="AQ53" s="237">
        <f t="shared" si="10"/>
        <v>21553.444621800001</v>
      </c>
      <c r="AS53" s="527">
        <f t="shared" si="11"/>
        <v>45295.662633808657</v>
      </c>
      <c r="AT53" s="775">
        <f t="shared" si="12"/>
        <v>3558.0974163030382</v>
      </c>
      <c r="AU53" s="775">
        <f t="shared" si="13"/>
        <v>991.79679757602321</v>
      </c>
      <c r="AV53" s="419">
        <f t="shared" si="14"/>
        <v>0</v>
      </c>
      <c r="AW53" s="775">
        <f t="shared" si="15"/>
        <v>1356.9950006547508</v>
      </c>
      <c r="AX53" s="530">
        <f t="shared" si="16"/>
        <v>51202.551848342475</v>
      </c>
      <c r="AZ53" s="684">
        <f t="shared" si="22"/>
        <v>72.755996470142463</v>
      </c>
      <c r="BA53" s="417">
        <f t="shared" si="17"/>
        <v>0.14043623391354271</v>
      </c>
      <c r="BB53" s="205">
        <f>'Input data'!D97/10^6</f>
        <v>0</v>
      </c>
    </row>
    <row r="54" spans="1:54">
      <c r="A54" s="542">
        <f>'Input data'!A98</f>
        <v>1998</v>
      </c>
      <c r="B54" s="1232">
        <f>'Input data'!I98</f>
        <v>578.73</v>
      </c>
      <c r="C54" s="237">
        <f>B54*'Input data'!B98</f>
        <v>22066.39617</v>
      </c>
      <c r="D54" s="649">
        <f>'Input data'!N98</f>
        <v>0.19892488097366726</v>
      </c>
      <c r="E54" s="417">
        <f>'Input data'!O98</f>
        <v>0.26585903447659598</v>
      </c>
      <c r="F54" s="417">
        <f>'Input data'!P98</f>
        <v>8.9228108703258049E-2</v>
      </c>
      <c r="G54" s="417">
        <f>'Input data'!Q98</f>
        <v>0</v>
      </c>
      <c r="H54" s="417">
        <f>'Input data'!R98</f>
        <v>0</v>
      </c>
      <c r="I54" s="417">
        <f>'Input data'!S98</f>
        <v>0</v>
      </c>
      <c r="J54" s="417">
        <f>'Input data'!T98</f>
        <v>0.4459879758464787</v>
      </c>
      <c r="K54" s="525">
        <f>'Input data'!U98</f>
        <v>1</v>
      </c>
      <c r="L54" s="649">
        <f>'Input data'!V98</f>
        <v>0.29028184578274857</v>
      </c>
      <c r="M54" s="417">
        <f>'Input data'!W98</f>
        <v>0.30317187715157518</v>
      </c>
      <c r="N54" s="417">
        <f>'Input data'!X98</f>
        <v>8.2805443243048754E-2</v>
      </c>
      <c r="O54" s="417">
        <f>'Input data'!Y98</f>
        <v>0</v>
      </c>
      <c r="P54" s="417">
        <f>'Input data'!Z98</f>
        <v>0</v>
      </c>
      <c r="Q54" s="417">
        <f>'Input data'!AA98</f>
        <v>0</v>
      </c>
      <c r="R54" s="417">
        <f>'Input data'!AB98</f>
        <v>0.32374083382262742</v>
      </c>
      <c r="S54" s="417">
        <f t="shared" si="6"/>
        <v>0.99999999999999989</v>
      </c>
      <c r="T54" s="649">
        <f t="shared" si="26"/>
        <v>0.8</v>
      </c>
      <c r="U54" s="417">
        <f t="shared" si="26"/>
        <v>0.11</v>
      </c>
      <c r="V54" s="417">
        <f t="shared" si="26"/>
        <v>0.09</v>
      </c>
      <c r="W54" s="417">
        <f t="shared" si="26"/>
        <v>0</v>
      </c>
      <c r="X54" s="525">
        <f t="shared" si="8"/>
        <v>1</v>
      </c>
      <c r="Y54" s="649">
        <f>'Input data'!$G$35</f>
        <v>0.66241124199764068</v>
      </c>
      <c r="Z54" s="525">
        <f>'Input data'!$H$35</f>
        <v>0.33758875800235938</v>
      </c>
      <c r="AA54" s="523">
        <f>'Input data'!J98</f>
        <v>28.161493315089835</v>
      </c>
      <c r="AB54" s="236">
        <f>'Input data'!L98</f>
        <v>51458.56507096727</v>
      </c>
      <c r="AC54" s="417">
        <f t="shared" si="27"/>
        <v>0.88463681982043585</v>
      </c>
      <c r="AD54" s="417">
        <f t="shared" si="27"/>
        <v>8.8860692477895534E-2</v>
      </c>
      <c r="AE54" s="417">
        <f t="shared" si="27"/>
        <v>0</v>
      </c>
      <c r="AF54" s="417">
        <f t="shared" si="27"/>
        <v>2.6502487701668711E-2</v>
      </c>
      <c r="AG54" s="417">
        <f t="shared" si="20"/>
        <v>1</v>
      </c>
      <c r="AH54" s="436">
        <f t="shared" si="28"/>
        <v>0.78201761382701329</v>
      </c>
      <c r="AI54" s="1233">
        <f t="shared" si="28"/>
        <v>0.21798238617298668</v>
      </c>
      <c r="AK54" s="542">
        <f t="shared" si="0"/>
        <v>1998</v>
      </c>
      <c r="AL54" s="235">
        <f t="shared" si="1"/>
        <v>17653.116936000002</v>
      </c>
      <c r="AM54" s="419">
        <f t="shared" si="2"/>
        <v>1607.8731782719849</v>
      </c>
      <c r="AN54" s="419">
        <f t="shared" si="3"/>
        <v>819.4304004280151</v>
      </c>
      <c r="AO54" s="419">
        <f t="shared" si="4"/>
        <v>1985.9756553</v>
      </c>
      <c r="AP54" s="419">
        <f t="shared" si="5"/>
        <v>0</v>
      </c>
      <c r="AQ54" s="237">
        <f t="shared" si="10"/>
        <v>22066.396170000004</v>
      </c>
      <c r="AS54" s="527">
        <f t="shared" si="11"/>
        <v>45522.141356903448</v>
      </c>
      <c r="AT54" s="775">
        <f t="shared" si="12"/>
        <v>3575.8879355853351</v>
      </c>
      <c r="AU54" s="775">
        <f t="shared" si="13"/>
        <v>996.7557905396643</v>
      </c>
      <c r="AV54" s="419">
        <f t="shared" si="14"/>
        <v>0</v>
      </c>
      <c r="AW54" s="775">
        <f t="shared" si="15"/>
        <v>1363.7799879388292</v>
      </c>
      <c r="AX54" s="530">
        <f t="shared" si="16"/>
        <v>51458.56507096727</v>
      </c>
      <c r="AZ54" s="684">
        <f t="shared" si="22"/>
        <v>73.524961240967272</v>
      </c>
      <c r="BA54" s="417">
        <f t="shared" si="17"/>
        <v>0.14076448016265097</v>
      </c>
      <c r="BB54" s="205">
        <f>'Input data'!D98/10^6</f>
        <v>0</v>
      </c>
    </row>
    <row r="55" spans="1:54">
      <c r="A55" s="542">
        <f>'Input data'!A99</f>
        <v>1999</v>
      </c>
      <c r="B55" s="1232">
        <f>'Input data'!I99</f>
        <v>578.73</v>
      </c>
      <c r="C55" s="237">
        <f>B55*'Input data'!B99</f>
        <v>22605.153288900001</v>
      </c>
      <c r="D55" s="649">
        <f>'Input data'!N99</f>
        <v>0.19892488097366726</v>
      </c>
      <c r="E55" s="417">
        <f>'Input data'!O99</f>
        <v>0.26585903447659598</v>
      </c>
      <c r="F55" s="417">
        <f>'Input data'!P99</f>
        <v>8.9228108703258049E-2</v>
      </c>
      <c r="G55" s="417">
        <f>'Input data'!Q99</f>
        <v>0</v>
      </c>
      <c r="H55" s="417">
        <f>'Input data'!R99</f>
        <v>0</v>
      </c>
      <c r="I55" s="417">
        <f>'Input data'!S99</f>
        <v>0</v>
      </c>
      <c r="J55" s="417">
        <f>'Input data'!T99</f>
        <v>0.4459879758464787</v>
      </c>
      <c r="K55" s="525">
        <f>'Input data'!U99</f>
        <v>1</v>
      </c>
      <c r="L55" s="649">
        <f>'Input data'!V99</f>
        <v>0.29028184578274857</v>
      </c>
      <c r="M55" s="417">
        <f>'Input data'!W99</f>
        <v>0.30317187715157518</v>
      </c>
      <c r="N55" s="417">
        <f>'Input data'!X99</f>
        <v>8.2805443243048754E-2</v>
      </c>
      <c r="O55" s="417">
        <f>'Input data'!Y99</f>
        <v>0</v>
      </c>
      <c r="P55" s="417">
        <f>'Input data'!Z99</f>
        <v>0</v>
      </c>
      <c r="Q55" s="417">
        <f>'Input data'!AA99</f>
        <v>0</v>
      </c>
      <c r="R55" s="417">
        <f>'Input data'!AB99</f>
        <v>0.32374083382262742</v>
      </c>
      <c r="S55" s="417">
        <f t="shared" si="6"/>
        <v>0.99999999999999989</v>
      </c>
      <c r="T55" s="649">
        <f t="shared" si="26"/>
        <v>0.8</v>
      </c>
      <c r="U55" s="417">
        <f t="shared" si="26"/>
        <v>0.11</v>
      </c>
      <c r="V55" s="417">
        <f t="shared" si="26"/>
        <v>0.09</v>
      </c>
      <c r="W55" s="417">
        <f t="shared" si="26"/>
        <v>0</v>
      </c>
      <c r="X55" s="525">
        <f t="shared" si="8"/>
        <v>1</v>
      </c>
      <c r="Y55" s="649">
        <f>'Input data'!$G$35</f>
        <v>0.66241124199764068</v>
      </c>
      <c r="Z55" s="525">
        <f>'Input data'!$H$35</f>
        <v>0.33758875800235938</v>
      </c>
      <c r="AA55" s="523">
        <f>'Input data'!J99</f>
        <v>28.161493315089835</v>
      </c>
      <c r="AB55" s="236">
        <f>'Input data'!L99</f>
        <v>52693.568700401374</v>
      </c>
      <c r="AC55" s="417">
        <f t="shared" si="27"/>
        <v>0.88463681982043585</v>
      </c>
      <c r="AD55" s="417">
        <f t="shared" si="27"/>
        <v>8.8860692477895534E-2</v>
      </c>
      <c r="AE55" s="417">
        <f t="shared" si="27"/>
        <v>0</v>
      </c>
      <c r="AF55" s="417">
        <f t="shared" si="27"/>
        <v>2.6502487701668711E-2</v>
      </c>
      <c r="AG55" s="417">
        <f t="shared" si="20"/>
        <v>1</v>
      </c>
      <c r="AH55" s="436">
        <f t="shared" si="28"/>
        <v>0.78201761382701329</v>
      </c>
      <c r="AI55" s="1233">
        <f t="shared" si="28"/>
        <v>0.21798238617298668</v>
      </c>
      <c r="AK55" s="542">
        <f t="shared" si="0"/>
        <v>1999</v>
      </c>
      <c r="AL55" s="235">
        <f t="shared" si="1"/>
        <v>18084.122631120001</v>
      </c>
      <c r="AM55" s="419">
        <f t="shared" si="2"/>
        <v>1647.1298432212031</v>
      </c>
      <c r="AN55" s="419">
        <f t="shared" si="3"/>
        <v>839.43701855779705</v>
      </c>
      <c r="AO55" s="419">
        <f t="shared" si="4"/>
        <v>2034.463796001</v>
      </c>
      <c r="AP55" s="419">
        <f t="shared" si="5"/>
        <v>0</v>
      </c>
      <c r="AQ55" s="237">
        <f t="shared" si="10"/>
        <v>22605.153288900001</v>
      </c>
      <c r="AS55" s="527">
        <f t="shared" si="11"/>
        <v>46614.671040112727</v>
      </c>
      <c r="AT55" s="775">
        <f t="shared" si="12"/>
        <v>3661.709111764791</v>
      </c>
      <c r="AU55" s="775">
        <f t="shared" si="13"/>
        <v>1020.6778920844365</v>
      </c>
      <c r="AV55" s="419">
        <f t="shared" si="14"/>
        <v>0</v>
      </c>
      <c r="AW55" s="775">
        <f t="shared" si="15"/>
        <v>1396.5106564394227</v>
      </c>
      <c r="AX55" s="530">
        <f t="shared" si="16"/>
        <v>52693.568700401382</v>
      </c>
      <c r="AZ55" s="684">
        <f t="shared" si="22"/>
        <v>75.298721989301384</v>
      </c>
      <c r="BA55" s="417">
        <f t="shared" si="17"/>
        <v>0.14077168958557779</v>
      </c>
      <c r="BB55" s="205">
        <f>'Input data'!D99/10^6</f>
        <v>0</v>
      </c>
    </row>
    <row r="56" spans="1:54">
      <c r="A56" s="1243">
        <f>'Input data'!A100</f>
        <v>2000</v>
      </c>
      <c r="B56" s="1650">
        <f>'Input data'!I100</f>
        <v>578.73</v>
      </c>
      <c r="C56" s="532">
        <f>B56*'Input data'!B100</f>
        <v>25464.120000000003</v>
      </c>
      <c r="D56" s="1234">
        <f>'Input data'!N100</f>
        <v>0.19892488097366726</v>
      </c>
      <c r="E56" s="415">
        <f>'Input data'!O100</f>
        <v>0.26585903447659598</v>
      </c>
      <c r="F56" s="415">
        <f>'Input data'!P100</f>
        <v>8.9228108703258049E-2</v>
      </c>
      <c r="G56" s="415">
        <f>'Input data'!Q100</f>
        <v>0</v>
      </c>
      <c r="H56" s="415">
        <f>'Input data'!R100</f>
        <v>0</v>
      </c>
      <c r="I56" s="415">
        <f>'Input data'!S100</f>
        <v>0</v>
      </c>
      <c r="J56" s="415">
        <f>'Input data'!T100</f>
        <v>0.4459879758464787</v>
      </c>
      <c r="K56" s="1235">
        <f>'Input data'!U100</f>
        <v>1</v>
      </c>
      <c r="L56" s="1234">
        <f>'Input data'!V100</f>
        <v>0.29028184578274857</v>
      </c>
      <c r="M56" s="415">
        <f>'Input data'!W100</f>
        <v>0.30317187715157518</v>
      </c>
      <c r="N56" s="415">
        <f>'Input data'!X100</f>
        <v>8.2805443243048754E-2</v>
      </c>
      <c r="O56" s="415">
        <f>'Input data'!Y100</f>
        <v>0</v>
      </c>
      <c r="P56" s="415">
        <f>'Input data'!Z100</f>
        <v>0</v>
      </c>
      <c r="Q56" s="415">
        <f>'Input data'!AA100</f>
        <v>0</v>
      </c>
      <c r="R56" s="415">
        <f>'Input data'!AB100</f>
        <v>0.32374083382262742</v>
      </c>
      <c r="S56" s="414">
        <f t="shared" si="6"/>
        <v>0.99999999999999989</v>
      </c>
      <c r="T56" s="1234">
        <f t="shared" ref="T56:W71" si="29">T55</f>
        <v>0.8</v>
      </c>
      <c r="U56" s="415">
        <f t="shared" si="29"/>
        <v>0.11</v>
      </c>
      <c r="V56" s="415">
        <f t="shared" si="29"/>
        <v>0.09</v>
      </c>
      <c r="W56" s="415">
        <f t="shared" si="29"/>
        <v>0</v>
      </c>
      <c r="X56" s="1235">
        <f t="shared" si="8"/>
        <v>1</v>
      </c>
      <c r="Y56" s="1234">
        <f>'Input data'!$G$35</f>
        <v>0.66241124199764068</v>
      </c>
      <c r="Z56" s="1235">
        <f>'Input data'!$H$35</f>
        <v>0.33758875800235938</v>
      </c>
      <c r="AA56" s="1357">
        <f>'Input data'!J100</f>
        <v>28.161493315089835</v>
      </c>
      <c r="AB56" s="471">
        <f>'Input data'!L100</f>
        <v>54906.700417446678</v>
      </c>
      <c r="AC56" s="415">
        <f t="shared" ref="AC56:AF71" si="30">AC55</f>
        <v>0.88463681982043585</v>
      </c>
      <c r="AD56" s="415">
        <f t="shared" si="30"/>
        <v>8.8860692477895534E-2</v>
      </c>
      <c r="AE56" s="415">
        <f t="shared" si="30"/>
        <v>0</v>
      </c>
      <c r="AF56" s="415">
        <f t="shared" si="30"/>
        <v>2.6502487701668711E-2</v>
      </c>
      <c r="AG56" s="415">
        <f t="shared" si="20"/>
        <v>1</v>
      </c>
      <c r="AH56" s="1355">
        <f t="shared" ref="AH56:AI71" si="31">AH55</f>
        <v>0.78201761382701329</v>
      </c>
      <c r="AI56" s="1236">
        <f t="shared" si="31"/>
        <v>0.21798238617298668</v>
      </c>
      <c r="AJ56" s="413"/>
      <c r="AK56" s="990">
        <f t="shared" si="0"/>
        <v>2000</v>
      </c>
      <c r="AL56" s="531">
        <f t="shared" si="1"/>
        <v>20371.296000000002</v>
      </c>
      <c r="AM56" s="471">
        <f t="shared" si="2"/>
        <v>1855.4491291134659</v>
      </c>
      <c r="AN56" s="471">
        <f t="shared" si="3"/>
        <v>945.60407088653449</v>
      </c>
      <c r="AO56" s="471">
        <f t="shared" si="4"/>
        <v>2291.7708000000002</v>
      </c>
      <c r="AP56" s="471">
        <f t="shared" si="5"/>
        <v>0</v>
      </c>
      <c r="AQ56" s="532">
        <f t="shared" si="10"/>
        <v>25464.120000000003</v>
      </c>
      <c r="AR56" s="413"/>
      <c r="AS56" s="533">
        <f t="shared" si="11"/>
        <v>48572.488844123429</v>
      </c>
      <c r="AT56" s="517">
        <f t="shared" si="12"/>
        <v>3815.5010217399213</v>
      </c>
      <c r="AU56" s="517">
        <f t="shared" si="13"/>
        <v>1063.5463990307462</v>
      </c>
      <c r="AV56" s="471">
        <f t="shared" si="14"/>
        <v>0</v>
      </c>
      <c r="AW56" s="517">
        <f t="shared" si="15"/>
        <v>1455.1641525525888</v>
      </c>
      <c r="AX56" s="534">
        <f t="shared" si="16"/>
        <v>54906.700417446686</v>
      </c>
      <c r="AY56" s="1"/>
      <c r="AZ56" s="1360">
        <f t="shared" si="22"/>
        <v>80.370820417446708</v>
      </c>
      <c r="BA56" s="415">
        <f t="shared" si="17"/>
        <v>0.1421789091360664</v>
      </c>
      <c r="BB56" s="1361">
        <f>'Input data'!D100/10^6</f>
        <v>0</v>
      </c>
    </row>
    <row r="57" spans="1:54">
      <c r="A57" s="990">
        <f>'Input data'!A101</f>
        <v>2001</v>
      </c>
      <c r="B57" s="1649">
        <f>'Input data'!I101</f>
        <v>578.73</v>
      </c>
      <c r="C57" s="663">
        <f>B57*'Input data'!B101</f>
        <v>25990.764299999999</v>
      </c>
      <c r="D57" s="648">
        <f>'Input data'!N101</f>
        <v>0.19892488097366726</v>
      </c>
      <c r="E57" s="411">
        <f>'Input data'!O101</f>
        <v>0.26585903447659598</v>
      </c>
      <c r="F57" s="411">
        <f>'Input data'!P101</f>
        <v>8.9228108703258049E-2</v>
      </c>
      <c r="G57" s="411">
        <f>'Input data'!Q101</f>
        <v>0</v>
      </c>
      <c r="H57" s="411">
        <f>'Input data'!R101</f>
        <v>0</v>
      </c>
      <c r="I57" s="411">
        <f>'Input data'!S101</f>
        <v>0</v>
      </c>
      <c r="J57" s="411">
        <f>'Input data'!T101</f>
        <v>0.4459879758464787</v>
      </c>
      <c r="K57" s="1154">
        <f>'Input data'!U101</f>
        <v>1</v>
      </c>
      <c r="L57" s="648">
        <f>'Input data'!V101</f>
        <v>0.29028184578274857</v>
      </c>
      <c r="M57" s="411">
        <f>'Input data'!W101</f>
        <v>0.30317187715157518</v>
      </c>
      <c r="N57" s="411">
        <f>'Input data'!X101</f>
        <v>8.2805443243048754E-2</v>
      </c>
      <c r="O57" s="411">
        <f>'Input data'!Y101</f>
        <v>0</v>
      </c>
      <c r="P57" s="411">
        <f>'Input data'!Z101</f>
        <v>0</v>
      </c>
      <c r="Q57" s="411">
        <f>'Input data'!AA101</f>
        <v>0</v>
      </c>
      <c r="R57" s="411">
        <f>'Input data'!AB101</f>
        <v>0.32374083382262742</v>
      </c>
      <c r="S57" s="1237">
        <f t="shared" si="6"/>
        <v>0.99999999999999989</v>
      </c>
      <c r="T57" s="648">
        <f t="shared" si="29"/>
        <v>0.8</v>
      </c>
      <c r="U57" s="411">
        <f t="shared" si="29"/>
        <v>0.11</v>
      </c>
      <c r="V57" s="411">
        <f t="shared" si="29"/>
        <v>0.09</v>
      </c>
      <c r="W57" s="411">
        <f t="shared" si="29"/>
        <v>0</v>
      </c>
      <c r="X57" s="1154">
        <f t="shared" si="8"/>
        <v>1</v>
      </c>
      <c r="Y57" s="648">
        <f>'Input data'!$G$35</f>
        <v>0.66241124199764068</v>
      </c>
      <c r="Z57" s="1154">
        <f>'Input data'!$H$35</f>
        <v>0.33758875800235938</v>
      </c>
      <c r="AA57" s="1358">
        <f>'Input data'!J101</f>
        <v>28.161493315089835</v>
      </c>
      <c r="AB57" s="1238">
        <f>'Input data'!L101</f>
        <v>56389.178345636712</v>
      </c>
      <c r="AC57" s="411">
        <f t="shared" si="30"/>
        <v>0.88463681982043585</v>
      </c>
      <c r="AD57" s="411">
        <f t="shared" si="30"/>
        <v>8.8860692477895534E-2</v>
      </c>
      <c r="AE57" s="411">
        <f t="shared" si="30"/>
        <v>0</v>
      </c>
      <c r="AF57" s="411">
        <f t="shared" si="30"/>
        <v>2.6502487701668711E-2</v>
      </c>
      <c r="AG57" s="411">
        <f t="shared" si="20"/>
        <v>1</v>
      </c>
      <c r="AH57" s="1356">
        <f t="shared" si="31"/>
        <v>0.78201761382701329</v>
      </c>
      <c r="AI57" s="1240">
        <f t="shared" si="31"/>
        <v>0.21798238617298668</v>
      </c>
      <c r="AJ57" s="1"/>
      <c r="AK57" s="990">
        <f t="shared" si="0"/>
        <v>2001</v>
      </c>
      <c r="AL57" s="766">
        <f t="shared" si="1"/>
        <v>20792.611440000001</v>
      </c>
      <c r="AM57" s="1238">
        <f t="shared" si="2"/>
        <v>1893.8231906474034</v>
      </c>
      <c r="AN57" s="1238">
        <f t="shared" si="3"/>
        <v>965.16088235259679</v>
      </c>
      <c r="AO57" s="1238">
        <f t="shared" si="4"/>
        <v>2339.1687869999996</v>
      </c>
      <c r="AP57" s="1238">
        <f t="shared" si="5"/>
        <v>0</v>
      </c>
      <c r="AQ57" s="663">
        <f t="shared" si="10"/>
        <v>25990.764299999999</v>
      </c>
      <c r="AR57" s="1"/>
      <c r="AS57" s="1241">
        <f t="shared" si="11"/>
        <v>49883.943403971447</v>
      </c>
      <c r="AT57" s="1242">
        <f t="shared" si="12"/>
        <v>3918.5193420307291</v>
      </c>
      <c r="AU57" s="1242">
        <f t="shared" si="13"/>
        <v>1092.2620940221007</v>
      </c>
      <c r="AV57" s="1238">
        <f t="shared" si="14"/>
        <v>0</v>
      </c>
      <c r="AW57" s="1242">
        <f t="shared" si="15"/>
        <v>1494.4535056124405</v>
      </c>
      <c r="AX57" s="744">
        <f t="shared" si="16"/>
        <v>56389.178345636712</v>
      </c>
      <c r="AY57" s="1"/>
      <c r="AZ57" s="1152">
        <f t="shared" si="22"/>
        <v>82.379942645636703</v>
      </c>
      <c r="BA57" s="411">
        <f t="shared" si="17"/>
        <v>0.14206598628027978</v>
      </c>
      <c r="BB57" s="1362">
        <f>'Input data'!D101/10^6</f>
        <v>0</v>
      </c>
    </row>
    <row r="58" spans="1:54">
      <c r="A58" s="990">
        <f>'Input data'!A102</f>
        <v>2002</v>
      </c>
      <c r="B58" s="1649">
        <f>'Input data'!I102</f>
        <v>578.73</v>
      </c>
      <c r="C58" s="663">
        <f>B58*'Input data'!B102</f>
        <v>26351.313090000003</v>
      </c>
      <c r="D58" s="648">
        <f>'Input data'!N102</f>
        <v>0.19892488097366726</v>
      </c>
      <c r="E58" s="411">
        <f>'Input data'!O102</f>
        <v>0.26585903447659598</v>
      </c>
      <c r="F58" s="411">
        <f>'Input data'!P102</f>
        <v>8.9228108703258049E-2</v>
      </c>
      <c r="G58" s="411">
        <f>'Input data'!Q102</f>
        <v>0</v>
      </c>
      <c r="H58" s="411">
        <f>'Input data'!R102</f>
        <v>0</v>
      </c>
      <c r="I58" s="411">
        <f>'Input data'!S102</f>
        <v>0</v>
      </c>
      <c r="J58" s="411">
        <f>'Input data'!T102</f>
        <v>0.4459879758464787</v>
      </c>
      <c r="K58" s="1154">
        <f>'Input data'!U102</f>
        <v>1</v>
      </c>
      <c r="L58" s="648">
        <f>'Input data'!V102</f>
        <v>0.29028184578274857</v>
      </c>
      <c r="M58" s="411">
        <f>'Input data'!W102</f>
        <v>0.30317187715157518</v>
      </c>
      <c r="N58" s="411">
        <f>'Input data'!X102</f>
        <v>8.2805443243048754E-2</v>
      </c>
      <c r="O58" s="411">
        <f>'Input data'!Y102</f>
        <v>0</v>
      </c>
      <c r="P58" s="411">
        <f>'Input data'!Z102</f>
        <v>0</v>
      </c>
      <c r="Q58" s="411">
        <f>'Input data'!AA102</f>
        <v>0</v>
      </c>
      <c r="R58" s="411">
        <f>'Input data'!AB102</f>
        <v>0.32374083382262742</v>
      </c>
      <c r="S58" s="1237">
        <f t="shared" si="6"/>
        <v>0.99999999999999989</v>
      </c>
      <c r="T58" s="648">
        <f t="shared" si="29"/>
        <v>0.8</v>
      </c>
      <c r="U58" s="411">
        <f t="shared" si="29"/>
        <v>0.11</v>
      </c>
      <c r="V58" s="411">
        <f t="shared" si="29"/>
        <v>0.09</v>
      </c>
      <c r="W58" s="411">
        <f t="shared" si="29"/>
        <v>0</v>
      </c>
      <c r="X58" s="1154">
        <f t="shared" si="8"/>
        <v>1</v>
      </c>
      <c r="Y58" s="648">
        <f>'Input data'!$G$35</f>
        <v>0.66241124199764068</v>
      </c>
      <c r="Z58" s="1154">
        <f>'Input data'!$H$35</f>
        <v>0.33758875800235938</v>
      </c>
      <c r="AA58" s="1358">
        <f>'Input data'!J102</f>
        <v>28.161493315089835</v>
      </c>
      <c r="AB58" s="1238">
        <f>'Input data'!L102</f>
        <v>58475.793549576461</v>
      </c>
      <c r="AC58" s="411">
        <f t="shared" si="30"/>
        <v>0.88463681982043585</v>
      </c>
      <c r="AD58" s="411">
        <f t="shared" si="30"/>
        <v>8.8860692477895534E-2</v>
      </c>
      <c r="AE58" s="411">
        <f t="shared" si="30"/>
        <v>0</v>
      </c>
      <c r="AF58" s="411">
        <f t="shared" si="30"/>
        <v>2.6502487701668711E-2</v>
      </c>
      <c r="AG58" s="411">
        <f t="shared" si="20"/>
        <v>1</v>
      </c>
      <c r="AH58" s="1356">
        <f t="shared" si="31"/>
        <v>0.78201761382701329</v>
      </c>
      <c r="AI58" s="1240">
        <f t="shared" si="31"/>
        <v>0.21798238617298668</v>
      </c>
      <c r="AJ58" s="1"/>
      <c r="AK58" s="990">
        <f t="shared" si="0"/>
        <v>2002</v>
      </c>
      <c r="AL58" s="766">
        <f t="shared" si="1"/>
        <v>21081.050472000003</v>
      </c>
      <c r="AM58" s="1238">
        <f t="shared" si="2"/>
        <v>1920.0946635437149</v>
      </c>
      <c r="AN58" s="1238">
        <f t="shared" si="3"/>
        <v>978.54977635628575</v>
      </c>
      <c r="AO58" s="1238">
        <f t="shared" si="4"/>
        <v>2371.6181781</v>
      </c>
      <c r="AP58" s="1238">
        <f t="shared" si="5"/>
        <v>0</v>
      </c>
      <c r="AQ58" s="663">
        <f t="shared" si="10"/>
        <v>26351.313090000003</v>
      </c>
      <c r="AR58" s="1"/>
      <c r="AS58" s="1241">
        <f t="shared" si="11"/>
        <v>51729.840042173673</v>
      </c>
      <c r="AT58" s="1242">
        <f t="shared" si="12"/>
        <v>4063.519540222941</v>
      </c>
      <c r="AU58" s="1242">
        <f t="shared" si="13"/>
        <v>1132.6799677868803</v>
      </c>
      <c r="AV58" s="1238">
        <f t="shared" si="14"/>
        <v>0</v>
      </c>
      <c r="AW58" s="1242">
        <f t="shared" si="15"/>
        <v>1549.7539993929688</v>
      </c>
      <c r="AX58" s="744">
        <f t="shared" si="16"/>
        <v>58475.793549576469</v>
      </c>
      <c r="AY58" s="1"/>
      <c r="AZ58" s="1152">
        <f t="shared" si="22"/>
        <v>84.827106639576471</v>
      </c>
      <c r="BA58" s="411">
        <f t="shared" si="17"/>
        <v>0.14165538117972976</v>
      </c>
      <c r="BB58" s="1362">
        <f>'Input data'!D102/10^6</f>
        <v>0</v>
      </c>
    </row>
    <row r="59" spans="1:54">
      <c r="A59" s="990">
        <f>'Input data'!A103</f>
        <v>2003</v>
      </c>
      <c r="B59" s="1649">
        <f>'Input data'!I103</f>
        <v>578.73</v>
      </c>
      <c r="C59" s="663">
        <f>B59*'Input data'!B103</f>
        <v>26688.712680000001</v>
      </c>
      <c r="D59" s="648">
        <f>'Input data'!N103</f>
        <v>0.19892488097366726</v>
      </c>
      <c r="E59" s="411">
        <f>'Input data'!O103</f>
        <v>0.26585903447659598</v>
      </c>
      <c r="F59" s="411">
        <f>'Input data'!P103</f>
        <v>8.9228108703258049E-2</v>
      </c>
      <c r="G59" s="411">
        <f>'Input data'!Q103</f>
        <v>0</v>
      </c>
      <c r="H59" s="411">
        <f>'Input data'!R103</f>
        <v>0</v>
      </c>
      <c r="I59" s="411">
        <f>'Input data'!S103</f>
        <v>0</v>
      </c>
      <c r="J59" s="411">
        <f>'Input data'!T103</f>
        <v>0.4459879758464787</v>
      </c>
      <c r="K59" s="1154">
        <f>'Input data'!U103</f>
        <v>1</v>
      </c>
      <c r="L59" s="648">
        <f>'Input data'!V103</f>
        <v>0.29028184578274857</v>
      </c>
      <c r="M59" s="411">
        <f>'Input data'!W103</f>
        <v>0.30317187715157518</v>
      </c>
      <c r="N59" s="411">
        <f>'Input data'!X103</f>
        <v>8.2805443243048754E-2</v>
      </c>
      <c r="O59" s="411">
        <f>'Input data'!Y103</f>
        <v>0</v>
      </c>
      <c r="P59" s="411">
        <f>'Input data'!Z103</f>
        <v>0</v>
      </c>
      <c r="Q59" s="411">
        <f>'Input data'!AA103</f>
        <v>0</v>
      </c>
      <c r="R59" s="411">
        <f>'Input data'!AB103</f>
        <v>0.32374083382262742</v>
      </c>
      <c r="S59" s="1237">
        <f t="shared" si="6"/>
        <v>0.99999999999999989</v>
      </c>
      <c r="T59" s="648">
        <f t="shared" si="29"/>
        <v>0.8</v>
      </c>
      <c r="U59" s="411">
        <f t="shared" si="29"/>
        <v>0.11</v>
      </c>
      <c r="V59" s="411">
        <f t="shared" si="29"/>
        <v>0.09</v>
      </c>
      <c r="W59" s="411">
        <f t="shared" si="29"/>
        <v>0</v>
      </c>
      <c r="X59" s="1154">
        <f t="shared" si="8"/>
        <v>1</v>
      </c>
      <c r="Y59" s="648">
        <f>'Input data'!$G$35</f>
        <v>0.66241124199764068</v>
      </c>
      <c r="Z59" s="1154">
        <f>'Input data'!$H$35</f>
        <v>0.33758875800235938</v>
      </c>
      <c r="AA59" s="1358">
        <f>'Input data'!J103</f>
        <v>28.161493315089835</v>
      </c>
      <c r="AB59" s="1238">
        <f>'Input data'!L103</f>
        <v>60200.290977342222</v>
      </c>
      <c r="AC59" s="411">
        <f>($AC$68-$AC$58)/($A$68-$A$58)+AC58</f>
        <v>0.87438818250331407</v>
      </c>
      <c r="AD59" s="411">
        <f>($AD$68-$AD$58)/($A$68-$A$58)+AD58</f>
        <v>8.8860692477895534E-2</v>
      </c>
      <c r="AE59" s="411">
        <f>($AE$68-$AE$58)/($A$68-$A$58)+AE58</f>
        <v>0</v>
      </c>
      <c r="AF59" s="411">
        <f>($AF$68-$AF$58)/($A$68-$A$58)+AF58</f>
        <v>3.6751125018790451E-2</v>
      </c>
      <c r="AG59" s="411">
        <f t="shared" si="20"/>
        <v>1</v>
      </c>
      <c r="AH59" s="1356">
        <f t="shared" si="31"/>
        <v>0.78201761382701329</v>
      </c>
      <c r="AI59" s="1240">
        <f t="shared" si="31"/>
        <v>0.21798238617298668</v>
      </c>
      <c r="AJ59" s="1"/>
      <c r="AK59" s="990">
        <f t="shared" si="0"/>
        <v>2003</v>
      </c>
      <c r="AL59" s="766">
        <f t="shared" si="1"/>
        <v>21350.970144000003</v>
      </c>
      <c r="AM59" s="1238">
        <f t="shared" si="2"/>
        <v>1944.6793645044681</v>
      </c>
      <c r="AN59" s="1238">
        <f t="shared" si="3"/>
        <v>991.07903029553222</v>
      </c>
      <c r="AO59" s="1238">
        <f t="shared" si="4"/>
        <v>2401.9841412000001</v>
      </c>
      <c r="AP59" s="1238">
        <f t="shared" si="5"/>
        <v>0</v>
      </c>
      <c r="AQ59" s="663">
        <f t="shared" si="10"/>
        <v>26688.712680000001</v>
      </c>
      <c r="AR59" s="1"/>
      <c r="AS59" s="1241">
        <f t="shared" si="11"/>
        <v>52638.423013848922</v>
      </c>
      <c r="AT59" s="1242">
        <f t="shared" si="12"/>
        <v>4183.3559472115749</v>
      </c>
      <c r="AU59" s="1242">
        <f t="shared" si="13"/>
        <v>1166.0835964058617</v>
      </c>
      <c r="AV59" s="1238">
        <f t="shared" si="14"/>
        <v>0</v>
      </c>
      <c r="AW59" s="1242">
        <f t="shared" si="15"/>
        <v>2212.4284198758669</v>
      </c>
      <c r="AX59" s="744">
        <f t="shared" si="16"/>
        <v>60200.290977342229</v>
      </c>
      <c r="AY59" s="1"/>
      <c r="AZ59" s="1152">
        <f t="shared" si="22"/>
        <v>86.889003657342229</v>
      </c>
      <c r="BA59" s="411">
        <f t="shared" si="17"/>
        <v>0.14846079430677495</v>
      </c>
      <c r="BB59" s="1362">
        <f>'Input data'!D103/10^6</f>
        <v>0</v>
      </c>
    </row>
    <row r="60" spans="1:54">
      <c r="A60" s="990">
        <f>'Input data'!A104</f>
        <v>2004</v>
      </c>
      <c r="B60" s="1649">
        <f>'Input data'!I104</f>
        <v>578.73</v>
      </c>
      <c r="C60" s="663">
        <f>B60*'Input data'!B104</f>
        <v>27006.435450000001</v>
      </c>
      <c r="D60" s="648">
        <f>'Input data'!N104</f>
        <v>0.19892488097366726</v>
      </c>
      <c r="E60" s="411">
        <f>'Input data'!O104</f>
        <v>0.26585903447659598</v>
      </c>
      <c r="F60" s="411">
        <f>'Input data'!P104</f>
        <v>8.9228108703258049E-2</v>
      </c>
      <c r="G60" s="411">
        <f>'Input data'!Q104</f>
        <v>0</v>
      </c>
      <c r="H60" s="411">
        <f>'Input data'!R104</f>
        <v>0</v>
      </c>
      <c r="I60" s="411">
        <f>'Input data'!S104</f>
        <v>0</v>
      </c>
      <c r="J60" s="411">
        <f>'Input data'!T104</f>
        <v>0.4459879758464787</v>
      </c>
      <c r="K60" s="1154">
        <f>'Input data'!U104</f>
        <v>1</v>
      </c>
      <c r="L60" s="648">
        <f>'Input data'!V104</f>
        <v>0.29028184578274857</v>
      </c>
      <c r="M60" s="411">
        <f>'Input data'!W104</f>
        <v>0.30317187715157518</v>
      </c>
      <c r="N60" s="411">
        <f>'Input data'!X104</f>
        <v>8.2805443243048754E-2</v>
      </c>
      <c r="O60" s="411">
        <f>'Input data'!Y104</f>
        <v>0</v>
      </c>
      <c r="P60" s="411">
        <f>'Input data'!Z104</f>
        <v>0</v>
      </c>
      <c r="Q60" s="411">
        <f>'Input data'!AA104</f>
        <v>0</v>
      </c>
      <c r="R60" s="411">
        <f>'Input data'!AB104</f>
        <v>0.32374083382262742</v>
      </c>
      <c r="S60" s="1237">
        <f t="shared" si="6"/>
        <v>0.99999999999999989</v>
      </c>
      <c r="T60" s="648">
        <f t="shared" si="29"/>
        <v>0.8</v>
      </c>
      <c r="U60" s="411">
        <f t="shared" si="29"/>
        <v>0.11</v>
      </c>
      <c r="V60" s="411">
        <f t="shared" si="29"/>
        <v>0.09</v>
      </c>
      <c r="W60" s="411">
        <f t="shared" si="29"/>
        <v>0</v>
      </c>
      <c r="X60" s="1154">
        <f t="shared" si="8"/>
        <v>1</v>
      </c>
      <c r="Y60" s="648">
        <f>'Input data'!$G$35</f>
        <v>0.66241124199764068</v>
      </c>
      <c r="Z60" s="1154">
        <f>'Input data'!$H$35</f>
        <v>0.33758875800235938</v>
      </c>
      <c r="AA60" s="1358">
        <f>'Input data'!J104</f>
        <v>28.161493315089835</v>
      </c>
      <c r="AB60" s="1238">
        <f>'Input data'!L104</f>
        <v>62942.144982548751</v>
      </c>
      <c r="AC60" s="411">
        <f t="shared" ref="AC60:AC67" si="32">($AC$68-$AC$58)/($A$68-$A$58)+AC59</f>
        <v>0.86413954518619229</v>
      </c>
      <c r="AD60" s="411">
        <f t="shared" ref="AD60:AD67" si="33">($AD$68-$AD$58)/($A$68-$A$58)+AD59</f>
        <v>8.8860692477895534E-2</v>
      </c>
      <c r="AE60" s="411">
        <f t="shared" ref="AE60:AE67" si="34">($AE$68-$AE$58)/($A$68-$A$58)+AE59</f>
        <v>0</v>
      </c>
      <c r="AF60" s="411">
        <f t="shared" ref="AF60:AF67" si="35">($AF$68-$AF$58)/($A$68-$A$58)+AF59</f>
        <v>4.6999762335912194E-2</v>
      </c>
      <c r="AG60" s="411">
        <f t="shared" si="20"/>
        <v>1</v>
      </c>
      <c r="AH60" s="1356">
        <f t="shared" si="31"/>
        <v>0.78201761382701329</v>
      </c>
      <c r="AI60" s="1240">
        <f t="shared" si="31"/>
        <v>0.21798238617298668</v>
      </c>
      <c r="AJ60" s="1"/>
      <c r="AK60" s="990">
        <f t="shared" si="0"/>
        <v>2004</v>
      </c>
      <c r="AL60" s="766">
        <f t="shared" si="1"/>
        <v>21605.148360000003</v>
      </c>
      <c r="AM60" s="1238">
        <f t="shared" si="2"/>
        <v>1967.8303093199975</v>
      </c>
      <c r="AN60" s="1238">
        <f t="shared" si="3"/>
        <v>1002.8775901800029</v>
      </c>
      <c r="AO60" s="1238">
        <f t="shared" si="4"/>
        <v>2430.5791905000001</v>
      </c>
      <c r="AP60" s="1238">
        <f t="shared" si="5"/>
        <v>0</v>
      </c>
      <c r="AQ60" s="663">
        <f t="shared" si="10"/>
        <v>27006.435450000004</v>
      </c>
      <c r="AR60" s="1"/>
      <c r="AS60" s="1241">
        <f t="shared" si="11"/>
        <v>54390.79653826305</v>
      </c>
      <c r="AT60" s="1242">
        <f t="shared" si="12"/>
        <v>4373.8891003384206</v>
      </c>
      <c r="AU60" s="1242">
        <f t="shared" si="13"/>
        <v>1219.1934888549595</v>
      </c>
      <c r="AV60" s="1238">
        <f t="shared" si="14"/>
        <v>0</v>
      </c>
      <c r="AW60" s="1242">
        <f t="shared" si="15"/>
        <v>2958.2658550923193</v>
      </c>
      <c r="AX60" s="744">
        <f t="shared" si="16"/>
        <v>62942.144982548751</v>
      </c>
      <c r="AY60" s="1"/>
      <c r="AZ60" s="1152">
        <f t="shared" si="22"/>
        <v>89.948580432548766</v>
      </c>
      <c r="BA60" s="411">
        <f t="shared" si="17"/>
        <v>0.15511790699963962</v>
      </c>
      <c r="BB60" s="1362">
        <f>'Input data'!D104/10^6</f>
        <v>0</v>
      </c>
    </row>
    <row r="61" spans="1:54">
      <c r="A61" s="990">
        <f>'Input data'!A105</f>
        <v>2005</v>
      </c>
      <c r="B61" s="1649">
        <f>'Input data'!I105</f>
        <v>578.73</v>
      </c>
      <c r="C61" s="663">
        <f>B61*'Input data'!B105</f>
        <v>27314.898540000002</v>
      </c>
      <c r="D61" s="648">
        <f>'Input data'!N105</f>
        <v>0.19892488097366726</v>
      </c>
      <c r="E61" s="411">
        <f>'Input data'!O105</f>
        <v>0.26585903447659598</v>
      </c>
      <c r="F61" s="411">
        <f>'Input data'!P105</f>
        <v>8.9228108703258049E-2</v>
      </c>
      <c r="G61" s="411">
        <f>'Input data'!Q105</f>
        <v>0</v>
      </c>
      <c r="H61" s="411">
        <f>'Input data'!R105</f>
        <v>0</v>
      </c>
      <c r="I61" s="411">
        <f>'Input data'!S105</f>
        <v>0</v>
      </c>
      <c r="J61" s="411">
        <f>'Input data'!T105</f>
        <v>0.4459879758464787</v>
      </c>
      <c r="K61" s="1154">
        <f>'Input data'!U105</f>
        <v>1</v>
      </c>
      <c r="L61" s="648">
        <f>'Input data'!V105</f>
        <v>0.29028184578274857</v>
      </c>
      <c r="M61" s="411">
        <f>'Input data'!W105</f>
        <v>0.30317187715157518</v>
      </c>
      <c r="N61" s="411">
        <f>'Input data'!X105</f>
        <v>8.2805443243048754E-2</v>
      </c>
      <c r="O61" s="411">
        <f>'Input data'!Y105</f>
        <v>0</v>
      </c>
      <c r="P61" s="411">
        <f>'Input data'!Z105</f>
        <v>0</v>
      </c>
      <c r="Q61" s="411">
        <f>'Input data'!AA105</f>
        <v>0</v>
      </c>
      <c r="R61" s="411">
        <f>'Input data'!AB105</f>
        <v>0.32374083382262742</v>
      </c>
      <c r="S61" s="1237">
        <f t="shared" si="6"/>
        <v>0.99999999999999989</v>
      </c>
      <c r="T61" s="648">
        <f t="shared" si="29"/>
        <v>0.8</v>
      </c>
      <c r="U61" s="411">
        <f t="shared" si="29"/>
        <v>0.11</v>
      </c>
      <c r="V61" s="411">
        <f t="shared" si="29"/>
        <v>0.09</v>
      </c>
      <c r="W61" s="411">
        <f t="shared" si="29"/>
        <v>0</v>
      </c>
      <c r="X61" s="1154">
        <f t="shared" si="8"/>
        <v>1</v>
      </c>
      <c r="Y61" s="648">
        <f>'Input data'!$G$35</f>
        <v>0.66241124199764068</v>
      </c>
      <c r="Z61" s="1154">
        <f>'Input data'!$H$35</f>
        <v>0.33758875800235938</v>
      </c>
      <c r="AA61" s="1358">
        <f>'Input data'!J105</f>
        <v>28.161493315089835</v>
      </c>
      <c r="AB61" s="1238">
        <f>'Input data'!L105</f>
        <v>66263.63741725852</v>
      </c>
      <c r="AC61" s="411">
        <f t="shared" si="32"/>
        <v>0.85389090786907051</v>
      </c>
      <c r="AD61" s="411">
        <f t="shared" si="33"/>
        <v>8.8860692477895534E-2</v>
      </c>
      <c r="AE61" s="411">
        <f t="shared" si="34"/>
        <v>0</v>
      </c>
      <c r="AF61" s="411">
        <f t="shared" si="35"/>
        <v>5.7248399653033938E-2</v>
      </c>
      <c r="AG61" s="411">
        <f t="shared" si="20"/>
        <v>1</v>
      </c>
      <c r="AH61" s="1356">
        <f t="shared" si="31"/>
        <v>0.78201761382701329</v>
      </c>
      <c r="AI61" s="1240">
        <f t="shared" si="31"/>
        <v>0.21798238617298668</v>
      </c>
      <c r="AJ61" s="1"/>
      <c r="AK61" s="990">
        <f t="shared" si="0"/>
        <v>2005</v>
      </c>
      <c r="AL61" s="766">
        <f t="shared" si="1"/>
        <v>21851.918832000003</v>
      </c>
      <c r="AM61" s="1238">
        <f t="shared" si="2"/>
        <v>1990.3065453613035</v>
      </c>
      <c r="AN61" s="1238">
        <f t="shared" si="3"/>
        <v>1014.3322940386965</v>
      </c>
      <c r="AO61" s="1238">
        <f t="shared" si="4"/>
        <v>2458.3408686000002</v>
      </c>
      <c r="AP61" s="1238">
        <f t="shared" si="5"/>
        <v>0</v>
      </c>
      <c r="AQ61" s="663">
        <f t="shared" si="10"/>
        <v>27314.898540000002</v>
      </c>
      <c r="AR61" s="1"/>
      <c r="AS61" s="1241">
        <f t="shared" si="11"/>
        <v>56581.917512929787</v>
      </c>
      <c r="AT61" s="1242">
        <f t="shared" si="12"/>
        <v>4604.7016911877081</v>
      </c>
      <c r="AU61" s="1242">
        <f t="shared" si="13"/>
        <v>1283.531015814073</v>
      </c>
      <c r="AV61" s="1238">
        <f t="shared" si="14"/>
        <v>0</v>
      </c>
      <c r="AW61" s="1242">
        <f t="shared" si="15"/>
        <v>3793.4871973269492</v>
      </c>
      <c r="AX61" s="744">
        <f t="shared" si="16"/>
        <v>66263.63741725852</v>
      </c>
      <c r="AY61" s="1"/>
      <c r="AZ61" s="1152">
        <f t="shared" si="22"/>
        <v>93.578535957258509</v>
      </c>
      <c r="BA61" s="411">
        <f t="shared" si="17"/>
        <v>0.16183945877552502</v>
      </c>
      <c r="BB61" s="1362">
        <f>'Input data'!D105/10^6</f>
        <v>0</v>
      </c>
    </row>
    <row r="62" spans="1:54">
      <c r="A62" s="990">
        <f>'Input data'!A106</f>
        <v>2006</v>
      </c>
      <c r="B62" s="1649">
        <f>'Input data'!I106</f>
        <v>578.73</v>
      </c>
      <c r="C62" s="663">
        <f>B62*'Input data'!B106</f>
        <v>27623.361630000003</v>
      </c>
      <c r="D62" s="648">
        <f>'Input data'!N106</f>
        <v>0.19892488097366726</v>
      </c>
      <c r="E62" s="411">
        <f>'Input data'!O106</f>
        <v>0.26585903447659598</v>
      </c>
      <c r="F62" s="411">
        <f>'Input data'!P106</f>
        <v>8.9228108703258049E-2</v>
      </c>
      <c r="G62" s="411">
        <f>'Input data'!Q106</f>
        <v>0</v>
      </c>
      <c r="H62" s="411">
        <f>'Input data'!R106</f>
        <v>0</v>
      </c>
      <c r="I62" s="411">
        <f>'Input data'!S106</f>
        <v>0</v>
      </c>
      <c r="J62" s="411">
        <f>'Input data'!T106</f>
        <v>0.4459879758464787</v>
      </c>
      <c r="K62" s="1154">
        <f>'Input data'!U106</f>
        <v>1</v>
      </c>
      <c r="L62" s="648">
        <f>'Input data'!V106</f>
        <v>0.29028184578274857</v>
      </c>
      <c r="M62" s="411">
        <f>'Input data'!W106</f>
        <v>0.30317187715157518</v>
      </c>
      <c r="N62" s="411">
        <f>'Input data'!X106</f>
        <v>8.2805443243048754E-2</v>
      </c>
      <c r="O62" s="411">
        <f>'Input data'!Y106</f>
        <v>0</v>
      </c>
      <c r="P62" s="411">
        <f>'Input data'!Z106</f>
        <v>0</v>
      </c>
      <c r="Q62" s="411">
        <f>'Input data'!AA106</f>
        <v>0</v>
      </c>
      <c r="R62" s="411">
        <f>'Input data'!AB106</f>
        <v>0.32374083382262742</v>
      </c>
      <c r="S62" s="1237">
        <f t="shared" si="6"/>
        <v>0.99999999999999989</v>
      </c>
      <c r="T62" s="648">
        <f t="shared" si="29"/>
        <v>0.8</v>
      </c>
      <c r="U62" s="411">
        <f t="shared" si="29"/>
        <v>0.11</v>
      </c>
      <c r="V62" s="411">
        <f t="shared" si="29"/>
        <v>0.09</v>
      </c>
      <c r="W62" s="411">
        <f t="shared" si="29"/>
        <v>0</v>
      </c>
      <c r="X62" s="1154">
        <f t="shared" si="8"/>
        <v>1</v>
      </c>
      <c r="Y62" s="648">
        <f>'Input data'!$G$35</f>
        <v>0.66241124199764068</v>
      </c>
      <c r="Z62" s="1154">
        <f>'Input data'!$H$35</f>
        <v>0.33758875800235938</v>
      </c>
      <c r="AA62" s="1358">
        <f>'Input data'!J106</f>
        <v>28.161493315089835</v>
      </c>
      <c r="AB62" s="1238">
        <f>'Input data'!L106</f>
        <v>69976.917578289838</v>
      </c>
      <c r="AC62" s="411">
        <f t="shared" si="32"/>
        <v>0.84364227055194874</v>
      </c>
      <c r="AD62" s="411">
        <f t="shared" si="33"/>
        <v>8.8860692477895534E-2</v>
      </c>
      <c r="AE62" s="411">
        <f t="shared" si="34"/>
        <v>0</v>
      </c>
      <c r="AF62" s="411">
        <f t="shared" si="35"/>
        <v>6.7497036970155674E-2</v>
      </c>
      <c r="AG62" s="411">
        <f t="shared" si="20"/>
        <v>0.99999999999999989</v>
      </c>
      <c r="AH62" s="1356">
        <f t="shared" si="31"/>
        <v>0.78201761382701329</v>
      </c>
      <c r="AI62" s="1240">
        <f t="shared" si="31"/>
        <v>0.21798238617298668</v>
      </c>
      <c r="AJ62" s="1"/>
      <c r="AK62" s="990">
        <f t="shared" si="0"/>
        <v>2006</v>
      </c>
      <c r="AL62" s="766">
        <f t="shared" si="1"/>
        <v>22098.689304000003</v>
      </c>
      <c r="AM62" s="1238">
        <f t="shared" si="2"/>
        <v>2012.7827814026102</v>
      </c>
      <c r="AN62" s="1238">
        <f t="shared" si="3"/>
        <v>1025.7869978973904</v>
      </c>
      <c r="AO62" s="1238">
        <f t="shared" si="4"/>
        <v>2486.1025467000004</v>
      </c>
      <c r="AP62" s="1238">
        <f t="shared" si="5"/>
        <v>0</v>
      </c>
      <c r="AQ62" s="663">
        <f t="shared" si="10"/>
        <v>27623.361630000003</v>
      </c>
      <c r="AR62" s="1"/>
      <c r="AS62" s="1241">
        <f t="shared" si="11"/>
        <v>59035.485631975011</v>
      </c>
      <c r="AT62" s="1242">
        <f t="shared" si="12"/>
        <v>4862.739856670325</v>
      </c>
      <c r="AU62" s="1242">
        <f t="shared" si="13"/>
        <v>1355.4574968051304</v>
      </c>
      <c r="AV62" s="1238">
        <f t="shared" si="14"/>
        <v>0</v>
      </c>
      <c r="AW62" s="1242">
        <f t="shared" si="15"/>
        <v>4723.2345928393661</v>
      </c>
      <c r="AX62" s="744">
        <f t="shared" si="16"/>
        <v>69976.917578289838</v>
      </c>
      <c r="AY62" s="1"/>
      <c r="AZ62" s="1152">
        <f t="shared" si="22"/>
        <v>97.600279208289834</v>
      </c>
      <c r="BA62" s="411">
        <f t="shared" si="17"/>
        <v>0.16870960212290304</v>
      </c>
      <c r="BB62" s="1362">
        <f>'Input data'!D106/10^6</f>
        <v>0</v>
      </c>
    </row>
    <row r="63" spans="1:54">
      <c r="A63" s="990">
        <f>'Input data'!A107</f>
        <v>2007</v>
      </c>
      <c r="B63" s="1649">
        <f>'Input data'!I107</f>
        <v>578.73</v>
      </c>
      <c r="C63" s="663">
        <f>B63*'Input data'!B107</f>
        <v>27927.77361</v>
      </c>
      <c r="D63" s="648">
        <f>'Input data'!N107</f>
        <v>0.19892488097366726</v>
      </c>
      <c r="E63" s="411">
        <f>'Input data'!O107</f>
        <v>0.26585903447659598</v>
      </c>
      <c r="F63" s="411">
        <f>'Input data'!P107</f>
        <v>8.9228108703258049E-2</v>
      </c>
      <c r="G63" s="411">
        <f>'Input data'!Q107</f>
        <v>0</v>
      </c>
      <c r="H63" s="411">
        <f>'Input data'!R107</f>
        <v>0</v>
      </c>
      <c r="I63" s="411">
        <f>'Input data'!S107</f>
        <v>0</v>
      </c>
      <c r="J63" s="411">
        <f>'Input data'!T107</f>
        <v>0.4459879758464787</v>
      </c>
      <c r="K63" s="1154">
        <f>'Input data'!U107</f>
        <v>1</v>
      </c>
      <c r="L63" s="648">
        <f>'Input data'!V107</f>
        <v>0.29028184578274857</v>
      </c>
      <c r="M63" s="411">
        <f>'Input data'!W107</f>
        <v>0.30317187715157518</v>
      </c>
      <c r="N63" s="411">
        <f>'Input data'!X107</f>
        <v>8.2805443243048754E-2</v>
      </c>
      <c r="O63" s="411">
        <f>'Input data'!Y107</f>
        <v>0</v>
      </c>
      <c r="P63" s="411">
        <f>'Input data'!Z107</f>
        <v>0</v>
      </c>
      <c r="Q63" s="411">
        <f>'Input data'!AA107</f>
        <v>0</v>
      </c>
      <c r="R63" s="411">
        <f>'Input data'!AB107</f>
        <v>0.32374083382262742</v>
      </c>
      <c r="S63" s="1237">
        <f t="shared" si="6"/>
        <v>0.99999999999999989</v>
      </c>
      <c r="T63" s="648">
        <f t="shared" si="29"/>
        <v>0.8</v>
      </c>
      <c r="U63" s="411">
        <f t="shared" si="29"/>
        <v>0.11</v>
      </c>
      <c r="V63" s="411">
        <f t="shared" si="29"/>
        <v>0.09</v>
      </c>
      <c r="W63" s="411">
        <f t="shared" si="29"/>
        <v>0</v>
      </c>
      <c r="X63" s="1154">
        <f t="shared" si="8"/>
        <v>1</v>
      </c>
      <c r="Y63" s="648">
        <f>'Input data'!$G$35</f>
        <v>0.66241124199764068</v>
      </c>
      <c r="Z63" s="1154">
        <f>'Input data'!$H$35</f>
        <v>0.33758875800235938</v>
      </c>
      <c r="AA63" s="1358">
        <f>'Input data'!J107</f>
        <v>28.161493315089835</v>
      </c>
      <c r="AB63" s="1238">
        <f>'Input data'!L107</f>
        <v>73728.013374339003</v>
      </c>
      <c r="AC63" s="411">
        <f t="shared" si="32"/>
        <v>0.83339363323482696</v>
      </c>
      <c r="AD63" s="411">
        <f t="shared" si="33"/>
        <v>8.8860692477895534E-2</v>
      </c>
      <c r="AE63" s="411">
        <f t="shared" si="34"/>
        <v>0</v>
      </c>
      <c r="AF63" s="411">
        <f t="shared" si="35"/>
        <v>7.7745674287277411E-2</v>
      </c>
      <c r="AG63" s="411">
        <f t="shared" si="20"/>
        <v>0.99999999999999989</v>
      </c>
      <c r="AH63" s="1356">
        <f t="shared" si="31"/>
        <v>0.78201761382701329</v>
      </c>
      <c r="AI63" s="1240">
        <f t="shared" si="31"/>
        <v>0.21798238617298668</v>
      </c>
      <c r="AJ63" s="1"/>
      <c r="AK63" s="990">
        <f t="shared" si="0"/>
        <v>2007</v>
      </c>
      <c r="AL63" s="766">
        <f t="shared" si="1"/>
        <v>22342.218888000003</v>
      </c>
      <c r="AM63" s="1238">
        <f t="shared" si="2"/>
        <v>2034.9638323551937</v>
      </c>
      <c r="AN63" s="1238">
        <f t="shared" si="3"/>
        <v>1037.0912647448067</v>
      </c>
      <c r="AO63" s="1238">
        <f t="shared" si="4"/>
        <v>2513.4996249000001</v>
      </c>
      <c r="AP63" s="1238">
        <f t="shared" si="5"/>
        <v>0</v>
      </c>
      <c r="AQ63" s="663">
        <f t="shared" si="10"/>
        <v>27927.773610000004</v>
      </c>
      <c r="AR63" s="1"/>
      <c r="AS63" s="1241">
        <f t="shared" si="11"/>
        <v>61444.456937226299</v>
      </c>
      <c r="AT63" s="1242">
        <f t="shared" si="12"/>
        <v>5123.4058543291849</v>
      </c>
      <c r="AU63" s="1242">
        <f t="shared" si="13"/>
        <v>1428.1164691341216</v>
      </c>
      <c r="AV63" s="1238">
        <f t="shared" si="14"/>
        <v>0</v>
      </c>
      <c r="AW63" s="1242">
        <f t="shared" si="15"/>
        <v>5732.0341136493926</v>
      </c>
      <c r="AX63" s="744">
        <f t="shared" si="16"/>
        <v>73728.013374339003</v>
      </c>
      <c r="AY63" s="1"/>
      <c r="AZ63" s="1152">
        <f t="shared" si="22"/>
        <v>101.65578698433902</v>
      </c>
      <c r="BA63" s="411">
        <f t="shared" si="17"/>
        <v>0.17578055995833866</v>
      </c>
      <c r="BB63" s="1362">
        <f>'Input data'!D107/10^6</f>
        <v>0</v>
      </c>
    </row>
    <row r="64" spans="1:54">
      <c r="A64" s="990">
        <f>'Input data'!A108</f>
        <v>2008</v>
      </c>
      <c r="B64" s="1649">
        <f>'Input data'!I108</f>
        <v>578.73</v>
      </c>
      <c r="C64" s="663">
        <f>B64*'Input data'!B108</f>
        <v>28237.972890000001</v>
      </c>
      <c r="D64" s="648">
        <f>'Input data'!N108</f>
        <v>0.19892488097366726</v>
      </c>
      <c r="E64" s="411">
        <f>'Input data'!O108</f>
        <v>0.26585903447659598</v>
      </c>
      <c r="F64" s="411">
        <f>'Input data'!P108</f>
        <v>8.9228108703258049E-2</v>
      </c>
      <c r="G64" s="411">
        <f>'Input data'!Q108</f>
        <v>0</v>
      </c>
      <c r="H64" s="411">
        <f>'Input data'!R108</f>
        <v>0</v>
      </c>
      <c r="I64" s="411">
        <f>'Input data'!S108</f>
        <v>0</v>
      </c>
      <c r="J64" s="411">
        <f>'Input data'!T108</f>
        <v>0.4459879758464787</v>
      </c>
      <c r="K64" s="1154">
        <f>'Input data'!U108</f>
        <v>1</v>
      </c>
      <c r="L64" s="648">
        <f>'Input data'!V108</f>
        <v>0.29028184578274857</v>
      </c>
      <c r="M64" s="411">
        <f>'Input data'!W108</f>
        <v>0.30317187715157518</v>
      </c>
      <c r="N64" s="411">
        <f>'Input data'!X108</f>
        <v>8.2805443243048754E-2</v>
      </c>
      <c r="O64" s="411">
        <f>'Input data'!Y108</f>
        <v>0</v>
      </c>
      <c r="P64" s="411">
        <f>'Input data'!Z108</f>
        <v>0</v>
      </c>
      <c r="Q64" s="411">
        <f>'Input data'!AA108</f>
        <v>0</v>
      </c>
      <c r="R64" s="411">
        <f>'Input data'!AB108</f>
        <v>0.32374083382262742</v>
      </c>
      <c r="S64" s="1237">
        <f t="shared" si="6"/>
        <v>0.99999999999999989</v>
      </c>
      <c r="T64" s="648">
        <f t="shared" si="29"/>
        <v>0.8</v>
      </c>
      <c r="U64" s="411">
        <f t="shared" si="29"/>
        <v>0.11</v>
      </c>
      <c r="V64" s="411">
        <f t="shared" si="29"/>
        <v>0.09</v>
      </c>
      <c r="W64" s="411">
        <f t="shared" si="29"/>
        <v>0</v>
      </c>
      <c r="X64" s="1154">
        <f t="shared" si="8"/>
        <v>1</v>
      </c>
      <c r="Y64" s="648">
        <f>'Input data'!$G$35</f>
        <v>0.66241124199764068</v>
      </c>
      <c r="Z64" s="1154">
        <f>'Input data'!$H$35</f>
        <v>0.33758875800235938</v>
      </c>
      <c r="AA64" s="1358">
        <f>'Input data'!J108</f>
        <v>28.161493315089835</v>
      </c>
      <c r="AB64" s="1238">
        <f>'Input data'!L108</f>
        <v>76080.708742324889</v>
      </c>
      <c r="AC64" s="411">
        <f t="shared" si="32"/>
        <v>0.82314499591770518</v>
      </c>
      <c r="AD64" s="411">
        <f t="shared" si="33"/>
        <v>8.8860692477895534E-2</v>
      </c>
      <c r="AE64" s="411">
        <f t="shared" si="34"/>
        <v>0</v>
      </c>
      <c r="AF64" s="411">
        <f t="shared" si="35"/>
        <v>8.7994311604399147E-2</v>
      </c>
      <c r="AG64" s="411">
        <f t="shared" si="20"/>
        <v>0.99999999999999989</v>
      </c>
      <c r="AH64" s="1356">
        <f t="shared" si="31"/>
        <v>0.78201761382701329</v>
      </c>
      <c r="AI64" s="1240">
        <f t="shared" si="31"/>
        <v>0.21798238617298668</v>
      </c>
      <c r="AJ64" s="1"/>
      <c r="AK64" s="990">
        <f t="shared" si="0"/>
        <v>2008</v>
      </c>
      <c r="AL64" s="766">
        <f t="shared" si="1"/>
        <v>22590.378312000001</v>
      </c>
      <c r="AM64" s="1238">
        <f t="shared" si="2"/>
        <v>2057.5665762916669</v>
      </c>
      <c r="AN64" s="1238">
        <f t="shared" si="3"/>
        <v>1048.6104416083335</v>
      </c>
      <c r="AO64" s="1238">
        <f t="shared" si="4"/>
        <v>2541.4175601000002</v>
      </c>
      <c r="AP64" s="1238">
        <f t="shared" si="5"/>
        <v>0</v>
      </c>
      <c r="AQ64" s="663">
        <f t="shared" si="10"/>
        <v>28237.972890000001</v>
      </c>
      <c r="AR64" s="1"/>
      <c r="AS64" s="1241">
        <f t="shared" si="11"/>
        <v>62625.454687117141</v>
      </c>
      <c r="AT64" s="1242">
        <f t="shared" si="12"/>
        <v>5286.8961298719605</v>
      </c>
      <c r="AU64" s="1242">
        <f t="shared" si="13"/>
        <v>1473.6883331801102</v>
      </c>
      <c r="AV64" s="1238">
        <f t="shared" si="14"/>
        <v>0</v>
      </c>
      <c r="AW64" s="1242">
        <f t="shared" si="15"/>
        <v>6694.6695921556702</v>
      </c>
      <c r="AX64" s="744">
        <f t="shared" si="16"/>
        <v>76080.708742324874</v>
      </c>
      <c r="AY64" s="1"/>
      <c r="AZ64" s="1152">
        <f t="shared" si="22"/>
        <v>104.31868163232487</v>
      </c>
      <c r="BA64" s="411">
        <f t="shared" si="17"/>
        <v>0.18312011170287262</v>
      </c>
      <c r="BB64" s="1362">
        <f>'Input data'!D108/10^6</f>
        <v>0</v>
      </c>
    </row>
    <row r="65" spans="1:54">
      <c r="A65" s="990">
        <f>'Input data'!A109</f>
        <v>2009</v>
      </c>
      <c r="B65" s="1649">
        <f>'Input data'!I109</f>
        <v>578.73</v>
      </c>
      <c r="C65" s="663">
        <f>B65*'Input data'!B109</f>
        <v>28542.963600000003</v>
      </c>
      <c r="D65" s="648">
        <f>'Input data'!N109</f>
        <v>0.19892488097366726</v>
      </c>
      <c r="E65" s="411">
        <f>'Input data'!O109</f>
        <v>0.26585903447659598</v>
      </c>
      <c r="F65" s="411">
        <f>'Input data'!P109</f>
        <v>8.9228108703258049E-2</v>
      </c>
      <c r="G65" s="411">
        <f>'Input data'!Q109</f>
        <v>0</v>
      </c>
      <c r="H65" s="411">
        <f>'Input data'!R109</f>
        <v>0</v>
      </c>
      <c r="I65" s="411">
        <f>'Input data'!S109</f>
        <v>0</v>
      </c>
      <c r="J65" s="411">
        <f>'Input data'!T109</f>
        <v>0.4459879758464787</v>
      </c>
      <c r="K65" s="1154">
        <f>'Input data'!U109</f>
        <v>1</v>
      </c>
      <c r="L65" s="648">
        <f>'Input data'!V109</f>
        <v>0.29028184578274857</v>
      </c>
      <c r="M65" s="411">
        <f>'Input data'!W109</f>
        <v>0.30317187715157518</v>
      </c>
      <c r="N65" s="411">
        <f>'Input data'!X109</f>
        <v>8.2805443243048754E-2</v>
      </c>
      <c r="O65" s="411">
        <f>'Input data'!Y109</f>
        <v>0</v>
      </c>
      <c r="P65" s="411">
        <f>'Input data'!Z109</f>
        <v>0</v>
      </c>
      <c r="Q65" s="411">
        <f>'Input data'!AA109</f>
        <v>0</v>
      </c>
      <c r="R65" s="411">
        <f>'Input data'!AB109</f>
        <v>0.32374083382262742</v>
      </c>
      <c r="S65" s="1237">
        <f t="shared" si="6"/>
        <v>0.99999999999999989</v>
      </c>
      <c r="T65" s="648">
        <f t="shared" si="29"/>
        <v>0.8</v>
      </c>
      <c r="U65" s="411">
        <f t="shared" si="29"/>
        <v>0.11</v>
      </c>
      <c r="V65" s="411">
        <f t="shared" si="29"/>
        <v>0.09</v>
      </c>
      <c r="W65" s="411">
        <f t="shared" si="29"/>
        <v>0</v>
      </c>
      <c r="X65" s="1154">
        <f t="shared" si="8"/>
        <v>1</v>
      </c>
      <c r="Y65" s="648">
        <f>'Input data'!$G$35</f>
        <v>0.66241124199764068</v>
      </c>
      <c r="Z65" s="1154">
        <f>'Input data'!$H$35</f>
        <v>0.33758875800235938</v>
      </c>
      <c r="AA65" s="1358">
        <f>'Input data'!J109</f>
        <v>28.161493315089835</v>
      </c>
      <c r="AB65" s="1238">
        <f>'Input data'!L109</f>
        <v>74910.519475927576</v>
      </c>
      <c r="AC65" s="411">
        <f t="shared" si="32"/>
        <v>0.8128963586005834</v>
      </c>
      <c r="AD65" s="411">
        <f t="shared" si="33"/>
        <v>8.8860692477895534E-2</v>
      </c>
      <c r="AE65" s="411">
        <f t="shared" si="34"/>
        <v>0</v>
      </c>
      <c r="AF65" s="411">
        <f t="shared" si="35"/>
        <v>9.8242948921520884E-2</v>
      </c>
      <c r="AG65" s="411">
        <f t="shared" si="20"/>
        <v>0.99999999999999978</v>
      </c>
      <c r="AH65" s="1356">
        <f t="shared" si="31"/>
        <v>0.78201761382701329</v>
      </c>
      <c r="AI65" s="1240">
        <f t="shared" si="31"/>
        <v>0.21798238617298668</v>
      </c>
      <c r="AJ65" s="1"/>
      <c r="AK65" s="990">
        <f t="shared" si="0"/>
        <v>2009</v>
      </c>
      <c r="AL65" s="766">
        <f t="shared" si="1"/>
        <v>22834.370880000002</v>
      </c>
      <c r="AM65" s="1238">
        <f t="shared" si="2"/>
        <v>2079.7897965426396</v>
      </c>
      <c r="AN65" s="1238">
        <f t="shared" si="3"/>
        <v>1059.9361994573608</v>
      </c>
      <c r="AO65" s="1238">
        <f t="shared" si="4"/>
        <v>2568.866724</v>
      </c>
      <c r="AP65" s="1238">
        <f t="shared" si="5"/>
        <v>0</v>
      </c>
      <c r="AQ65" s="663">
        <f t="shared" si="10"/>
        <v>28542.963599999999</v>
      </c>
      <c r="AR65" s="1"/>
      <c r="AS65" s="1241">
        <f t="shared" si="11"/>
        <v>60894.488502859611</v>
      </c>
      <c r="AT65" s="1242">
        <f t="shared" si="12"/>
        <v>5205.5789443987405</v>
      </c>
      <c r="AU65" s="1242">
        <f t="shared" si="13"/>
        <v>1451.0216901110643</v>
      </c>
      <c r="AV65" s="1238">
        <f t="shared" si="14"/>
        <v>0</v>
      </c>
      <c r="AW65" s="1242">
        <f t="shared" si="15"/>
        <v>7359.4303385581479</v>
      </c>
      <c r="AX65" s="744">
        <f t="shared" si="16"/>
        <v>74910.519475927562</v>
      </c>
      <c r="AY65" s="1"/>
      <c r="AZ65" s="1152">
        <f t="shared" si="22"/>
        <v>103.45348307592756</v>
      </c>
      <c r="BA65" s="411">
        <f t="shared" si="17"/>
        <v>0.19066176513932806</v>
      </c>
      <c r="BB65" s="1362">
        <f>'Input data'!D109/10^6</f>
        <v>0</v>
      </c>
    </row>
    <row r="66" spans="1:54" s="1245" customFormat="1">
      <c r="A66" s="1243">
        <f>'Input data'!A110</f>
        <v>2010</v>
      </c>
      <c r="B66" s="1650">
        <f>'Input data'!I110</f>
        <v>559.42164173673609</v>
      </c>
      <c r="C66" s="532">
        <f>B66*'Input data'!B110</f>
        <v>27898.357273411028</v>
      </c>
      <c r="D66" s="1234">
        <f>'Input data'!N110</f>
        <v>0.19892488097366726</v>
      </c>
      <c r="E66" s="415">
        <f>'Input data'!O110</f>
        <v>0.26585903447659598</v>
      </c>
      <c r="F66" s="415">
        <f>'Input data'!P110</f>
        <v>8.9228108703258049E-2</v>
      </c>
      <c r="G66" s="415">
        <f>'Input data'!Q110</f>
        <v>0</v>
      </c>
      <c r="H66" s="415">
        <f>'Input data'!R110</f>
        <v>0</v>
      </c>
      <c r="I66" s="415">
        <f>'Input data'!S110</f>
        <v>0</v>
      </c>
      <c r="J66" s="415">
        <f>'Input data'!T110</f>
        <v>0.4459879758464787</v>
      </c>
      <c r="K66" s="1235">
        <f>'Input data'!U110</f>
        <v>1</v>
      </c>
      <c r="L66" s="1234">
        <f>'Input data'!V110</f>
        <v>0.29028184578274857</v>
      </c>
      <c r="M66" s="415">
        <f>'Input data'!W110</f>
        <v>0.30317187715157518</v>
      </c>
      <c r="N66" s="415">
        <f>'Input data'!X110</f>
        <v>8.2805443243048754E-2</v>
      </c>
      <c r="O66" s="415">
        <f>'Input data'!Y110</f>
        <v>0</v>
      </c>
      <c r="P66" s="415">
        <f>'Input data'!Z110</f>
        <v>0</v>
      </c>
      <c r="Q66" s="415">
        <f>'Input data'!AA110</f>
        <v>0</v>
      </c>
      <c r="R66" s="415">
        <f>'Input data'!AB110</f>
        <v>0.32374083382262742</v>
      </c>
      <c r="S66" s="414">
        <f t="shared" si="6"/>
        <v>0.99999999999999989</v>
      </c>
      <c r="T66" s="1234">
        <f>($T$73-$T$65)/($A$73-$A$65)+T65</f>
        <v>0.75808980601378384</v>
      </c>
      <c r="U66" s="415">
        <f t="shared" ref="U66:U72" si="36">($U$73-$U$65)/($A$73-$A$65)+U65</f>
        <v>0.14797665887920658</v>
      </c>
      <c r="V66" s="415">
        <f t="shared" ref="V66:V72" si="37">($V$73-$V$65)/($A$73-$A$65)+V65</f>
        <v>9.3933535107009608E-2</v>
      </c>
      <c r="W66" s="415">
        <f t="shared" si="29"/>
        <v>0</v>
      </c>
      <c r="X66" s="1235">
        <f t="shared" si="8"/>
        <v>1</v>
      </c>
      <c r="Y66" s="1234">
        <f>'Input data'!$G$35</f>
        <v>0.66241124199764068</v>
      </c>
      <c r="Z66" s="1235">
        <f>'Input data'!$H$35</f>
        <v>0.33758875800235938</v>
      </c>
      <c r="AA66" s="1357">
        <f>'Input data'!J110</f>
        <v>28.161493315089835</v>
      </c>
      <c r="AB66" s="471">
        <f>'Input data'!L110</f>
        <v>77187.597619364824</v>
      </c>
      <c r="AC66" s="411">
        <f t="shared" si="32"/>
        <v>0.80264772128346162</v>
      </c>
      <c r="AD66" s="411">
        <f t="shared" si="33"/>
        <v>8.8860692477895534E-2</v>
      </c>
      <c r="AE66" s="411">
        <f t="shared" si="34"/>
        <v>0</v>
      </c>
      <c r="AF66" s="411">
        <f t="shared" si="35"/>
        <v>0.10849158623864262</v>
      </c>
      <c r="AG66" s="415">
        <f t="shared" si="20"/>
        <v>0.99999999999999978</v>
      </c>
      <c r="AH66" s="1355">
        <f t="shared" si="31"/>
        <v>0.78201761382701329</v>
      </c>
      <c r="AI66" s="1236">
        <f t="shared" si="31"/>
        <v>0.21798238617298668</v>
      </c>
      <c r="AJ66" s="413"/>
      <c r="AK66" s="1243">
        <f t="shared" si="0"/>
        <v>2010</v>
      </c>
      <c r="AL66" s="531">
        <f t="shared" si="1"/>
        <v>21149.460253503403</v>
      </c>
      <c r="AM66" s="471">
        <f t="shared" si="2"/>
        <v>2734.636104451934</v>
      </c>
      <c r="AN66" s="471">
        <f t="shared" si="3"/>
        <v>1393.6695930858416</v>
      </c>
      <c r="AO66" s="471">
        <f t="shared" si="4"/>
        <v>2620.5913223698517</v>
      </c>
      <c r="AP66" s="471">
        <f t="shared" si="5"/>
        <v>0</v>
      </c>
      <c r="AQ66" s="532">
        <f t="shared" si="10"/>
        <v>27898.357273411028</v>
      </c>
      <c r="AR66" s="413"/>
      <c r="AS66" s="533">
        <f t="shared" si="11"/>
        <v>61954.449340527921</v>
      </c>
      <c r="AT66" s="517">
        <f t="shared" si="12"/>
        <v>5363.8145316187247</v>
      </c>
      <c r="AU66" s="517">
        <f t="shared" si="13"/>
        <v>1495.1288435431941</v>
      </c>
      <c r="AV66" s="471">
        <f t="shared" si="14"/>
        <v>0</v>
      </c>
      <c r="AW66" s="517">
        <f t="shared" si="15"/>
        <v>8374.204903674965</v>
      </c>
      <c r="AX66" s="534">
        <f t="shared" si="16"/>
        <v>77187.597619364809</v>
      </c>
      <c r="AY66" s="413"/>
      <c r="AZ66" s="1244">
        <f t="shared" si="22"/>
        <v>105.08595489277583</v>
      </c>
      <c r="BA66" s="415">
        <f t="shared" si="17"/>
        <v>0.20918157256289699</v>
      </c>
      <c r="BB66" s="1363">
        <f>'Input data'!D110/10^6</f>
        <v>0</v>
      </c>
    </row>
    <row r="67" spans="1:54">
      <c r="A67" s="990">
        <f>'Input data'!A111</f>
        <v>2011</v>
      </c>
      <c r="B67" s="1649">
        <f>'Input data'!I111</f>
        <v>540.11328347347217</v>
      </c>
      <c r="C67" s="663">
        <f>B67*'Input data'!B111</f>
        <v>27962.204798705126</v>
      </c>
      <c r="D67" s="648">
        <f>'Input data'!N111</f>
        <v>0.19892488097366726</v>
      </c>
      <c r="E67" s="411">
        <f>'Input data'!O111</f>
        <v>0.26585903447659598</v>
      </c>
      <c r="F67" s="411">
        <f>'Input data'!P111</f>
        <v>8.9228108703258049E-2</v>
      </c>
      <c r="G67" s="411">
        <f>'Input data'!Q111</f>
        <v>0</v>
      </c>
      <c r="H67" s="411">
        <f>'Input data'!R111</f>
        <v>0</v>
      </c>
      <c r="I67" s="411">
        <f>'Input data'!S111</f>
        <v>0</v>
      </c>
      <c r="J67" s="411">
        <f>'Input data'!T111</f>
        <v>0.4459879758464787</v>
      </c>
      <c r="K67" s="1154">
        <f>'Input data'!U111</f>
        <v>1</v>
      </c>
      <c r="L67" s="648">
        <f>'Input data'!V111</f>
        <v>0.29028184578274857</v>
      </c>
      <c r="M67" s="411">
        <f>'Input data'!W111</f>
        <v>0.30317187715157518</v>
      </c>
      <c r="N67" s="411">
        <f>'Input data'!X111</f>
        <v>8.2805443243048754E-2</v>
      </c>
      <c r="O67" s="411">
        <f>'Input data'!Y111</f>
        <v>0</v>
      </c>
      <c r="P67" s="411">
        <f>'Input data'!Z111</f>
        <v>0</v>
      </c>
      <c r="Q67" s="411">
        <f>'Input data'!AA111</f>
        <v>0</v>
      </c>
      <c r="R67" s="411">
        <f>'Input data'!AB111</f>
        <v>0.32374083382262742</v>
      </c>
      <c r="S67" s="1237">
        <f t="shared" si="6"/>
        <v>0.99999999999999989</v>
      </c>
      <c r="T67" s="648">
        <f t="shared" ref="T67:T72" si="38">($T$73-$T$65)/($A$73-$A$65)+T66</f>
        <v>0.71617961202756764</v>
      </c>
      <c r="U67" s="411">
        <f t="shared" si="36"/>
        <v>0.18595331775841314</v>
      </c>
      <c r="V67" s="411">
        <f t="shared" si="37"/>
        <v>9.7867070214019219E-2</v>
      </c>
      <c r="W67" s="411">
        <f t="shared" si="29"/>
        <v>0</v>
      </c>
      <c r="X67" s="1154">
        <f t="shared" si="8"/>
        <v>1</v>
      </c>
      <c r="Y67" s="648">
        <f>'Input data'!$G$35</f>
        <v>0.66241124199764068</v>
      </c>
      <c r="Z67" s="1154">
        <f>'Input data'!$H$35</f>
        <v>0.33758875800235938</v>
      </c>
      <c r="AA67" s="1358">
        <f>'Input data'!J111</f>
        <v>28.161493315089835</v>
      </c>
      <c r="AB67" s="1238">
        <f>'Input data'!L111</f>
        <v>79722.568109955158</v>
      </c>
      <c r="AC67" s="411">
        <f t="shared" si="32"/>
        <v>0.79239908396633985</v>
      </c>
      <c r="AD67" s="411">
        <f t="shared" si="33"/>
        <v>8.8860692477895534E-2</v>
      </c>
      <c r="AE67" s="411">
        <f t="shared" si="34"/>
        <v>0</v>
      </c>
      <c r="AF67" s="411">
        <f t="shared" si="35"/>
        <v>0.11874022355576436</v>
      </c>
      <c r="AG67" s="411">
        <f t="shared" si="20"/>
        <v>0.99999999999999978</v>
      </c>
      <c r="AH67" s="1356">
        <f t="shared" si="31"/>
        <v>0.78201761382701329</v>
      </c>
      <c r="AI67" s="1240">
        <f t="shared" si="31"/>
        <v>0.21798238617298668</v>
      </c>
      <c r="AJ67" s="1"/>
      <c r="AK67" s="990">
        <f t="shared" si="0"/>
        <v>2011</v>
      </c>
      <c r="AL67" s="766">
        <f t="shared" si="1"/>
        <v>20025.960984172027</v>
      </c>
      <c r="AM67" s="1238">
        <f t="shared" si="2"/>
        <v>3444.3163877741108</v>
      </c>
      <c r="AN67" s="1238">
        <f t="shared" si="3"/>
        <v>1755.3483663853285</v>
      </c>
      <c r="AO67" s="1238">
        <f t="shared" si="4"/>
        <v>2736.5790603736596</v>
      </c>
      <c r="AP67" s="1238">
        <f t="shared" si="5"/>
        <v>0</v>
      </c>
      <c r="AQ67" s="663">
        <f t="shared" si="10"/>
        <v>27962.204798705126</v>
      </c>
      <c r="AR67" s="1"/>
      <c r="AS67" s="1241">
        <f t="shared" si="11"/>
        <v>63172.089941772603</v>
      </c>
      <c r="AT67" s="1242">
        <f t="shared" si="12"/>
        <v>5539.971219662114</v>
      </c>
      <c r="AU67" s="1242">
        <f t="shared" si="13"/>
        <v>1544.2313887046928</v>
      </c>
      <c r="AV67" s="1238">
        <f t="shared" si="14"/>
        <v>0</v>
      </c>
      <c r="AW67" s="1242">
        <f t="shared" si="15"/>
        <v>9466.2755598157255</v>
      </c>
      <c r="AX67" s="744">
        <f t="shared" si="16"/>
        <v>79722.568109955129</v>
      </c>
      <c r="AY67" s="1"/>
      <c r="AZ67" s="1152">
        <f t="shared" si="22"/>
        <v>107.68477290866026</v>
      </c>
      <c r="BA67" s="411">
        <f t="shared" si="17"/>
        <v>0.22739261384230819</v>
      </c>
      <c r="BB67" s="1362">
        <f>'Input data'!D111/10^6</f>
        <v>0</v>
      </c>
    </row>
    <row r="68" spans="1:54">
      <c r="A68" s="990">
        <f>'Input data'!A112</f>
        <v>2012</v>
      </c>
      <c r="B68" s="1649">
        <f>'Input data'!I112</f>
        <v>520.80492521020824</v>
      </c>
      <c r="C68" s="663">
        <f>B68*'Input data'!B112</f>
        <v>27251.34315873828</v>
      </c>
      <c r="D68" s="648">
        <f>'Input data'!N112</f>
        <v>0.19892488097366726</v>
      </c>
      <c r="E68" s="411">
        <f>'Input data'!O112</f>
        <v>0.26585903447659598</v>
      </c>
      <c r="F68" s="411">
        <f>'Input data'!P112</f>
        <v>8.9228108703258049E-2</v>
      </c>
      <c r="G68" s="411">
        <f>'Input data'!Q112</f>
        <v>0</v>
      </c>
      <c r="H68" s="411">
        <f>'Input data'!R112</f>
        <v>0</v>
      </c>
      <c r="I68" s="411">
        <f>'Input data'!S112</f>
        <v>0</v>
      </c>
      <c r="J68" s="411">
        <f>'Input data'!T112</f>
        <v>0.4459879758464787</v>
      </c>
      <c r="K68" s="1154">
        <f>'Input data'!U112</f>
        <v>1</v>
      </c>
      <c r="L68" s="648">
        <f>'Input data'!V112</f>
        <v>0.29028184578274857</v>
      </c>
      <c r="M68" s="411">
        <f>'Input data'!W112</f>
        <v>0.30317187715157518</v>
      </c>
      <c r="N68" s="411">
        <f>'Input data'!X112</f>
        <v>8.2805443243048754E-2</v>
      </c>
      <c r="O68" s="411">
        <f>'Input data'!Y112</f>
        <v>0</v>
      </c>
      <c r="P68" s="411">
        <f>'Input data'!Z112</f>
        <v>0</v>
      </c>
      <c r="Q68" s="411">
        <f>'Input data'!AA112</f>
        <v>0</v>
      </c>
      <c r="R68" s="411">
        <f>'Input data'!AB112</f>
        <v>0.32374083382262742</v>
      </c>
      <c r="S68" s="1237">
        <f t="shared" si="6"/>
        <v>0.99999999999999989</v>
      </c>
      <c r="T68" s="648">
        <f t="shared" si="38"/>
        <v>0.67426941804135143</v>
      </c>
      <c r="U68" s="411">
        <f t="shared" si="36"/>
        <v>0.22392997663761971</v>
      </c>
      <c r="V68" s="411">
        <f t="shared" si="37"/>
        <v>0.10180060532102883</v>
      </c>
      <c r="W68" s="411">
        <f t="shared" si="29"/>
        <v>0</v>
      </c>
      <c r="X68" s="1154">
        <f t="shared" si="8"/>
        <v>1</v>
      </c>
      <c r="Y68" s="648">
        <f>'Input data'!$G$35</f>
        <v>0.66241124199764068</v>
      </c>
      <c r="Z68" s="1154">
        <f>'Input data'!$H$35</f>
        <v>0.33758875800235938</v>
      </c>
      <c r="AA68" s="1358">
        <f>'Input data'!J112</f>
        <v>28.161493315089835</v>
      </c>
      <c r="AB68" s="1238">
        <f>'Input data'!L112</f>
        <v>81487.111404279509</v>
      </c>
      <c r="AC68" s="411">
        <f>'Input data'!B36</f>
        <v>0.7821504466492184</v>
      </c>
      <c r="AD68" s="411">
        <f>'Input data'!C36</f>
        <v>8.8860692477895534E-2</v>
      </c>
      <c r="AE68" s="411">
        <f>'Input data'!D36</f>
        <v>0</v>
      </c>
      <c r="AF68" s="411">
        <f>'Input data'!E36</f>
        <v>0.12898886087288614</v>
      </c>
      <c r="AG68" s="411">
        <f t="shared" si="20"/>
        <v>1</v>
      </c>
      <c r="AH68" s="1356">
        <f t="shared" si="31"/>
        <v>0.78201761382701329</v>
      </c>
      <c r="AI68" s="1240">
        <f t="shared" si="31"/>
        <v>0.21798238617298668</v>
      </c>
      <c r="AJ68" s="1"/>
      <c r="AK68" s="990">
        <f t="shared" si="0"/>
        <v>2012</v>
      </c>
      <c r="AL68" s="766">
        <f t="shared" si="1"/>
        <v>18374.747292487624</v>
      </c>
      <c r="AM68" s="1238">
        <f t="shared" si="2"/>
        <v>4042.2934857529522</v>
      </c>
      <c r="AN68" s="1238">
        <f t="shared" si="3"/>
        <v>2060.099151127069</v>
      </c>
      <c r="AO68" s="1238">
        <f t="shared" si="4"/>
        <v>2774.2032293706347</v>
      </c>
      <c r="AP68" s="1238">
        <f t="shared" si="5"/>
        <v>0</v>
      </c>
      <c r="AQ68" s="663">
        <f t="shared" si="10"/>
        <v>27251.34315873828</v>
      </c>
      <c r="AR68" s="1"/>
      <c r="AS68" s="1241">
        <f t="shared" si="11"/>
        <v>63735.180581011839</v>
      </c>
      <c r="AT68" s="1242">
        <f t="shared" si="12"/>
        <v>5662.5904390144315</v>
      </c>
      <c r="AU68" s="1242">
        <f t="shared" si="13"/>
        <v>1578.410708393264</v>
      </c>
      <c r="AV68" s="1238">
        <f t="shared" si="14"/>
        <v>0</v>
      </c>
      <c r="AW68" s="1242">
        <f t="shared" si="15"/>
        <v>10510.929675859983</v>
      </c>
      <c r="AX68" s="744">
        <f t="shared" si="16"/>
        <v>81487.111404279509</v>
      </c>
      <c r="AY68" s="1"/>
      <c r="AZ68" s="1152">
        <f t="shared" si="22"/>
        <v>108.73845456301778</v>
      </c>
      <c r="BA68" s="411">
        <f t="shared" si="17"/>
        <v>0.2448860138442206</v>
      </c>
      <c r="BB68" s="1362">
        <f>'Input data'!D112/10^6</f>
        <v>0</v>
      </c>
    </row>
    <row r="69" spans="1:54">
      <c r="A69" s="990">
        <f>'Input data'!A113</f>
        <v>2013</v>
      </c>
      <c r="B69" s="1649">
        <f>'Input data'!I113</f>
        <v>501.49656694694431</v>
      </c>
      <c r="C69" s="663">
        <f>B69*'Input data'!B113</f>
        <v>26631.667498723105</v>
      </c>
      <c r="D69" s="648">
        <f>'Input data'!N113</f>
        <v>0.19892488097366726</v>
      </c>
      <c r="E69" s="411">
        <f>'Input data'!O113</f>
        <v>0.26585903447659598</v>
      </c>
      <c r="F69" s="411">
        <f>'Input data'!P113</f>
        <v>8.9228108703258049E-2</v>
      </c>
      <c r="G69" s="411">
        <f>'Input data'!Q113</f>
        <v>0</v>
      </c>
      <c r="H69" s="411">
        <f>'Input data'!R113</f>
        <v>0</v>
      </c>
      <c r="I69" s="411">
        <f>'Input data'!S113</f>
        <v>0</v>
      </c>
      <c r="J69" s="411">
        <f>'Input data'!T113</f>
        <v>0.4459879758464787</v>
      </c>
      <c r="K69" s="1154">
        <f>'Input data'!U113</f>
        <v>1</v>
      </c>
      <c r="L69" s="648">
        <f>'Input data'!V113</f>
        <v>0.29028184578274857</v>
      </c>
      <c r="M69" s="411">
        <f>'Input data'!W113</f>
        <v>0.30317187715157518</v>
      </c>
      <c r="N69" s="411">
        <f>'Input data'!X113</f>
        <v>8.2805443243048754E-2</v>
      </c>
      <c r="O69" s="411">
        <f>'Input data'!Y113</f>
        <v>0</v>
      </c>
      <c r="P69" s="411">
        <f>'Input data'!Z113</f>
        <v>0</v>
      </c>
      <c r="Q69" s="411">
        <f>'Input data'!AA113</f>
        <v>0</v>
      </c>
      <c r="R69" s="411">
        <f>'Input data'!AB113</f>
        <v>0.32374083382262742</v>
      </c>
      <c r="S69" s="1237">
        <f t="shared" si="6"/>
        <v>0.99999999999999989</v>
      </c>
      <c r="T69" s="648">
        <f t="shared" si="38"/>
        <v>0.63235922405513523</v>
      </c>
      <c r="U69" s="411">
        <f t="shared" si="36"/>
        <v>0.26190663551682625</v>
      </c>
      <c r="V69" s="411">
        <f t="shared" si="37"/>
        <v>0.10573414042803844</v>
      </c>
      <c r="W69" s="411">
        <f t="shared" si="29"/>
        <v>0</v>
      </c>
      <c r="X69" s="1154">
        <f t="shared" si="8"/>
        <v>0.99999999999999989</v>
      </c>
      <c r="Y69" s="648">
        <f>'Input data'!$G$35</f>
        <v>0.66241124199764068</v>
      </c>
      <c r="Z69" s="1154">
        <f>'Input data'!$H$35</f>
        <v>0.33758875800235938</v>
      </c>
      <c r="AA69" s="1358">
        <f>'Input data'!J113</f>
        <v>28.161493315089835</v>
      </c>
      <c r="AB69" s="1238">
        <f>'Input data'!L113</f>
        <v>83398.363285732557</v>
      </c>
      <c r="AC69" s="411">
        <f t="shared" si="30"/>
        <v>0.7821504466492184</v>
      </c>
      <c r="AD69" s="411">
        <f t="shared" si="30"/>
        <v>8.8860692477895534E-2</v>
      </c>
      <c r="AE69" s="411">
        <f t="shared" si="30"/>
        <v>0</v>
      </c>
      <c r="AF69" s="411">
        <f t="shared" si="30"/>
        <v>0.12898886087288614</v>
      </c>
      <c r="AG69" s="411">
        <f t="shared" si="20"/>
        <v>1</v>
      </c>
      <c r="AH69" s="1356">
        <f t="shared" si="31"/>
        <v>0.78201761382701329</v>
      </c>
      <c r="AI69" s="1240">
        <f t="shared" si="31"/>
        <v>0.21798238617298668</v>
      </c>
      <c r="AJ69" s="1"/>
      <c r="AK69" s="990">
        <f t="shared" si="0"/>
        <v>2013</v>
      </c>
      <c r="AL69" s="766">
        <f t="shared" si="1"/>
        <v>16840.780594786906</v>
      </c>
      <c r="AM69" s="1238">
        <f t="shared" si="2"/>
        <v>4620.3253237331637</v>
      </c>
      <c r="AN69" s="1238">
        <f t="shared" si="3"/>
        <v>2354.6851090602163</v>
      </c>
      <c r="AO69" s="1238">
        <f t="shared" si="4"/>
        <v>2815.8764711428162</v>
      </c>
      <c r="AP69" s="1238">
        <f t="shared" si="5"/>
        <v>0</v>
      </c>
      <c r="AQ69" s="663">
        <f t="shared" si="10"/>
        <v>26631.667498723102</v>
      </c>
      <c r="AR69" s="1"/>
      <c r="AS69" s="1241">
        <f t="shared" si="11"/>
        <v>65230.067093749494</v>
      </c>
      <c r="AT69" s="1242">
        <f t="shared" si="12"/>
        <v>5795.4045300277985</v>
      </c>
      <c r="AU69" s="1242">
        <f t="shared" si="13"/>
        <v>1615.4317830654952</v>
      </c>
      <c r="AV69" s="1238">
        <f t="shared" si="14"/>
        <v>0</v>
      </c>
      <c r="AW69" s="1242">
        <f t="shared" si="15"/>
        <v>10757.459878889771</v>
      </c>
      <c r="AX69" s="744">
        <f t="shared" si="16"/>
        <v>83398.363285732557</v>
      </c>
      <c r="AY69" s="1"/>
      <c r="AZ69" s="1152">
        <f t="shared" si="22"/>
        <v>110.03003078445566</v>
      </c>
      <c r="BA69" s="411">
        <f t="shared" si="17"/>
        <v>0.25410501929868723</v>
      </c>
      <c r="BB69" s="1362">
        <f>'Input data'!D113/10^6</f>
        <v>0</v>
      </c>
    </row>
    <row r="70" spans="1:54">
      <c r="A70" s="990">
        <f>'Input data'!A114</f>
        <v>2014</v>
      </c>
      <c r="B70" s="1649">
        <f>'Input data'!I114</f>
        <v>482.18820868368039</v>
      </c>
      <c r="C70" s="663">
        <f>B70*'Input data'!B114</f>
        <v>25995.907038649788</v>
      </c>
      <c r="D70" s="648">
        <f>'Input data'!N114</f>
        <v>0.19892488097366726</v>
      </c>
      <c r="E70" s="411">
        <f>'Input data'!O114</f>
        <v>0.26585903447659598</v>
      </c>
      <c r="F70" s="411">
        <f>'Input data'!P114</f>
        <v>8.9228108703258049E-2</v>
      </c>
      <c r="G70" s="411">
        <f>'Input data'!Q114</f>
        <v>0</v>
      </c>
      <c r="H70" s="411">
        <f>'Input data'!R114</f>
        <v>0</v>
      </c>
      <c r="I70" s="411">
        <f>'Input data'!S114</f>
        <v>0</v>
      </c>
      <c r="J70" s="411">
        <f>'Input data'!T114</f>
        <v>0.4459879758464787</v>
      </c>
      <c r="K70" s="1154">
        <f>'Input data'!U114</f>
        <v>1</v>
      </c>
      <c r="L70" s="648">
        <f>'Input data'!V114</f>
        <v>0.29028184578274857</v>
      </c>
      <c r="M70" s="411">
        <f>'Input data'!W114</f>
        <v>0.30317187715157518</v>
      </c>
      <c r="N70" s="411">
        <f>'Input data'!X114</f>
        <v>8.2805443243048754E-2</v>
      </c>
      <c r="O70" s="411">
        <f>'Input data'!Y114</f>
        <v>0</v>
      </c>
      <c r="P70" s="411">
        <f>'Input data'!Z114</f>
        <v>0</v>
      </c>
      <c r="Q70" s="411">
        <f>'Input data'!AA114</f>
        <v>0</v>
      </c>
      <c r="R70" s="411">
        <f>'Input data'!AB114</f>
        <v>0.32374083382262742</v>
      </c>
      <c r="S70" s="1237">
        <f t="shared" si="6"/>
        <v>0.99999999999999989</v>
      </c>
      <c r="T70" s="648">
        <f t="shared" si="38"/>
        <v>0.59044903006891902</v>
      </c>
      <c r="U70" s="411">
        <f t="shared" si="36"/>
        <v>0.29988329439603278</v>
      </c>
      <c r="V70" s="411">
        <f t="shared" si="37"/>
        <v>0.10966767553504805</v>
      </c>
      <c r="W70" s="411">
        <f t="shared" si="29"/>
        <v>0</v>
      </c>
      <c r="X70" s="1154">
        <f t="shared" si="8"/>
        <v>0.99999999999999989</v>
      </c>
      <c r="Y70" s="648">
        <f>'Input data'!$G$35</f>
        <v>0.66241124199764068</v>
      </c>
      <c r="Z70" s="1154">
        <f>'Input data'!$H$35</f>
        <v>0.33758875800235938</v>
      </c>
      <c r="AA70" s="1358">
        <f>'Input data'!J114</f>
        <v>28.161493315089835</v>
      </c>
      <c r="AB70" s="1238">
        <f>'Input data'!L114</f>
        <v>84840.646722807578</v>
      </c>
      <c r="AC70" s="411">
        <f t="shared" si="30"/>
        <v>0.7821504466492184</v>
      </c>
      <c r="AD70" s="411">
        <f t="shared" si="30"/>
        <v>8.8860692477895534E-2</v>
      </c>
      <c r="AE70" s="411">
        <f t="shared" si="30"/>
        <v>0</v>
      </c>
      <c r="AF70" s="411">
        <f t="shared" si="30"/>
        <v>0.12898886087288614</v>
      </c>
      <c r="AG70" s="411">
        <f t="shared" si="20"/>
        <v>1</v>
      </c>
      <c r="AH70" s="1356">
        <f t="shared" si="31"/>
        <v>0.78201761382701329</v>
      </c>
      <c r="AI70" s="1240">
        <f t="shared" si="31"/>
        <v>0.21798238617298668</v>
      </c>
      <c r="AJ70" s="1"/>
      <c r="AK70" s="990">
        <f t="shared" ref="AK70:AK73" si="39">A70</f>
        <v>2014</v>
      </c>
      <c r="AL70" s="766">
        <f t="shared" ref="AL70:AL73" si="40">C70*T70</f>
        <v>15349.258096732552</v>
      </c>
      <c r="AM70" s="1238">
        <f t="shared" ref="AM70:AM73" si="41">C70*Y70*U70</f>
        <v>5163.9846522072812</v>
      </c>
      <c r="AN70" s="1238">
        <f t="shared" ref="AN70:AN73" si="42">C70*U70*Z70</f>
        <v>2631.7535913560341</v>
      </c>
      <c r="AO70" s="1238">
        <f t="shared" ref="AO70:AO73" si="43">C70*V70</f>
        <v>2850.9106983539168</v>
      </c>
      <c r="AP70" s="1238">
        <f t="shared" ref="AP70:AP73" si="44">C70*W70</f>
        <v>0</v>
      </c>
      <c r="AQ70" s="663">
        <f t="shared" si="10"/>
        <v>25995.907038649784</v>
      </c>
      <c r="AR70" s="1"/>
      <c r="AS70" s="1241">
        <f t="shared" si="11"/>
        <v>66358.149728252494</v>
      </c>
      <c r="AT70" s="1242">
        <f t="shared" si="12"/>
        <v>5895.6297099413541</v>
      </c>
      <c r="AU70" s="1242">
        <f t="shared" si="13"/>
        <v>1643.3689081198249</v>
      </c>
      <c r="AV70" s="1238">
        <f t="shared" si="14"/>
        <v>0</v>
      </c>
      <c r="AW70" s="1242">
        <f t="shared" si="15"/>
        <v>10943.49837649391</v>
      </c>
      <c r="AX70" s="744">
        <f t="shared" si="16"/>
        <v>84840.646722807578</v>
      </c>
      <c r="AY70" s="1"/>
      <c r="AZ70" s="1152">
        <f t="shared" si="22"/>
        <v>110.83655376145735</v>
      </c>
      <c r="BA70" s="411">
        <f t="shared" si="17"/>
        <v>0.26281172544541681</v>
      </c>
      <c r="BB70" s="1362">
        <f>'Input data'!D114/10^6</f>
        <v>0</v>
      </c>
    </row>
    <row r="71" spans="1:54">
      <c r="A71" s="990">
        <f>'Input data'!A115</f>
        <v>2015</v>
      </c>
      <c r="B71" s="1649">
        <f>'Input data'!I115</f>
        <v>462.87985042041646</v>
      </c>
      <c r="C71" s="663">
        <f>B71*'Input data'!B115</f>
        <v>25342.899296209085</v>
      </c>
      <c r="D71" s="648">
        <f>'Input data'!N115</f>
        <v>0.19892488097366726</v>
      </c>
      <c r="E71" s="411">
        <f>'Input data'!O115</f>
        <v>0.26585903447659598</v>
      </c>
      <c r="F71" s="411">
        <f>'Input data'!P115</f>
        <v>8.9228108703258049E-2</v>
      </c>
      <c r="G71" s="411">
        <f>'Input data'!Q115</f>
        <v>0</v>
      </c>
      <c r="H71" s="411">
        <f>'Input data'!R115</f>
        <v>0</v>
      </c>
      <c r="I71" s="411">
        <f>'Input data'!S115</f>
        <v>0</v>
      </c>
      <c r="J71" s="411">
        <f>'Input data'!T115</f>
        <v>0.4459879758464787</v>
      </c>
      <c r="K71" s="1154">
        <f>'Input data'!U115</f>
        <v>1</v>
      </c>
      <c r="L71" s="648">
        <f>'Input data'!V115</f>
        <v>0.29028184578274857</v>
      </c>
      <c r="M71" s="411">
        <f>'Input data'!W115</f>
        <v>0.30317187715157518</v>
      </c>
      <c r="N71" s="411">
        <f>'Input data'!X115</f>
        <v>8.2805443243048754E-2</v>
      </c>
      <c r="O71" s="411">
        <f>'Input data'!Y115</f>
        <v>0</v>
      </c>
      <c r="P71" s="411">
        <f>'Input data'!Z115</f>
        <v>0</v>
      </c>
      <c r="Q71" s="411">
        <f>'Input data'!AA115</f>
        <v>0</v>
      </c>
      <c r="R71" s="411">
        <f>'Input data'!AB115</f>
        <v>0.32374083382262742</v>
      </c>
      <c r="S71" s="1237">
        <f t="shared" ref="S71:S73" si="45">SUM(L71:R71)</f>
        <v>0.99999999999999989</v>
      </c>
      <c r="T71" s="648">
        <f t="shared" si="38"/>
        <v>0.54853883608270282</v>
      </c>
      <c r="U71" s="411">
        <f t="shared" si="36"/>
        <v>0.33785995327523932</v>
      </c>
      <c r="V71" s="411">
        <f t="shared" si="37"/>
        <v>0.11360121064205767</v>
      </c>
      <c r="W71" s="411">
        <f t="shared" si="29"/>
        <v>0</v>
      </c>
      <c r="X71" s="1154">
        <f t="shared" ref="X71:X72" si="46">SUM(T71:W71)</f>
        <v>0.99999999999999978</v>
      </c>
      <c r="Y71" s="648">
        <f>'Input data'!$G$35</f>
        <v>0.66241124199764068</v>
      </c>
      <c r="Z71" s="1154">
        <f>'Input data'!$H$35</f>
        <v>0.33758875800235938</v>
      </c>
      <c r="AA71" s="1358">
        <f>'Input data'!J115</f>
        <v>28.161493315089835</v>
      </c>
      <c r="AB71" s="1238">
        <f>'Input data'!L115</f>
        <v>85608.047606819033</v>
      </c>
      <c r="AC71" s="411">
        <f t="shared" si="30"/>
        <v>0.7821504466492184</v>
      </c>
      <c r="AD71" s="411">
        <f t="shared" si="30"/>
        <v>8.8860692477895534E-2</v>
      </c>
      <c r="AE71" s="411">
        <f t="shared" si="30"/>
        <v>0</v>
      </c>
      <c r="AF71" s="411">
        <f t="shared" si="30"/>
        <v>0.12898886087288614</v>
      </c>
      <c r="AG71" s="411">
        <f t="shared" si="20"/>
        <v>1</v>
      </c>
      <c r="AH71" s="1356">
        <f t="shared" si="31"/>
        <v>0.78201761382701329</v>
      </c>
      <c r="AI71" s="1240">
        <f t="shared" si="31"/>
        <v>0.21798238617298668</v>
      </c>
      <c r="AJ71" s="1"/>
      <c r="AK71" s="990">
        <f t="shared" si="39"/>
        <v>2015</v>
      </c>
      <c r="AL71" s="766">
        <f t="shared" si="40"/>
        <v>13901.564482903679</v>
      </c>
      <c r="AM71" s="1238">
        <f t="shared" si="41"/>
        <v>5671.7974093505181</v>
      </c>
      <c r="AN71" s="1238">
        <f t="shared" si="42"/>
        <v>2890.5533627257801</v>
      </c>
      <c r="AO71" s="1238">
        <f t="shared" si="43"/>
        <v>2878.9840412291032</v>
      </c>
      <c r="AP71" s="1238">
        <f t="shared" si="44"/>
        <v>0</v>
      </c>
      <c r="AQ71" s="663">
        <f t="shared" ref="AQ71:AQ73" si="47">SUM(AL71:AP71)</f>
        <v>25342.899296209078</v>
      </c>
      <c r="AR71" s="1"/>
      <c r="AS71" s="1241">
        <f t="shared" ref="AS71:AS73" si="48">AC71*AB71</f>
        <v>66958.372672441052</v>
      </c>
      <c r="AT71" s="1242">
        <f t="shared" ref="AT71:AT73" si="49">AB71*AD71*AH71</f>
        <v>5948.9568782972856</v>
      </c>
      <c r="AU71" s="1242">
        <f t="shared" ref="AU71:AU73" si="50">AI71*AD71*AB71</f>
        <v>1658.2335137253015</v>
      </c>
      <c r="AV71" s="1238">
        <f t="shared" ref="AV71:AV73" si="51">AE71*AB71</f>
        <v>0</v>
      </c>
      <c r="AW71" s="1242">
        <f t="shared" ref="AW71:AW73" si="52">AF71*AB71</f>
        <v>11042.484542355392</v>
      </c>
      <c r="AX71" s="744">
        <f t="shared" ref="AX71:AX73" si="53">SUM(AS71:AW71)</f>
        <v>85608.047606819018</v>
      </c>
      <c r="AY71" s="1"/>
      <c r="AZ71" s="1152">
        <f t="shared" si="22"/>
        <v>110.95094690302808</v>
      </c>
      <c r="BA71" s="411">
        <f t="shared" ref="BA71:BA73" si="54">(AX71+AQ71-AS71-AL71)/(AQ71+AX71)</f>
        <v>0.27121003098768603</v>
      </c>
      <c r="BB71" s="1362">
        <f>'Input data'!D115/10^6</f>
        <v>0</v>
      </c>
    </row>
    <row r="72" spans="1:54">
      <c r="A72" s="990">
        <f>'Input data'!A116</f>
        <v>2016</v>
      </c>
      <c r="B72" s="1649">
        <f>'Input data'!I116</f>
        <v>443.57149215715253</v>
      </c>
      <c r="C72" s="663">
        <f>B72*'Input data'!B116</f>
        <v>24671.419987892194</v>
      </c>
      <c r="D72" s="648">
        <f>'Input data'!N116</f>
        <v>0.19892488097366726</v>
      </c>
      <c r="E72" s="411">
        <f>'Input data'!O116</f>
        <v>0.26585903447659598</v>
      </c>
      <c r="F72" s="411">
        <f>'Input data'!P116</f>
        <v>8.9228108703258049E-2</v>
      </c>
      <c r="G72" s="411">
        <f>'Input data'!Q116</f>
        <v>0</v>
      </c>
      <c r="H72" s="411">
        <f>'Input data'!R116</f>
        <v>0</v>
      </c>
      <c r="I72" s="411">
        <f>'Input data'!S116</f>
        <v>0</v>
      </c>
      <c r="J72" s="411">
        <f>'Input data'!T116</f>
        <v>0.4459879758464787</v>
      </c>
      <c r="K72" s="1154">
        <f>'Input data'!U116</f>
        <v>1</v>
      </c>
      <c r="L72" s="648">
        <f>'Input data'!V116</f>
        <v>0.29028184578274857</v>
      </c>
      <c r="M72" s="411">
        <f>'Input data'!W116</f>
        <v>0.30317187715157518</v>
      </c>
      <c r="N72" s="411">
        <f>'Input data'!X116</f>
        <v>8.2805443243048754E-2</v>
      </c>
      <c r="O72" s="411">
        <f>'Input data'!Y116</f>
        <v>0</v>
      </c>
      <c r="P72" s="411">
        <f>'Input data'!Z116</f>
        <v>0</v>
      </c>
      <c r="Q72" s="411">
        <f>'Input data'!AA116</f>
        <v>0</v>
      </c>
      <c r="R72" s="411">
        <f>'Input data'!AB116</f>
        <v>0.32374083382262742</v>
      </c>
      <c r="S72" s="1237">
        <f t="shared" si="45"/>
        <v>0.99999999999999989</v>
      </c>
      <c r="T72" s="648">
        <f t="shared" si="38"/>
        <v>0.50662864209648661</v>
      </c>
      <c r="U72" s="411">
        <f t="shared" si="36"/>
        <v>0.37583661215444586</v>
      </c>
      <c r="V72" s="411">
        <f t="shared" si="37"/>
        <v>0.11753474574906728</v>
      </c>
      <c r="W72" s="411">
        <f t="shared" ref="W72" si="55">W71</f>
        <v>0</v>
      </c>
      <c r="X72" s="1154">
        <f t="shared" si="46"/>
        <v>0.99999999999999978</v>
      </c>
      <c r="Y72" s="648">
        <f>'Input data'!$G$35</f>
        <v>0.66241124199764068</v>
      </c>
      <c r="Z72" s="1154">
        <f>'Input data'!$H$35</f>
        <v>0.33758875800235938</v>
      </c>
      <c r="AA72" s="1358">
        <f>'Input data'!J116</f>
        <v>28.161493315089835</v>
      </c>
      <c r="AB72" s="1238">
        <f>'Input data'!L116</f>
        <v>86382.164656976936</v>
      </c>
      <c r="AC72" s="411">
        <f t="shared" ref="AC72:AF73" si="56">AC71</f>
        <v>0.7821504466492184</v>
      </c>
      <c r="AD72" s="411">
        <f t="shared" si="56"/>
        <v>8.8860692477895534E-2</v>
      </c>
      <c r="AE72" s="411">
        <f t="shared" si="56"/>
        <v>0</v>
      </c>
      <c r="AF72" s="411">
        <f t="shared" si="56"/>
        <v>0.12898886087288614</v>
      </c>
      <c r="AG72" s="411">
        <f t="shared" ref="AG72:AG73" si="57">SUM(AC72:AF72)</f>
        <v>1</v>
      </c>
      <c r="AH72" s="1356">
        <f t="shared" ref="AH72:AI73" si="58">AH71</f>
        <v>0.78201761382701329</v>
      </c>
      <c r="AI72" s="1240">
        <f t="shared" si="58"/>
        <v>0.21798238617298668</v>
      </c>
      <c r="AJ72" s="1"/>
      <c r="AK72" s="990">
        <f t="shared" si="39"/>
        <v>2016</v>
      </c>
      <c r="AL72" s="766">
        <f t="shared" si="40"/>
        <v>12499.24800705794</v>
      </c>
      <c r="AM72" s="1238">
        <f t="shared" si="41"/>
        <v>6142.1571730197802</v>
      </c>
      <c r="AN72" s="1238">
        <f t="shared" si="42"/>
        <v>3130.2657322691025</v>
      </c>
      <c r="AO72" s="1238">
        <f t="shared" si="43"/>
        <v>2899.7490755453655</v>
      </c>
      <c r="AP72" s="1238">
        <f t="shared" si="44"/>
        <v>0</v>
      </c>
      <c r="AQ72" s="663">
        <f t="shared" si="47"/>
        <v>24671.419987892186</v>
      </c>
      <c r="AR72" s="1"/>
      <c r="AS72" s="1241">
        <f t="shared" si="48"/>
        <v>67563.848668980834</v>
      </c>
      <c r="AT72" s="1242">
        <f t="shared" si="49"/>
        <v>6002.750757247717</v>
      </c>
      <c r="AU72" s="1242">
        <f t="shared" si="50"/>
        <v>1673.2282119108463</v>
      </c>
      <c r="AV72" s="1238">
        <f t="shared" si="51"/>
        <v>0</v>
      </c>
      <c r="AW72" s="1242">
        <f t="shared" si="52"/>
        <v>11142.337018837539</v>
      </c>
      <c r="AX72" s="744">
        <f t="shared" si="53"/>
        <v>86382.164656976936</v>
      </c>
      <c r="AY72" s="1"/>
      <c r="AZ72" s="1152">
        <f t="shared" ref="AZ72:AZ73" si="59">(AX72+AQ72)*1000/10^6</f>
        <v>111.05358464486912</v>
      </c>
      <c r="BA72" s="411">
        <f t="shared" si="54"/>
        <v>0.27905887115605288</v>
      </c>
      <c r="BB72" s="1362">
        <f>'Input data'!D116/10^6</f>
        <v>0</v>
      </c>
    </row>
    <row r="73" spans="1:54" s="1" customFormat="1" ht="16.5" thickBot="1">
      <c r="A73" s="1652">
        <f>'Input data'!A117</f>
        <v>2017</v>
      </c>
      <c r="B73" s="1653">
        <f>'Input data'!I117</f>
        <v>424.26313389388866</v>
      </c>
      <c r="C73" s="538">
        <f>B73*'Input data'!B117</f>
        <v>23980.178809937162</v>
      </c>
      <c r="D73" s="1246">
        <f>'Input data'!N117</f>
        <v>0.19892488097366726</v>
      </c>
      <c r="E73" s="536">
        <f>'Input data'!O117</f>
        <v>0.26585903447659598</v>
      </c>
      <c r="F73" s="536">
        <f>'Input data'!P117</f>
        <v>8.9228108703258049E-2</v>
      </c>
      <c r="G73" s="536">
        <f>'Input data'!Q117</f>
        <v>0</v>
      </c>
      <c r="H73" s="536">
        <f>'Input data'!R117</f>
        <v>0</v>
      </c>
      <c r="I73" s="536">
        <f>'Input data'!S117</f>
        <v>0</v>
      </c>
      <c r="J73" s="536">
        <f>'Input data'!T117</f>
        <v>0.4459879758464787</v>
      </c>
      <c r="K73" s="1247">
        <f>'Input data'!U117</f>
        <v>1</v>
      </c>
      <c r="L73" s="1246">
        <f>'Input data'!V117</f>
        <v>0.29028184578274857</v>
      </c>
      <c r="M73" s="536">
        <f>'Input data'!W117</f>
        <v>0.30317187715157518</v>
      </c>
      <c r="N73" s="536">
        <f>'Input data'!X117</f>
        <v>8.2805443243048754E-2</v>
      </c>
      <c r="O73" s="536">
        <f>'Input data'!Y117</f>
        <v>0</v>
      </c>
      <c r="P73" s="536">
        <f>'Input data'!Z117</f>
        <v>0</v>
      </c>
      <c r="Q73" s="536">
        <f>'Input data'!AA117</f>
        <v>0</v>
      </c>
      <c r="R73" s="536">
        <f>'Input data'!AB117</f>
        <v>0.32374083382262742</v>
      </c>
      <c r="S73" s="536">
        <f t="shared" si="45"/>
        <v>0.99999999999999989</v>
      </c>
      <c r="T73" s="1246">
        <f>'Input data'!B35</f>
        <v>0.46471844811027063</v>
      </c>
      <c r="U73" s="536">
        <f>'Input data'!C35</f>
        <v>0.41381327103365251</v>
      </c>
      <c r="V73" s="536">
        <f>'Input data'!D35</f>
        <v>0.12146828085607692</v>
      </c>
      <c r="W73" s="536">
        <f>'Input data'!E35</f>
        <v>0</v>
      </c>
      <c r="X73" s="1247">
        <f>SUM(T73:W73)</f>
        <v>1</v>
      </c>
      <c r="Y73" s="1246">
        <f>'Input data'!$G$35</f>
        <v>0.66241124199764068</v>
      </c>
      <c r="Z73" s="1247">
        <f>'Input data'!$H$35</f>
        <v>0.33758875800235938</v>
      </c>
      <c r="AA73" s="1359">
        <f>'Input data'!J117</f>
        <v>12.071167303296225</v>
      </c>
      <c r="AB73" s="535">
        <f>'Input data'!L117</f>
        <v>87501.974384615402</v>
      </c>
      <c r="AC73" s="536">
        <f t="shared" si="56"/>
        <v>0.7821504466492184</v>
      </c>
      <c r="AD73" s="536">
        <f t="shared" si="56"/>
        <v>8.8860692477895534E-2</v>
      </c>
      <c r="AE73" s="536">
        <f t="shared" si="56"/>
        <v>0</v>
      </c>
      <c r="AF73" s="536">
        <f t="shared" si="56"/>
        <v>0.12898886087288614</v>
      </c>
      <c r="AG73" s="536">
        <f t="shared" si="57"/>
        <v>1</v>
      </c>
      <c r="AH73" s="1248">
        <f t="shared" si="58"/>
        <v>0.78201761382701329</v>
      </c>
      <c r="AI73" s="1249">
        <f t="shared" si="58"/>
        <v>0.21798238617298668</v>
      </c>
      <c r="AJ73" s="413"/>
      <c r="AK73" s="1652">
        <f t="shared" si="39"/>
        <v>2017</v>
      </c>
      <c r="AL73" s="537">
        <f t="shared" si="40"/>
        <v>11144.031481960794</v>
      </c>
      <c r="AM73" s="535">
        <f t="shared" si="41"/>
        <v>6573.3162308435367</v>
      </c>
      <c r="AN73" s="535">
        <f t="shared" si="42"/>
        <v>3350.0000024684418</v>
      </c>
      <c r="AO73" s="535">
        <f t="shared" si="43"/>
        <v>2912.8310946643915</v>
      </c>
      <c r="AP73" s="535">
        <f t="shared" si="44"/>
        <v>0</v>
      </c>
      <c r="AQ73" s="538">
        <f t="shared" si="47"/>
        <v>23980.178809937162</v>
      </c>
      <c r="AR73" s="413"/>
      <c r="AS73" s="539">
        <f t="shared" si="48"/>
        <v>68439.708347615408</v>
      </c>
      <c r="AT73" s="540">
        <f t="shared" si="49"/>
        <v>6080.5670370000007</v>
      </c>
      <c r="AU73" s="540">
        <f t="shared" si="50"/>
        <v>1694.9190000000001</v>
      </c>
      <c r="AV73" s="535">
        <f t="shared" si="51"/>
        <v>0</v>
      </c>
      <c r="AW73" s="540">
        <f t="shared" si="52"/>
        <v>11286.780000000002</v>
      </c>
      <c r="AX73" s="541">
        <f t="shared" si="53"/>
        <v>87501.974384615402</v>
      </c>
      <c r="AZ73" s="1654">
        <f t="shared" si="59"/>
        <v>111.48215319455257</v>
      </c>
      <c r="BA73" s="536">
        <f t="shared" si="54"/>
        <v>0.28613022309776337</v>
      </c>
      <c r="BB73" s="1655">
        <f>'Input data'!D117/10^6</f>
        <v>49.995050999999997</v>
      </c>
    </row>
    <row r="74" spans="1:54">
      <c r="B74" s="1250"/>
      <c r="F74" s="1251"/>
      <c r="G74" s="1251"/>
      <c r="H74" s="1251"/>
      <c r="I74" s="1251"/>
      <c r="J74" s="419"/>
      <c r="K74" s="419"/>
      <c r="L74" s="623"/>
      <c r="N74" s="1251"/>
      <c r="O74" s="1251"/>
      <c r="P74" s="1251"/>
      <c r="Q74" s="1251"/>
      <c r="R74" s="419"/>
      <c r="S74" s="419"/>
      <c r="T74" s="419"/>
      <c r="U74" s="419"/>
      <c r="V74" s="419"/>
      <c r="W74" s="419"/>
      <c r="X74" s="419"/>
    </row>
    <row r="75" spans="1:54">
      <c r="B75" s="1250"/>
      <c r="F75" s="1251"/>
      <c r="G75" s="1251"/>
      <c r="H75" s="1251"/>
      <c r="I75" s="1251"/>
      <c r="J75" s="419"/>
      <c r="K75" s="419"/>
      <c r="N75" s="1251"/>
      <c r="O75" s="1251"/>
      <c r="P75" s="1251"/>
      <c r="Q75" s="1251"/>
      <c r="R75" s="419"/>
      <c r="S75" s="419"/>
      <c r="T75" s="419"/>
      <c r="U75" s="419"/>
      <c r="V75" s="419"/>
      <c r="W75" s="419"/>
      <c r="X75" s="419"/>
    </row>
    <row r="76" spans="1:54">
      <c r="B76" s="1250"/>
      <c r="F76" s="1251"/>
      <c r="G76" s="1251"/>
      <c r="H76" s="1251"/>
      <c r="I76" s="1251"/>
      <c r="J76" s="419"/>
      <c r="K76" s="419"/>
      <c r="N76" s="1251"/>
      <c r="O76" s="1251"/>
      <c r="P76" s="1251"/>
      <c r="Q76" s="1251"/>
      <c r="R76" s="419"/>
      <c r="S76" s="419"/>
      <c r="T76" s="419"/>
      <c r="U76" s="419"/>
      <c r="V76" s="419"/>
      <c r="W76" s="419"/>
      <c r="X76" s="419"/>
    </row>
    <row r="77" spans="1:54">
      <c r="B77" s="1250"/>
      <c r="F77" s="1251"/>
      <c r="G77" s="1251"/>
      <c r="H77" s="1251"/>
      <c r="I77" s="1251"/>
      <c r="J77" s="419"/>
      <c r="K77" s="419"/>
      <c r="N77" s="1251"/>
      <c r="O77" s="1251"/>
      <c r="P77" s="1251"/>
      <c r="Q77" s="1251"/>
      <c r="R77" s="419"/>
      <c r="S77" s="419"/>
      <c r="T77" s="419"/>
      <c r="U77" s="419"/>
      <c r="V77" s="419"/>
      <c r="W77" s="419"/>
      <c r="X77" s="419"/>
    </row>
    <row r="78" spans="1:54">
      <c r="B78" s="1250"/>
      <c r="F78" s="1251"/>
      <c r="G78" s="1251"/>
      <c r="H78" s="1251"/>
      <c r="I78" s="1251"/>
      <c r="J78" s="419"/>
      <c r="K78" s="419"/>
      <c r="N78" s="1251"/>
      <c r="O78" s="1251"/>
      <c r="P78" s="1251"/>
      <c r="Q78" s="1251"/>
      <c r="R78" s="419"/>
      <c r="S78" s="419"/>
      <c r="T78" s="419"/>
      <c r="U78" s="419"/>
      <c r="V78" s="419"/>
      <c r="W78" s="419"/>
      <c r="X78" s="419"/>
    </row>
    <row r="79" spans="1:54">
      <c r="B79" s="1250"/>
      <c r="F79" s="1251"/>
      <c r="G79" s="1251"/>
      <c r="H79" s="1251"/>
      <c r="I79" s="1251"/>
      <c r="J79" s="419"/>
      <c r="K79" s="419"/>
      <c r="N79" s="1251"/>
      <c r="O79" s="1251"/>
      <c r="P79" s="1251"/>
      <c r="Q79" s="1251"/>
      <c r="R79" s="419"/>
      <c r="S79" s="419"/>
      <c r="T79" s="419"/>
      <c r="U79" s="419"/>
      <c r="V79" s="419"/>
      <c r="W79" s="419"/>
      <c r="X79" s="419"/>
    </row>
    <row r="80" spans="1:54">
      <c r="B80" s="1250"/>
      <c r="F80" s="1251"/>
      <c r="G80" s="1251"/>
      <c r="H80" s="1251"/>
      <c r="I80" s="1251"/>
      <c r="J80" s="419"/>
      <c r="K80" s="419"/>
      <c r="N80" s="1251"/>
      <c r="O80" s="1251"/>
      <c r="P80" s="1251"/>
      <c r="Q80" s="1251"/>
      <c r="R80" s="419"/>
      <c r="S80" s="419"/>
      <c r="T80" s="419"/>
      <c r="U80" s="419"/>
      <c r="V80" s="419"/>
      <c r="W80" s="419"/>
      <c r="X80" s="419"/>
    </row>
    <row r="81" spans="2:35" s="1" customFormat="1">
      <c r="B81" s="1250"/>
      <c r="F81" s="1251"/>
      <c r="G81" s="1251"/>
      <c r="H81" s="1251"/>
      <c r="I81" s="1251"/>
      <c r="J81" s="419"/>
      <c r="K81" s="419"/>
      <c r="N81" s="1251"/>
      <c r="O81" s="1251"/>
      <c r="P81" s="1251"/>
      <c r="Q81" s="1251"/>
      <c r="R81" s="419"/>
      <c r="S81" s="419"/>
      <c r="T81" s="419"/>
      <c r="U81" s="419"/>
      <c r="V81" s="419"/>
      <c r="W81" s="419"/>
      <c r="X81" s="419"/>
      <c r="AH81" s="1239"/>
      <c r="AI81" s="1239"/>
    </row>
    <row r="82" spans="2:35">
      <c r="B82" s="1250"/>
      <c r="F82" s="1251"/>
      <c r="G82" s="1251"/>
      <c r="H82" s="1251"/>
      <c r="I82" s="1251"/>
      <c r="J82" s="419"/>
      <c r="K82" s="419"/>
      <c r="N82" s="1251"/>
      <c r="O82" s="1251"/>
      <c r="P82" s="1251"/>
      <c r="Q82" s="1251"/>
      <c r="R82" s="419"/>
      <c r="S82" s="419"/>
      <c r="T82" s="419"/>
      <c r="U82" s="419"/>
      <c r="V82" s="419"/>
      <c r="W82" s="419"/>
      <c r="X82" s="419"/>
    </row>
    <row r="83" spans="2:35">
      <c r="B83" s="1250"/>
      <c r="F83" s="1251"/>
      <c r="G83" s="1251"/>
      <c r="H83" s="1251"/>
      <c r="I83" s="1251"/>
      <c r="J83" s="419"/>
      <c r="K83" s="419"/>
      <c r="N83" s="1251"/>
      <c r="O83" s="1251"/>
      <c r="P83" s="1251"/>
      <c r="Q83" s="1251"/>
      <c r="R83" s="419"/>
      <c r="S83" s="419"/>
      <c r="T83" s="419"/>
      <c r="U83" s="419"/>
      <c r="V83" s="419"/>
      <c r="W83" s="419"/>
      <c r="X83" s="419"/>
    </row>
    <row r="84" spans="2:35">
      <c r="B84" s="1250"/>
      <c r="F84" s="1251"/>
      <c r="G84" s="1251"/>
      <c r="H84" s="1251"/>
      <c r="I84" s="1251"/>
      <c r="J84" s="419"/>
      <c r="K84" s="419"/>
      <c r="N84" s="1251"/>
      <c r="O84" s="1251"/>
      <c r="P84" s="1251"/>
      <c r="Q84" s="1251"/>
      <c r="R84" s="419"/>
      <c r="S84" s="419"/>
      <c r="T84" s="419"/>
      <c r="U84" s="419"/>
      <c r="V84" s="419"/>
      <c r="W84" s="419"/>
      <c r="X84" s="419"/>
    </row>
    <row r="85" spans="2:35">
      <c r="B85" s="1250"/>
      <c r="F85" s="1251"/>
      <c r="G85" s="1251"/>
      <c r="H85" s="1251"/>
      <c r="I85" s="1251"/>
      <c r="J85" s="419"/>
      <c r="K85" s="419"/>
      <c r="N85" s="1251"/>
      <c r="O85" s="1251"/>
      <c r="P85" s="1251"/>
      <c r="Q85" s="1251"/>
      <c r="R85" s="419"/>
      <c r="S85" s="419"/>
      <c r="T85" s="419"/>
      <c r="U85" s="419"/>
      <c r="V85" s="419"/>
      <c r="W85" s="419"/>
      <c r="X85" s="419"/>
    </row>
    <row r="86" spans="2:35">
      <c r="B86" s="1250"/>
      <c r="F86" s="1251"/>
      <c r="G86" s="1251"/>
      <c r="H86" s="1251"/>
      <c r="I86" s="1251"/>
      <c r="J86" s="419"/>
      <c r="K86" s="419"/>
      <c r="N86" s="1251"/>
      <c r="O86" s="1251"/>
      <c r="P86" s="1251"/>
      <c r="Q86" s="1251"/>
      <c r="R86" s="419"/>
      <c r="S86" s="419"/>
      <c r="T86" s="419"/>
      <c r="U86" s="419"/>
      <c r="V86" s="419"/>
      <c r="W86" s="419"/>
      <c r="X86" s="419"/>
    </row>
    <row r="87" spans="2:35">
      <c r="B87" s="1250"/>
      <c r="F87" s="1251"/>
      <c r="G87" s="1251"/>
      <c r="H87" s="1251"/>
      <c r="I87" s="1251"/>
      <c r="J87" s="419"/>
      <c r="K87" s="419"/>
      <c r="N87" s="1251"/>
      <c r="O87" s="1251"/>
      <c r="P87" s="1251"/>
      <c r="Q87" s="1251"/>
      <c r="R87" s="419"/>
      <c r="S87" s="419"/>
      <c r="T87" s="419"/>
      <c r="U87" s="419"/>
      <c r="V87" s="419"/>
      <c r="W87" s="419"/>
      <c r="X87" s="419"/>
    </row>
    <row r="88" spans="2:35">
      <c r="B88" s="1250"/>
      <c r="F88" s="1251"/>
      <c r="G88" s="1251"/>
      <c r="H88" s="1251"/>
      <c r="I88" s="1251"/>
      <c r="J88" s="419"/>
      <c r="K88" s="419"/>
      <c r="N88" s="1251"/>
      <c r="O88" s="1251"/>
      <c r="P88" s="1251"/>
      <c r="Q88" s="1251"/>
      <c r="R88" s="419"/>
      <c r="S88" s="419"/>
      <c r="T88" s="419"/>
      <c r="U88" s="419"/>
      <c r="V88" s="419"/>
      <c r="W88" s="419"/>
      <c r="X88" s="419"/>
    </row>
    <row r="89" spans="2:35">
      <c r="B89" s="1250"/>
      <c r="F89" s="1251"/>
      <c r="G89" s="1251"/>
      <c r="H89" s="1251"/>
      <c r="I89" s="1251"/>
      <c r="J89" s="419"/>
      <c r="K89" s="419"/>
      <c r="N89" s="1251"/>
      <c r="O89" s="1251"/>
      <c r="P89" s="1251"/>
      <c r="Q89" s="1251"/>
      <c r="R89" s="419"/>
      <c r="S89" s="419"/>
      <c r="T89" s="419"/>
      <c r="U89" s="419"/>
      <c r="V89" s="419"/>
      <c r="W89" s="419"/>
      <c r="X89" s="419"/>
    </row>
    <row r="90" spans="2:35">
      <c r="B90" s="1250"/>
      <c r="F90" s="1251"/>
      <c r="G90" s="1251"/>
      <c r="H90" s="1251"/>
      <c r="I90" s="1251"/>
      <c r="J90" s="419"/>
      <c r="K90" s="419"/>
      <c r="N90" s="1251"/>
      <c r="O90" s="1251"/>
      <c r="P90" s="1251"/>
      <c r="Q90" s="1251"/>
      <c r="R90" s="419"/>
      <c r="S90" s="419"/>
      <c r="T90" s="419"/>
      <c r="U90" s="419"/>
      <c r="V90" s="419"/>
      <c r="W90" s="419"/>
      <c r="X90" s="419"/>
    </row>
    <row r="91" spans="2:35">
      <c r="B91" s="1250"/>
      <c r="F91" s="1251"/>
      <c r="G91" s="1251"/>
      <c r="H91" s="1251"/>
      <c r="I91" s="1251"/>
      <c r="J91" s="419"/>
      <c r="K91" s="419"/>
      <c r="N91" s="1251"/>
      <c r="O91" s="1251"/>
      <c r="P91" s="1251"/>
      <c r="Q91" s="1251"/>
      <c r="R91" s="419"/>
      <c r="S91" s="419"/>
      <c r="T91" s="419"/>
      <c r="U91" s="419"/>
      <c r="V91" s="419"/>
      <c r="W91" s="419"/>
      <c r="X91" s="419"/>
    </row>
    <row r="92" spans="2:35">
      <c r="B92" s="1250"/>
      <c r="F92" s="1251"/>
      <c r="G92" s="1251"/>
      <c r="H92" s="1251"/>
      <c r="I92" s="1251"/>
      <c r="J92" s="419"/>
      <c r="K92" s="419"/>
      <c r="N92" s="1251"/>
      <c r="O92" s="1251"/>
      <c r="P92" s="1251"/>
      <c r="Q92" s="1251"/>
      <c r="R92" s="419"/>
      <c r="S92" s="419"/>
      <c r="T92" s="419"/>
      <c r="U92" s="419"/>
      <c r="V92" s="419"/>
      <c r="W92" s="419"/>
      <c r="X92" s="419"/>
    </row>
    <row r="93" spans="2:35">
      <c r="B93" s="1250"/>
      <c r="F93" s="1251"/>
      <c r="G93" s="1251"/>
      <c r="H93" s="1251"/>
      <c r="I93" s="1251"/>
      <c r="J93" s="419"/>
      <c r="K93" s="419"/>
      <c r="N93" s="1251"/>
      <c r="O93" s="1251"/>
      <c r="P93" s="1251"/>
      <c r="Q93" s="1251"/>
      <c r="R93" s="419"/>
      <c r="S93" s="419"/>
      <c r="T93" s="419"/>
      <c r="U93" s="419"/>
      <c r="V93" s="419"/>
      <c r="W93" s="419"/>
      <c r="X93" s="419"/>
    </row>
    <row r="94" spans="2:35">
      <c r="B94" s="1250"/>
      <c r="F94" s="1251"/>
      <c r="G94" s="1251"/>
      <c r="H94" s="1251"/>
      <c r="I94" s="1251"/>
      <c r="J94" s="419"/>
      <c r="K94" s="419"/>
      <c r="N94" s="1251"/>
      <c r="O94" s="1251"/>
      <c r="P94" s="1251"/>
      <c r="Q94" s="1251"/>
      <c r="R94" s="419"/>
      <c r="S94" s="419"/>
      <c r="T94" s="419"/>
      <c r="U94" s="419"/>
      <c r="V94" s="419"/>
      <c r="W94" s="419"/>
      <c r="X94" s="419"/>
    </row>
    <row r="95" spans="2:35">
      <c r="B95" s="1250"/>
      <c r="F95" s="1251"/>
      <c r="G95" s="1251"/>
      <c r="H95" s="1251"/>
      <c r="I95" s="1251"/>
      <c r="J95" s="419"/>
      <c r="K95" s="419"/>
      <c r="N95" s="1251"/>
      <c r="O95" s="1251"/>
      <c r="P95" s="1251"/>
      <c r="Q95" s="1251"/>
      <c r="R95" s="419"/>
      <c r="S95" s="419"/>
      <c r="T95" s="419"/>
      <c r="U95" s="419"/>
      <c r="V95" s="419"/>
      <c r="W95" s="419"/>
      <c r="X95" s="419"/>
    </row>
    <row r="96" spans="2:35">
      <c r="B96" s="1250"/>
      <c r="F96" s="1251"/>
      <c r="G96" s="1251"/>
      <c r="H96" s="1251"/>
      <c r="I96" s="1251"/>
      <c r="J96" s="419"/>
      <c r="K96" s="419"/>
      <c r="N96" s="1251"/>
      <c r="O96" s="1251"/>
      <c r="P96" s="1251"/>
      <c r="Q96" s="1251"/>
      <c r="R96" s="419"/>
      <c r="S96" s="419"/>
      <c r="T96" s="419"/>
      <c r="U96" s="419"/>
      <c r="V96" s="419"/>
      <c r="W96" s="419"/>
      <c r="X96" s="419"/>
    </row>
    <row r="97" spans="2:24">
      <c r="B97" s="1250"/>
      <c r="F97" s="1251"/>
      <c r="G97" s="1251"/>
      <c r="H97" s="1251"/>
      <c r="I97" s="1251"/>
      <c r="J97" s="419"/>
      <c r="K97" s="419"/>
      <c r="N97" s="1251"/>
      <c r="O97" s="1251"/>
      <c r="P97" s="1251"/>
      <c r="Q97" s="1251"/>
      <c r="R97" s="419"/>
      <c r="S97" s="419"/>
      <c r="T97" s="419"/>
      <c r="U97" s="419"/>
      <c r="V97" s="419"/>
      <c r="W97" s="419"/>
      <c r="X97" s="419"/>
    </row>
    <row r="98" spans="2:24">
      <c r="B98" s="1250"/>
      <c r="F98" s="1251"/>
      <c r="G98" s="1251"/>
      <c r="H98" s="1251"/>
      <c r="I98" s="1251"/>
      <c r="J98" s="419"/>
      <c r="K98" s="419"/>
      <c r="N98" s="1251"/>
      <c r="O98" s="1251"/>
      <c r="P98" s="1251"/>
      <c r="Q98" s="1251"/>
      <c r="R98" s="419"/>
      <c r="S98" s="419"/>
      <c r="T98" s="419"/>
      <c r="U98" s="419"/>
      <c r="V98" s="419"/>
      <c r="W98" s="419"/>
      <c r="X98" s="419"/>
    </row>
    <row r="99" spans="2:24">
      <c r="B99" s="1250"/>
      <c r="F99" s="1251"/>
      <c r="G99" s="1251"/>
      <c r="H99" s="1251"/>
      <c r="I99" s="1251"/>
      <c r="J99" s="419"/>
      <c r="K99" s="419"/>
      <c r="N99" s="1251"/>
      <c r="O99" s="1251"/>
      <c r="P99" s="1251"/>
      <c r="Q99" s="1251"/>
      <c r="R99" s="419"/>
      <c r="S99" s="419"/>
      <c r="T99" s="419"/>
      <c r="U99" s="419"/>
      <c r="V99" s="419"/>
      <c r="W99" s="419"/>
      <c r="X99" s="419"/>
    </row>
    <row r="100" spans="2:24">
      <c r="B100" s="1250"/>
      <c r="F100" s="1251"/>
      <c r="G100" s="1251"/>
      <c r="H100" s="1251"/>
      <c r="I100" s="1251"/>
      <c r="J100" s="419"/>
      <c r="K100" s="419"/>
      <c r="N100" s="1251"/>
      <c r="O100" s="1251"/>
      <c r="P100" s="1251"/>
      <c r="Q100" s="1251"/>
      <c r="R100" s="419"/>
      <c r="S100" s="419"/>
      <c r="T100" s="419"/>
      <c r="U100" s="419"/>
      <c r="V100" s="419"/>
      <c r="W100" s="419"/>
      <c r="X100" s="419"/>
    </row>
    <row r="101" spans="2:24">
      <c r="B101" s="1250"/>
      <c r="F101" s="1251"/>
      <c r="G101" s="1251"/>
      <c r="H101" s="1251"/>
      <c r="I101" s="1251"/>
      <c r="J101" s="419"/>
      <c r="K101" s="419"/>
      <c r="N101" s="1251"/>
      <c r="O101" s="1251"/>
      <c r="P101" s="1251"/>
      <c r="Q101" s="1251"/>
      <c r="R101" s="419"/>
      <c r="S101" s="419"/>
      <c r="T101" s="419"/>
      <c r="U101" s="419"/>
      <c r="V101" s="419"/>
      <c r="W101" s="419"/>
      <c r="X101" s="419"/>
    </row>
    <row r="102" spans="2:24">
      <c r="B102" s="1250"/>
      <c r="F102" s="1251"/>
      <c r="G102" s="1251"/>
      <c r="H102" s="1251"/>
      <c r="I102" s="1251"/>
      <c r="J102" s="419"/>
      <c r="K102" s="419"/>
      <c r="N102" s="1251"/>
      <c r="O102" s="1251"/>
      <c r="P102" s="1251"/>
      <c r="Q102" s="1251"/>
      <c r="R102" s="419"/>
      <c r="S102" s="419"/>
      <c r="T102" s="419"/>
      <c r="U102" s="419"/>
      <c r="V102" s="419"/>
      <c r="W102" s="419"/>
      <c r="X102" s="419"/>
    </row>
    <row r="103" spans="2:24">
      <c r="B103" s="1250"/>
      <c r="F103" s="1251"/>
      <c r="G103" s="1251"/>
      <c r="H103" s="1251"/>
      <c r="I103" s="1251"/>
      <c r="J103" s="419"/>
      <c r="K103" s="419"/>
      <c r="N103" s="1251"/>
      <c r="O103" s="1251"/>
      <c r="P103" s="1251"/>
      <c r="Q103" s="1251"/>
      <c r="R103" s="419"/>
      <c r="S103" s="419"/>
      <c r="T103" s="419"/>
      <c r="U103" s="419"/>
      <c r="V103" s="419"/>
      <c r="W103" s="419"/>
      <c r="X103" s="419"/>
    </row>
    <row r="104" spans="2:24">
      <c r="B104" s="1250"/>
      <c r="F104" s="1251"/>
      <c r="G104" s="1251"/>
      <c r="H104" s="1251"/>
      <c r="I104" s="1251"/>
      <c r="J104" s="419"/>
      <c r="K104" s="419"/>
      <c r="N104" s="1251"/>
      <c r="O104" s="1251"/>
      <c r="P104" s="1251"/>
      <c r="Q104" s="1251"/>
      <c r="R104" s="419"/>
      <c r="S104" s="419"/>
      <c r="T104" s="419"/>
      <c r="U104" s="419"/>
      <c r="V104" s="419"/>
      <c r="W104" s="419"/>
      <c r="X104" s="419"/>
    </row>
    <row r="105" spans="2:24">
      <c r="B105" s="1250"/>
      <c r="F105" s="1251"/>
      <c r="G105" s="1251"/>
      <c r="H105" s="1251"/>
      <c r="I105" s="1251"/>
      <c r="J105" s="419"/>
      <c r="K105" s="419"/>
      <c r="N105" s="1251"/>
      <c r="O105" s="1251"/>
      <c r="P105" s="1251"/>
      <c r="Q105" s="1251"/>
      <c r="R105" s="419"/>
      <c r="S105" s="419"/>
      <c r="T105" s="419"/>
      <c r="U105" s="419"/>
      <c r="V105" s="419"/>
      <c r="W105" s="419"/>
      <c r="X105" s="419"/>
    </row>
    <row r="106" spans="2:24">
      <c r="B106" s="1250"/>
      <c r="F106" s="1251"/>
      <c r="G106" s="1251"/>
      <c r="H106" s="1251"/>
      <c r="I106" s="1251"/>
      <c r="J106" s="419"/>
      <c r="K106" s="419"/>
      <c r="N106" s="1251"/>
      <c r="O106" s="1251"/>
      <c r="P106" s="1251"/>
      <c r="Q106" s="1251"/>
      <c r="R106" s="419"/>
      <c r="S106" s="419"/>
      <c r="T106" s="419"/>
      <c r="U106" s="419"/>
      <c r="V106" s="419"/>
      <c r="W106" s="419"/>
      <c r="X106" s="419"/>
    </row>
    <row r="107" spans="2:24">
      <c r="E107" s="1228"/>
      <c r="J107" s="419"/>
      <c r="K107" s="419"/>
      <c r="M107" s="1228"/>
      <c r="R107" s="419"/>
      <c r="S107" s="419"/>
      <c r="T107" s="419"/>
      <c r="U107" s="419"/>
      <c r="V107" s="419"/>
      <c r="W107" s="419"/>
      <c r="X107" s="419"/>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V172" zoomScale="52" zoomScaleNormal="29" workbookViewId="0">
      <selection activeCell="AB188" sqref="AB188"/>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1.42578125" customWidth="1"/>
    <col min="14" max="14" width="25.85546875" customWidth="1"/>
    <col min="15" max="15" width="26.140625" customWidth="1"/>
    <col min="16" max="16" width="20.42578125" customWidth="1"/>
    <col min="17" max="17" width="20.7109375" customWidth="1"/>
    <col min="18" max="18" width="19.28515625" customWidth="1"/>
    <col min="19" max="19" width="23.140625" customWidth="1"/>
    <col min="20" max="20" width="17.7109375" customWidth="1"/>
    <col min="21" max="21" width="21.42578125" customWidth="1"/>
    <col min="22" max="22" width="20" customWidth="1"/>
    <col min="23" max="23" width="22.7109375" customWidth="1"/>
    <col min="24" max="24" width="24"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4" width="22.7109375" customWidth="1"/>
    <col min="35" max="37" width="29.140625" customWidth="1"/>
    <col min="38" max="38" width="17.71093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25.855468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4.85546875" customWidth="1"/>
    <col min="63" max="63" width="14.28515625" customWidth="1"/>
    <col min="64" max="64" width="13.140625" customWidth="1"/>
    <col min="65" max="65" width="11.7109375" customWidth="1"/>
    <col min="66" max="66" width="9.28515625" customWidth="1"/>
    <col min="67" max="67" width="12" customWidth="1"/>
    <col min="68" max="68" width="15.28515625" customWidth="1"/>
    <col min="72" max="72" width="15.140625" customWidth="1"/>
    <col min="73" max="73" width="17.28515625" customWidth="1"/>
    <col min="74" max="74" width="16.7109375" customWidth="1"/>
    <col min="75" max="75" width="12.85546875" customWidth="1"/>
    <col min="76" max="76" width="16.85546875" customWidth="1"/>
    <col min="77" max="77" width="17.28515625" customWidth="1"/>
    <col min="78" max="78" width="12.85546875" customWidth="1"/>
    <col min="79" max="79" width="12.5703125" customWidth="1"/>
    <col min="80" max="83" width="15" customWidth="1"/>
    <col min="85" max="85" width="16.5703125" customWidth="1"/>
    <col min="86" max="86" width="17.28515625" customWidth="1"/>
    <col min="87" max="87" width="11.7109375" customWidth="1"/>
    <col min="88" max="88" width="13" customWidth="1"/>
    <col min="89" max="89" width="13.140625" customWidth="1"/>
    <col min="90" max="90" width="10.5703125" customWidth="1"/>
    <col min="91" max="91" width="12.28515625" customWidth="1"/>
  </cols>
  <sheetData>
    <row r="1" spans="1:11">
      <c r="A1" s="2" t="s">
        <v>542</v>
      </c>
      <c r="J1" s="99"/>
      <c r="K1" s="99"/>
    </row>
    <row r="2" spans="1:11" ht="15.75" thickBot="1">
      <c r="A2" s="2" t="s">
        <v>543</v>
      </c>
      <c r="B2" s="413" t="s">
        <v>555</v>
      </c>
      <c r="J2" s="99"/>
      <c r="K2" s="99"/>
    </row>
    <row r="3" spans="1:11" ht="15.75" thickBot="1">
      <c r="A3" s="2"/>
      <c r="C3" s="580" t="s">
        <v>551</v>
      </c>
      <c r="D3" s="581" t="s">
        <v>558</v>
      </c>
      <c r="E3" s="580" t="s">
        <v>552</v>
      </c>
      <c r="F3" s="581" t="s">
        <v>558</v>
      </c>
      <c r="G3" s="580" t="s">
        <v>553</v>
      </c>
      <c r="H3" s="581" t="s">
        <v>558</v>
      </c>
      <c r="J3" s="99"/>
      <c r="K3" s="99"/>
    </row>
    <row r="4" spans="1:11">
      <c r="A4" s="1817" t="s">
        <v>556</v>
      </c>
      <c r="B4" s="1803" t="s">
        <v>557</v>
      </c>
      <c r="C4" s="579">
        <v>0.5</v>
      </c>
      <c r="D4" s="116">
        <v>2030</v>
      </c>
      <c r="E4" s="579">
        <f>C4</f>
        <v>0.5</v>
      </c>
      <c r="F4" s="116">
        <f>2017+5</f>
        <v>2022</v>
      </c>
      <c r="G4" s="579">
        <f>E4</f>
        <v>0.5</v>
      </c>
      <c r="H4" s="116">
        <f>F4</f>
        <v>2022</v>
      </c>
      <c r="J4" s="99"/>
      <c r="K4" s="99"/>
    </row>
    <row r="5" spans="1:11">
      <c r="A5" s="1818"/>
      <c r="B5" s="1804"/>
      <c r="C5" s="575">
        <v>0.65</v>
      </c>
      <c r="D5" s="130">
        <v>2040</v>
      </c>
      <c r="E5" s="575">
        <f t="shared" ref="E5:E6" si="0">C5</f>
        <v>0.65</v>
      </c>
      <c r="F5" s="130">
        <f>2017+10</f>
        <v>2027</v>
      </c>
      <c r="G5" s="575">
        <f t="shared" ref="G5:G6" si="1">E5</f>
        <v>0.65</v>
      </c>
      <c r="H5" s="130">
        <f t="shared" ref="H5:H6" si="2">F5</f>
        <v>2027</v>
      </c>
      <c r="J5" s="99"/>
      <c r="K5" s="99"/>
    </row>
    <row r="6" spans="1:11" ht="15.75" thickBot="1">
      <c r="A6" s="1819"/>
      <c r="B6" s="1805"/>
      <c r="C6" s="577">
        <v>0.8</v>
      </c>
      <c r="D6" s="140">
        <v>2050</v>
      </c>
      <c r="E6" s="577">
        <f t="shared" si="0"/>
        <v>0.8</v>
      </c>
      <c r="F6" s="140">
        <f>15+2017</f>
        <v>2032</v>
      </c>
      <c r="G6" s="577">
        <f t="shared" si="1"/>
        <v>0.8</v>
      </c>
      <c r="H6" s="140">
        <f t="shared" si="2"/>
        <v>2032</v>
      </c>
      <c r="J6" s="99"/>
      <c r="K6" s="99"/>
    </row>
    <row r="7" spans="1:11" ht="15.75" thickBot="1">
      <c r="A7" s="591"/>
      <c r="B7" s="591"/>
      <c r="C7" s="576"/>
      <c r="D7" s="104"/>
      <c r="E7" s="576"/>
      <c r="F7" s="104"/>
      <c r="G7" s="576"/>
      <c r="H7" s="104"/>
      <c r="J7" s="99"/>
      <c r="K7" s="99"/>
    </row>
    <row r="8" spans="1:11" ht="15.6" customHeight="1">
      <c r="A8" s="1861" t="s">
        <v>574</v>
      </c>
      <c r="B8" s="1718" t="s">
        <v>485</v>
      </c>
      <c r="C8" s="1719"/>
      <c r="D8" s="1719"/>
      <c r="E8" s="1719"/>
      <c r="F8" s="1720"/>
      <c r="G8" s="1718" t="s">
        <v>532</v>
      </c>
      <c r="H8" s="1719"/>
      <c r="I8" s="1720"/>
      <c r="J8" s="327"/>
      <c r="K8" s="99"/>
    </row>
    <row r="9" spans="1:11" ht="32.25" thickBot="1">
      <c r="A9" s="1862"/>
      <c r="B9" s="452" t="s">
        <v>473</v>
      </c>
      <c r="C9" s="287" t="s">
        <v>490</v>
      </c>
      <c r="D9" s="287" t="s">
        <v>377</v>
      </c>
      <c r="E9" s="287" t="s">
        <v>477</v>
      </c>
      <c r="F9" s="453" t="s">
        <v>303</v>
      </c>
      <c r="G9" s="452" t="s">
        <v>493</v>
      </c>
      <c r="H9" s="287" t="s">
        <v>494</v>
      </c>
      <c r="I9" s="453" t="s">
        <v>303</v>
      </c>
      <c r="J9" s="327"/>
      <c r="K9" s="99"/>
    </row>
    <row r="10" spans="1:11" ht="15.75">
      <c r="A10" s="437" t="s">
        <v>573</v>
      </c>
      <c r="B10" s="441">
        <f>'Input data'!B35</f>
        <v>0.46471844811027063</v>
      </c>
      <c r="C10" s="441">
        <f>'Input data'!C35</f>
        <v>0.41381327103365251</v>
      </c>
      <c r="D10" s="441">
        <f>'Input data'!D35</f>
        <v>0.12146828085607692</v>
      </c>
      <c r="E10" s="441">
        <f>'Input data'!E35</f>
        <v>0</v>
      </c>
      <c r="F10" s="441">
        <f>'Input data'!F35</f>
        <v>1</v>
      </c>
      <c r="G10" s="440">
        <f>'Input data'!G35</f>
        <v>0.66241124199764068</v>
      </c>
      <c r="H10" s="440">
        <f>'Input data'!H35</f>
        <v>0.33758875800235938</v>
      </c>
      <c r="I10" s="625">
        <f>'Input data'!I35</f>
        <v>1</v>
      </c>
      <c r="J10" s="158"/>
      <c r="K10" s="99"/>
    </row>
    <row r="11" spans="1:11" ht="15.75">
      <c r="A11" s="438" t="s">
        <v>578</v>
      </c>
      <c r="B11" s="441">
        <f>'Input data'!B36</f>
        <v>0.7821504466492184</v>
      </c>
      <c r="C11" s="441">
        <f>'Input data'!C36</f>
        <v>8.8860692477895534E-2</v>
      </c>
      <c r="D11" s="441">
        <f>'Input data'!D36</f>
        <v>0</v>
      </c>
      <c r="E11" s="441">
        <f>'Input data'!E36</f>
        <v>0.12898886087288614</v>
      </c>
      <c r="F11" s="441">
        <f>'Input data'!F36</f>
        <v>1</v>
      </c>
      <c r="G11" s="441">
        <f>'Input data'!G36</f>
        <v>0.78201761382701329</v>
      </c>
      <c r="H11" s="441">
        <f>'Input data'!H36</f>
        <v>0.21798238617298668</v>
      </c>
      <c r="I11" s="441">
        <f>'Input data'!I36</f>
        <v>1</v>
      </c>
      <c r="J11" s="674"/>
      <c r="K11" s="99"/>
    </row>
    <row r="12" spans="1:11" ht="15.75">
      <c r="A12" s="655" t="s">
        <v>579</v>
      </c>
      <c r="B12" s="441">
        <f>'Input data'!B37</f>
        <v>0.57380711973947707</v>
      </c>
      <c r="C12" s="441">
        <f>'Input data'!C37</f>
        <v>0.12526763815896438</v>
      </c>
      <c r="D12" s="441">
        <f>'Input data'!D37</f>
        <v>0</v>
      </c>
      <c r="E12" s="441">
        <f>'Input data'!E37</f>
        <v>0.30092524210155869</v>
      </c>
      <c r="F12" s="441">
        <f>'Input data'!F37</f>
        <v>1</v>
      </c>
      <c r="G12" s="441">
        <f>'Input data'!G37</f>
        <v>0.63925641437009872</v>
      </c>
      <c r="H12" s="441">
        <f>'Input data'!H37</f>
        <v>0.36074358562990122</v>
      </c>
      <c r="I12" s="441">
        <f>'Input data'!I37</f>
        <v>1</v>
      </c>
      <c r="J12" s="99"/>
      <c r="K12" s="99"/>
    </row>
    <row r="13" spans="1:11" ht="16.5" thickBot="1">
      <c r="A13" s="439" t="s">
        <v>499</v>
      </c>
      <c r="B13" s="626">
        <f>'Input data'!B38</f>
        <v>0.8</v>
      </c>
      <c r="C13" s="626">
        <f>'Input data'!C38</f>
        <v>0.11</v>
      </c>
      <c r="D13" s="626">
        <f>'Input data'!D38</f>
        <v>0.09</v>
      </c>
      <c r="E13" s="626">
        <f>'Input data'!E38</f>
        <v>0</v>
      </c>
      <c r="F13" s="626">
        <f>'Input data'!F38</f>
        <v>1</v>
      </c>
      <c r="G13" s="627">
        <f>'Input data'!G38</f>
        <v>1</v>
      </c>
      <c r="H13" s="627">
        <f>'Input data'!H38</f>
        <v>0</v>
      </c>
      <c r="I13" s="628">
        <f>'Input data'!I38</f>
        <v>1</v>
      </c>
      <c r="J13" s="99"/>
      <c r="K13" s="99">
        <v>0.57999999999999996</v>
      </c>
    </row>
    <row r="14" spans="1:11" ht="15.75">
      <c r="A14" s="470"/>
      <c r="C14" s="624"/>
      <c r="E14" s="624"/>
      <c r="F14" s="624"/>
      <c r="G14" s="436"/>
      <c r="J14" s="99"/>
      <c r="K14" s="99">
        <v>0.21707953063885269</v>
      </c>
    </row>
    <row r="15" spans="1:11" ht="15.6" customHeight="1" thickBot="1">
      <c r="B15" s="413" t="s">
        <v>554</v>
      </c>
      <c r="J15" s="99"/>
      <c r="K15" s="99">
        <v>0.71200000000000008</v>
      </c>
    </row>
    <row r="16" spans="1:11" ht="15.75" thickBot="1">
      <c r="A16" s="632"/>
      <c r="B16" s="631" t="s">
        <v>558</v>
      </c>
      <c r="C16" s="589" t="s">
        <v>87</v>
      </c>
      <c r="D16" s="589" t="s">
        <v>323</v>
      </c>
      <c r="E16" s="589" t="s">
        <v>324</v>
      </c>
      <c r="F16" s="589" t="s">
        <v>325</v>
      </c>
      <c r="G16" s="665" t="s">
        <v>582</v>
      </c>
      <c r="H16" s="666" t="s">
        <v>326</v>
      </c>
      <c r="K16">
        <v>0.8</v>
      </c>
    </row>
    <row r="17" spans="1:11">
      <c r="A17" s="633" t="s">
        <v>575</v>
      </c>
      <c r="B17" s="632">
        <v>2017</v>
      </c>
      <c r="C17" s="114">
        <f>E63/E65</f>
        <v>0.57999999999999996</v>
      </c>
      <c r="D17" s="114">
        <f>J63/J65</f>
        <v>0.437</v>
      </c>
      <c r="E17" s="114">
        <f t="shared" ref="E17:G17" si="3">K63/K65</f>
        <v>0.71200000000000008</v>
      </c>
      <c r="F17" s="114">
        <f t="shared" si="3"/>
        <v>0.8</v>
      </c>
      <c r="G17" s="114">
        <f t="shared" si="3"/>
        <v>0.23600000000000002</v>
      </c>
      <c r="H17" s="585">
        <f>H80</f>
        <v>6.154773859516615E-2</v>
      </c>
      <c r="K17">
        <v>0.23600000000000002</v>
      </c>
    </row>
    <row r="18" spans="1:11">
      <c r="A18" s="634" t="s">
        <v>551</v>
      </c>
      <c r="B18" s="542">
        <v>2030</v>
      </c>
      <c r="C18" s="417">
        <f>C17</f>
        <v>0.57999999999999996</v>
      </c>
      <c r="D18" s="417">
        <f t="shared" ref="D18:F18" si="4">D17</f>
        <v>0.437</v>
      </c>
      <c r="E18" s="417">
        <f t="shared" si="4"/>
        <v>0.71200000000000008</v>
      </c>
      <c r="F18" s="417">
        <f t="shared" si="4"/>
        <v>0.8</v>
      </c>
      <c r="G18" s="417">
        <f>G17</f>
        <v>0.23600000000000002</v>
      </c>
      <c r="H18" s="525">
        <v>0.2</v>
      </c>
    </row>
    <row r="19" spans="1:11">
      <c r="A19" s="633" t="s">
        <v>552</v>
      </c>
      <c r="B19" s="542">
        <v>2030</v>
      </c>
      <c r="C19" s="576">
        <v>0.7</v>
      </c>
      <c r="D19" s="576">
        <v>0.6</v>
      </c>
      <c r="E19" s="576">
        <v>0.9</v>
      </c>
      <c r="F19" s="576">
        <v>0.9</v>
      </c>
      <c r="G19" s="417">
        <f>G18</f>
        <v>0.23600000000000002</v>
      </c>
      <c r="H19" s="586">
        <v>0.4</v>
      </c>
    </row>
    <row r="20" spans="1:11" ht="15.75" thickBot="1">
      <c r="A20" s="635" t="s">
        <v>553</v>
      </c>
      <c r="B20" s="543">
        <v>2030</v>
      </c>
      <c r="C20" s="578">
        <f>C19</f>
        <v>0.7</v>
      </c>
      <c r="D20" s="578">
        <f>D19</f>
        <v>0.6</v>
      </c>
      <c r="E20" s="578">
        <f>E19</f>
        <v>0.9</v>
      </c>
      <c r="F20" s="578">
        <f>F19</f>
        <v>0.9</v>
      </c>
      <c r="G20" s="651">
        <f>G19</f>
        <v>0.23600000000000002</v>
      </c>
      <c r="H20" s="587">
        <f>H19</f>
        <v>0.4</v>
      </c>
    </row>
    <row r="21" spans="1:11">
      <c r="A21" s="582"/>
      <c r="B21" s="104"/>
      <c r="C21" s="576"/>
      <c r="D21" s="576"/>
      <c r="E21" s="576"/>
      <c r="F21" s="104"/>
      <c r="G21" s="104"/>
      <c r="J21" s="417"/>
    </row>
    <row r="22" spans="1:11">
      <c r="A22" s="582"/>
      <c r="B22" s="104"/>
      <c r="C22" s="576"/>
      <c r="D22" s="576"/>
      <c r="E22" s="576"/>
      <c r="F22" s="104"/>
      <c r="G22" s="104"/>
    </row>
    <row r="23" spans="1:11">
      <c r="A23" s="583"/>
      <c r="B23" s="58"/>
      <c r="C23" s="58"/>
      <c r="D23" s="58"/>
      <c r="E23" s="576"/>
    </row>
    <row r="24" spans="1:11" ht="15.75" thickBot="1">
      <c r="A24" s="583"/>
      <c r="B24" s="413" t="s">
        <v>559</v>
      </c>
      <c r="C24" s="58"/>
      <c r="D24" s="58"/>
      <c r="E24" s="576"/>
    </row>
    <row r="25" spans="1:11" ht="15.75" thickBot="1">
      <c r="A25" s="584"/>
      <c r="B25" s="588"/>
      <c r="C25" s="592" t="s">
        <v>551</v>
      </c>
      <c r="D25" s="593" t="s">
        <v>558</v>
      </c>
      <c r="E25" s="590" t="s">
        <v>552</v>
      </c>
      <c r="F25" s="581" t="s">
        <v>558</v>
      </c>
      <c r="G25" s="595" t="s">
        <v>553</v>
      </c>
      <c r="H25" s="581" t="s">
        <v>558</v>
      </c>
    </row>
    <row r="26" spans="1:11">
      <c r="A26" s="1818" t="s">
        <v>560</v>
      </c>
      <c r="B26" s="1804" t="s">
        <v>557</v>
      </c>
      <c r="C26" s="575">
        <v>0.25</v>
      </c>
      <c r="D26" s="104">
        <f>2017+5</f>
        <v>2022</v>
      </c>
      <c r="E26" s="1831">
        <v>0.5</v>
      </c>
      <c r="F26" s="1833">
        <f>2017+5</f>
        <v>2022</v>
      </c>
      <c r="G26" s="1859">
        <f>E26</f>
        <v>0.5</v>
      </c>
      <c r="H26" s="1833">
        <f>F26</f>
        <v>2022</v>
      </c>
    </row>
    <row r="27" spans="1:11" ht="15.75" thickBot="1">
      <c r="A27" s="1819"/>
      <c r="B27" s="1805"/>
      <c r="C27" s="577">
        <v>0.5</v>
      </c>
      <c r="D27" s="163">
        <f>2017+10</f>
        <v>2027</v>
      </c>
      <c r="E27" s="1832"/>
      <c r="F27" s="1834"/>
      <c r="G27" s="1860"/>
      <c r="H27" s="1834"/>
    </row>
    <row r="28" spans="1:11" ht="15.75" thickBot="1">
      <c r="A28" s="591"/>
      <c r="B28" s="591"/>
      <c r="C28" s="576"/>
      <c r="D28" s="104"/>
      <c r="E28" s="576"/>
      <c r="F28" s="104"/>
      <c r="G28" s="576"/>
      <c r="H28" s="104"/>
    </row>
    <row r="29" spans="1:11">
      <c r="A29" s="594"/>
      <c r="B29" s="600"/>
      <c r="C29" s="1828" t="s">
        <v>551</v>
      </c>
      <c r="D29" s="1829"/>
      <c r="E29" s="1828" t="s">
        <v>552</v>
      </c>
      <c r="F29" s="1829"/>
      <c r="G29" s="1830" t="s">
        <v>553</v>
      </c>
      <c r="H29" s="1829"/>
    </row>
    <row r="30" spans="1:11" ht="15.75" thickBot="1">
      <c r="A30" s="596"/>
      <c r="B30" s="601"/>
      <c r="C30" s="597" t="s">
        <v>562</v>
      </c>
      <c r="D30" s="598" t="s">
        <v>176</v>
      </c>
      <c r="E30" s="597" t="s">
        <v>562</v>
      </c>
      <c r="F30" s="598" t="s">
        <v>176</v>
      </c>
      <c r="G30" s="599" t="s">
        <v>562</v>
      </c>
      <c r="H30" s="598" t="s">
        <v>176</v>
      </c>
    </row>
    <row r="31" spans="1:11" ht="15.75" thickBot="1">
      <c r="A31" s="602" t="s">
        <v>561</v>
      </c>
      <c r="B31" s="603" t="s">
        <v>557</v>
      </c>
      <c r="C31" s="577">
        <v>0.1</v>
      </c>
      <c r="D31" s="587">
        <v>0.9</v>
      </c>
      <c r="E31" s="577">
        <v>0.1</v>
      </c>
      <c r="F31" s="587">
        <v>0.9</v>
      </c>
      <c r="G31" s="578">
        <v>0.5</v>
      </c>
      <c r="H31" s="587">
        <v>0.5</v>
      </c>
    </row>
    <row r="32" spans="1:11">
      <c r="A32" s="583"/>
      <c r="B32" s="58"/>
      <c r="C32" s="58"/>
      <c r="D32" s="58"/>
      <c r="E32" s="576"/>
    </row>
    <row r="33" spans="1:24" ht="15.75" thickBot="1">
      <c r="A33" s="583"/>
      <c r="B33" s="413" t="s">
        <v>563</v>
      </c>
      <c r="C33" s="58"/>
      <c r="D33" s="58"/>
      <c r="E33" s="576"/>
    </row>
    <row r="34" spans="1:24" ht="28.9" customHeight="1" thickBot="1">
      <c r="A34" s="611"/>
      <c r="B34" s="954" t="s">
        <v>558</v>
      </c>
      <c r="C34" s="730" t="s">
        <v>269</v>
      </c>
      <c r="D34" s="731" t="s">
        <v>270</v>
      </c>
      <c r="E34" s="731" t="s">
        <v>271</v>
      </c>
      <c r="F34" s="731" t="s">
        <v>272</v>
      </c>
      <c r="G34" s="732" t="s">
        <v>614</v>
      </c>
    </row>
    <row r="35" spans="1:24">
      <c r="A35" s="612" t="s">
        <v>564</v>
      </c>
      <c r="B35" s="989">
        <v>2017</v>
      </c>
      <c r="C35" s="733">
        <f>Parameters!C188</f>
        <v>0</v>
      </c>
      <c r="D35" s="734">
        <f>Parameters!D188</f>
        <v>0</v>
      </c>
      <c r="E35" s="734">
        <f>Parameters!E188</f>
        <v>0.4</v>
      </c>
      <c r="F35" s="734">
        <f>Parameters!F188</f>
        <v>0.3</v>
      </c>
      <c r="G35" s="735">
        <f>Parameters!G188</f>
        <v>0.3</v>
      </c>
    </row>
    <row r="36" spans="1:24">
      <c r="A36" s="1868" t="s">
        <v>551</v>
      </c>
      <c r="B36" s="990">
        <v>2030</v>
      </c>
      <c r="C36" s="608">
        <f>C35</f>
        <v>0</v>
      </c>
      <c r="D36" s="604">
        <f>D35</f>
        <v>0</v>
      </c>
      <c r="E36" s="604">
        <f>1-F36-G36</f>
        <v>0.7</v>
      </c>
      <c r="F36" s="604">
        <f>F35/2</f>
        <v>0.15</v>
      </c>
      <c r="G36" s="605">
        <f>G35/2</f>
        <v>0.15</v>
      </c>
      <c r="H36" t="s">
        <v>565</v>
      </c>
    </row>
    <row r="37" spans="1:24">
      <c r="A37" s="1868"/>
      <c r="B37" s="990">
        <v>2050</v>
      </c>
      <c r="C37" s="608">
        <f>C38</f>
        <v>0</v>
      </c>
      <c r="D37" s="604">
        <f t="shared" ref="D37:G37" si="5">D38</f>
        <v>0</v>
      </c>
      <c r="E37" s="604">
        <f t="shared" si="5"/>
        <v>1</v>
      </c>
      <c r="F37" s="604">
        <f t="shared" si="5"/>
        <v>0</v>
      </c>
      <c r="G37" s="605">
        <f t="shared" si="5"/>
        <v>0</v>
      </c>
    </row>
    <row r="38" spans="1:24">
      <c r="A38" s="1008" t="s">
        <v>552</v>
      </c>
      <c r="B38" s="990">
        <v>2030</v>
      </c>
      <c r="C38" s="608">
        <f>C36</f>
        <v>0</v>
      </c>
      <c r="D38" s="604">
        <f>D36</f>
        <v>0</v>
      </c>
      <c r="E38" s="604">
        <v>1</v>
      </c>
      <c r="F38" s="604">
        <v>0</v>
      </c>
      <c r="G38" s="605">
        <v>0</v>
      </c>
      <c r="H38" t="s">
        <v>566</v>
      </c>
    </row>
    <row r="39" spans="1:24" ht="15.75" thickBot="1">
      <c r="A39" s="1009" t="s">
        <v>553</v>
      </c>
      <c r="B39" s="991">
        <v>2030</v>
      </c>
      <c r="C39" s="609">
        <f>C37</f>
        <v>0</v>
      </c>
      <c r="D39" s="606">
        <f>D37</f>
        <v>0</v>
      </c>
      <c r="E39" s="606">
        <v>1</v>
      </c>
      <c r="F39" s="606">
        <v>0</v>
      </c>
      <c r="G39" s="607">
        <v>0</v>
      </c>
    </row>
    <row r="40" spans="1:24">
      <c r="A40" s="2"/>
    </row>
    <row r="41" spans="1:24" ht="15.75" thickBot="1">
      <c r="A41" s="2"/>
      <c r="B41" s="413" t="s">
        <v>567</v>
      </c>
    </row>
    <row r="42" spans="1:24" ht="15.75" thickBot="1">
      <c r="A42" s="2"/>
      <c r="C42" s="1820" t="s">
        <v>6</v>
      </c>
      <c r="D42" s="1821"/>
      <c r="E42" s="1821"/>
      <c r="F42" s="1821"/>
      <c r="G42" s="1821"/>
      <c r="H42" s="1821"/>
      <c r="I42" s="1822"/>
      <c r="J42" s="1886" t="s">
        <v>298</v>
      </c>
      <c r="K42" s="1821"/>
      <c r="L42" s="1821"/>
      <c r="M42" s="1821"/>
      <c r="N42" s="1821"/>
      <c r="O42" s="1821"/>
      <c r="P42" s="1822"/>
      <c r="Q42" s="1865" t="s">
        <v>299</v>
      </c>
      <c r="R42" s="1865"/>
      <c r="S42" s="1865"/>
      <c r="T42" s="1865"/>
      <c r="U42" s="1865"/>
      <c r="V42" s="1865"/>
      <c r="W42" s="1866"/>
      <c r="X42" s="765"/>
    </row>
    <row r="43" spans="1:24" ht="30.75" thickBot="1">
      <c r="A43" s="611"/>
      <c r="B43" s="1084" t="s">
        <v>558</v>
      </c>
      <c r="C43" s="617" t="s">
        <v>17</v>
      </c>
      <c r="D43" s="618" t="s">
        <v>23</v>
      </c>
      <c r="E43" s="618" t="s">
        <v>19</v>
      </c>
      <c r="F43" s="618" t="s">
        <v>304</v>
      </c>
      <c r="G43" s="618" t="s">
        <v>9</v>
      </c>
      <c r="H43" s="618" t="s">
        <v>10</v>
      </c>
      <c r="I43" s="619" t="s">
        <v>225</v>
      </c>
      <c r="J43" s="621" t="s">
        <v>17</v>
      </c>
      <c r="K43" s="618" t="s">
        <v>23</v>
      </c>
      <c r="L43" s="618" t="s">
        <v>19</v>
      </c>
      <c r="M43" s="618" t="s">
        <v>304</v>
      </c>
      <c r="N43" s="618" t="s">
        <v>9</v>
      </c>
      <c r="O43" s="618" t="s">
        <v>10</v>
      </c>
      <c r="P43" s="619" t="s">
        <v>225</v>
      </c>
      <c r="Q43" s="966" t="s">
        <v>17</v>
      </c>
      <c r="R43" s="967" t="s">
        <v>23</v>
      </c>
      <c r="S43" s="967" t="s">
        <v>19</v>
      </c>
      <c r="T43" s="967" t="s">
        <v>304</v>
      </c>
      <c r="U43" s="967" t="s">
        <v>9</v>
      </c>
      <c r="V43" s="967" t="s">
        <v>10</v>
      </c>
      <c r="W43" s="968" t="s">
        <v>225</v>
      </c>
    </row>
    <row r="44" spans="1:24">
      <c r="A44" s="963" t="s">
        <v>568</v>
      </c>
      <c r="B44" s="989">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5">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5">
        <f>SUM(J44:O44)</f>
        <v>1</v>
      </c>
      <c r="Q44" s="671">
        <f>'4D Wastewater treatment and dis'!T107</f>
        <v>0.34</v>
      </c>
      <c r="R44" s="671">
        <f>'4D Wastewater treatment and dis'!U107</f>
        <v>0</v>
      </c>
      <c r="S44" s="671">
        <f>'4D Wastewater treatment and dis'!V107</f>
        <v>0.17</v>
      </c>
      <c r="T44" s="671">
        <f>'4D Wastewater treatment and dis'!W107</f>
        <v>0.24</v>
      </c>
      <c r="U44" s="671">
        <f>'4D Wastewater treatment and dis'!X107</f>
        <v>0.05</v>
      </c>
      <c r="V44" s="671">
        <f>'4D Wastewater treatment and dis'!Y107</f>
        <v>0.2</v>
      </c>
      <c r="W44" s="807">
        <f>SUM(Q44:V44)</f>
        <v>1</v>
      </c>
    </row>
    <row r="45" spans="1:24">
      <c r="A45" s="964" t="s">
        <v>551</v>
      </c>
      <c r="B45" s="990">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5">
        <f>SUM(C45:H45)</f>
        <v>1</v>
      </c>
      <c r="J45" s="118">
        <f>J44</f>
        <v>0</v>
      </c>
      <c r="K45" s="118">
        <f t="shared" ref="K45:O47" si="6">K44</f>
        <v>0.7</v>
      </c>
      <c r="L45" s="118">
        <f t="shared" si="6"/>
        <v>0.15</v>
      </c>
      <c r="M45" s="118">
        <f t="shared" si="6"/>
        <v>0.15</v>
      </c>
      <c r="N45" s="118">
        <f t="shared" si="6"/>
        <v>0</v>
      </c>
      <c r="O45" s="118">
        <f t="shared" si="6"/>
        <v>0</v>
      </c>
      <c r="P45" s="205">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5">
        <f>SUM(Q45:V45)</f>
        <v>1</v>
      </c>
    </row>
    <row r="46" spans="1:24">
      <c r="A46" s="964" t="s">
        <v>622</v>
      </c>
      <c r="B46" s="990">
        <v>2030</v>
      </c>
      <c r="C46" s="117">
        <f>C45</f>
        <v>0.19230769230769232</v>
      </c>
      <c r="D46" s="118">
        <f t="shared" ref="D46:H47" si="7">D45</f>
        <v>0</v>
      </c>
      <c r="E46" s="118">
        <f t="shared" si="7"/>
        <v>0.19230769230769232</v>
      </c>
      <c r="F46" s="118">
        <f t="shared" si="7"/>
        <v>0.53846153846153855</v>
      </c>
      <c r="G46" s="118">
        <f t="shared" si="7"/>
        <v>7.6923076923076927E-2</v>
      </c>
      <c r="H46" s="118">
        <f t="shared" si="7"/>
        <v>0</v>
      </c>
      <c r="I46" s="205">
        <f>SUM(C46:H46)</f>
        <v>1</v>
      </c>
      <c r="J46" s="118">
        <f>J45</f>
        <v>0</v>
      </c>
      <c r="K46" s="118">
        <f t="shared" si="6"/>
        <v>0.7</v>
      </c>
      <c r="L46" s="118">
        <f t="shared" si="6"/>
        <v>0.15</v>
      </c>
      <c r="M46" s="118">
        <f t="shared" si="6"/>
        <v>0.15</v>
      </c>
      <c r="N46" s="118">
        <f t="shared" si="6"/>
        <v>0</v>
      </c>
      <c r="O46" s="118">
        <f t="shared" si="6"/>
        <v>0</v>
      </c>
      <c r="P46" s="205">
        <f>SUM(J46:O46)</f>
        <v>1</v>
      </c>
      <c r="Q46" s="118">
        <f>Q45</f>
        <v>0.42500000000000004</v>
      </c>
      <c r="R46" s="118">
        <f t="shared" ref="R46:U47" si="8">R45</f>
        <v>0</v>
      </c>
      <c r="S46" s="118">
        <f t="shared" si="8"/>
        <v>0.21250000000000002</v>
      </c>
      <c r="T46" s="118">
        <f t="shared" si="8"/>
        <v>0.3</v>
      </c>
      <c r="U46" s="118">
        <f t="shared" si="8"/>
        <v>6.25E-2</v>
      </c>
      <c r="V46" s="104">
        <v>0</v>
      </c>
      <c r="W46" s="205">
        <f>SUM(Q46:V46)</f>
        <v>1</v>
      </c>
    </row>
    <row r="47" spans="1:24" ht="15.75" thickBot="1">
      <c r="A47" s="965" t="s">
        <v>553</v>
      </c>
      <c r="B47" s="991">
        <v>2030</v>
      </c>
      <c r="C47" s="120">
        <f>C46</f>
        <v>0.19230769230769232</v>
      </c>
      <c r="D47" s="121">
        <f t="shared" si="7"/>
        <v>0</v>
      </c>
      <c r="E47" s="121">
        <f t="shared" si="7"/>
        <v>0.19230769230769232</v>
      </c>
      <c r="F47" s="121">
        <f t="shared" si="7"/>
        <v>0.53846153846153855</v>
      </c>
      <c r="G47" s="121">
        <f t="shared" si="7"/>
        <v>7.6923076923076927E-2</v>
      </c>
      <c r="H47" s="121">
        <f t="shared" si="7"/>
        <v>0</v>
      </c>
      <c r="I47" s="206">
        <f>SUM(C47:H47)</f>
        <v>1</v>
      </c>
      <c r="J47" s="121">
        <f>J46</f>
        <v>0</v>
      </c>
      <c r="K47" s="121">
        <f t="shared" si="6"/>
        <v>0.7</v>
      </c>
      <c r="L47" s="121">
        <f t="shared" si="6"/>
        <v>0.15</v>
      </c>
      <c r="M47" s="121">
        <f t="shared" si="6"/>
        <v>0.15</v>
      </c>
      <c r="N47" s="121">
        <f t="shared" si="6"/>
        <v>0</v>
      </c>
      <c r="O47" s="121">
        <f t="shared" si="6"/>
        <v>0</v>
      </c>
      <c r="P47" s="206">
        <f>SUM(J47:O47)</f>
        <v>1</v>
      </c>
      <c r="Q47" s="121">
        <f>Q46</f>
        <v>0.42500000000000004</v>
      </c>
      <c r="R47" s="121">
        <f t="shared" si="8"/>
        <v>0</v>
      </c>
      <c r="S47" s="121">
        <f t="shared" si="8"/>
        <v>0.21250000000000002</v>
      </c>
      <c r="T47" s="121">
        <f t="shared" si="8"/>
        <v>0.3</v>
      </c>
      <c r="U47" s="121">
        <f t="shared" si="8"/>
        <v>6.25E-2</v>
      </c>
      <c r="V47" s="163">
        <v>0</v>
      </c>
      <c r="W47" s="206">
        <f>SUM(Q47:V47)</f>
        <v>1</v>
      </c>
      <c r="X47" s="118"/>
    </row>
    <row r="48" spans="1:24" ht="15.75" thickBot="1">
      <c r="A48" s="340"/>
      <c r="B48" s="340"/>
      <c r="C48" s="118"/>
      <c r="D48" s="118"/>
      <c r="E48" s="118"/>
      <c r="F48" s="118"/>
      <c r="G48" s="118"/>
      <c r="H48" s="118"/>
      <c r="I48" s="118"/>
      <c r="J48" s="118"/>
      <c r="K48" s="118"/>
      <c r="L48" s="118"/>
      <c r="M48" s="118"/>
      <c r="N48" s="118"/>
      <c r="O48" s="118"/>
      <c r="P48" s="118"/>
      <c r="Q48" s="118"/>
      <c r="R48" s="118"/>
      <c r="S48" s="118"/>
      <c r="T48" s="118"/>
      <c r="U48" s="118"/>
      <c r="V48" s="104"/>
      <c r="W48" s="118"/>
      <c r="X48" s="118"/>
    </row>
    <row r="49" spans="1:45" ht="63" customHeight="1" thickBot="1">
      <c r="A49" s="637"/>
      <c r="B49" s="610" t="s">
        <v>558</v>
      </c>
      <c r="C49" s="645" t="s">
        <v>506</v>
      </c>
      <c r="D49" s="641" t="s">
        <v>505</v>
      </c>
      <c r="J49" s="118"/>
      <c r="K49" s="118"/>
      <c r="L49" s="118"/>
      <c r="M49" s="118"/>
      <c r="N49" s="118"/>
      <c r="O49" s="118"/>
      <c r="P49" s="118"/>
      <c r="Q49" s="118"/>
      <c r="R49" s="118"/>
      <c r="S49" s="118"/>
      <c r="T49" s="118"/>
      <c r="U49" s="118"/>
      <c r="V49" s="118"/>
      <c r="W49" s="104"/>
      <c r="X49" s="118"/>
    </row>
    <row r="50" spans="1:45" ht="15.75">
      <c r="A50" s="634" t="s">
        <v>572</v>
      </c>
      <c r="B50" s="638">
        <v>2017</v>
      </c>
      <c r="C50" s="642">
        <f>'Input data'!C43</f>
        <v>0.71479999999999999</v>
      </c>
      <c r="D50" s="642">
        <f>'Input data'!C42</f>
        <v>0.28959999999999997</v>
      </c>
      <c r="J50" s="118"/>
      <c r="K50" s="118"/>
      <c r="L50" s="118"/>
      <c r="M50" s="118"/>
      <c r="N50" s="118"/>
      <c r="O50" s="118"/>
      <c r="P50" s="118"/>
      <c r="Q50" s="118"/>
      <c r="R50" s="118"/>
      <c r="S50" s="118"/>
      <c r="T50" s="118"/>
      <c r="U50" s="118"/>
      <c r="V50" s="118"/>
      <c r="W50" s="104"/>
      <c r="X50" s="118"/>
    </row>
    <row r="51" spans="1:45">
      <c r="A51" s="633" t="s">
        <v>551</v>
      </c>
      <c r="B51" s="639">
        <v>2050</v>
      </c>
      <c r="C51" s="643">
        <v>1</v>
      </c>
      <c r="D51" s="643">
        <f>(C45+D45)*Parameters!$D$12+Parameters!$D$13*('Recycling - Case 1'!K45+J45)+('Recycling - Case 1'!Q45+'Recycling - Case 1'!R45)*Parameters!$D$14</f>
        <v>0.36725000000000002</v>
      </c>
      <c r="J51" s="118"/>
      <c r="K51" s="118"/>
      <c r="L51" s="118"/>
      <c r="M51" s="118"/>
      <c r="N51" s="118"/>
      <c r="O51" s="118"/>
      <c r="P51" s="118"/>
      <c r="Q51" s="118"/>
      <c r="R51" s="118"/>
      <c r="S51" s="118"/>
      <c r="T51" s="118"/>
      <c r="U51" s="118"/>
      <c r="V51" s="118"/>
      <c r="W51" s="104"/>
      <c r="X51" s="118"/>
    </row>
    <row r="52" spans="1:45" ht="15.75" thickBot="1">
      <c r="A52" s="635" t="s">
        <v>552</v>
      </c>
      <c r="B52" s="640">
        <v>2030</v>
      </c>
      <c r="C52" s="644">
        <v>1</v>
      </c>
      <c r="D52" s="644">
        <f>(C46+D46)*Parameters!$D$12+Parameters!$D$13*('Recycling - Case 1'!K46+J46)+('Recycling - Case 1'!Q46+'Recycling - Case 1'!R46)*Parameters!$D$14</f>
        <v>0.36725000000000002</v>
      </c>
      <c r="J52" s="118"/>
      <c r="K52" s="118"/>
      <c r="L52" s="118"/>
      <c r="M52" s="118"/>
      <c r="N52" s="118"/>
      <c r="O52" s="118"/>
      <c r="P52" s="118"/>
      <c r="Q52" s="118"/>
      <c r="R52" s="118"/>
      <c r="S52" s="118"/>
      <c r="T52" s="118"/>
      <c r="U52" s="118"/>
      <c r="V52" s="118"/>
      <c r="W52" s="104"/>
      <c r="X52" s="118"/>
    </row>
    <row r="53" spans="1:45">
      <c r="A53" s="636"/>
      <c r="B53" s="104"/>
      <c r="C53" s="118"/>
      <c r="D53" s="118"/>
      <c r="E53" s="118"/>
      <c r="F53" s="118"/>
      <c r="G53" s="118"/>
      <c r="H53" s="118"/>
      <c r="I53" s="118"/>
      <c r="Q53" s="104"/>
      <c r="R53" s="104"/>
      <c r="S53" s="104"/>
      <c r="T53" s="104"/>
      <c r="U53" s="104"/>
      <c r="V53" s="104"/>
      <c r="W53" s="104"/>
      <c r="X53" s="104"/>
    </row>
    <row r="54" spans="1:45">
      <c r="A54" s="2"/>
      <c r="Q54" s="104"/>
      <c r="R54" s="104"/>
      <c r="S54" s="104"/>
      <c r="T54" s="104"/>
      <c r="U54" s="104"/>
      <c r="V54" s="104"/>
      <c r="W54" s="104"/>
      <c r="X54" s="104"/>
    </row>
    <row r="55" spans="1:45">
      <c r="A55" s="2"/>
      <c r="Q55" s="104"/>
      <c r="R55" s="104"/>
      <c r="S55" s="104"/>
      <c r="T55" s="104"/>
      <c r="U55" s="104"/>
      <c r="V55" s="104"/>
      <c r="W55" s="104"/>
      <c r="X55" s="104"/>
    </row>
    <row r="56" spans="1:45" ht="15.75">
      <c r="A56" s="337" t="s">
        <v>550</v>
      </c>
      <c r="B56" s="396"/>
      <c r="C56" s="396"/>
      <c r="D56" s="396"/>
      <c r="E56" s="396"/>
      <c r="F56" s="396"/>
      <c r="G56" s="396"/>
      <c r="H56" s="396"/>
      <c r="I56" s="1305"/>
      <c r="J56" s="3"/>
      <c r="K56" s="3"/>
      <c r="L56" s="3"/>
      <c r="M56" s="3"/>
      <c r="N56" s="3"/>
      <c r="O56" s="334"/>
      <c r="P56" s="334"/>
      <c r="Q56" s="286"/>
      <c r="R56" s="286"/>
      <c r="S56" s="286"/>
      <c r="T56" s="104"/>
      <c r="U56" s="104"/>
      <c r="V56" s="104"/>
      <c r="W56" s="620"/>
      <c r="X56" s="104"/>
      <c r="Y56" s="314"/>
      <c r="Z56" s="314"/>
      <c r="AA56" s="314"/>
    </row>
    <row r="57" spans="1:45" ht="15.75" thickBot="1">
      <c r="A57" s="337"/>
      <c r="B57" s="396" t="s">
        <v>593</v>
      </c>
      <c r="C57" s="396">
        <v>56521948</v>
      </c>
      <c r="D57" s="1306"/>
      <c r="E57" s="1306"/>
      <c r="F57" s="1306"/>
      <c r="G57" s="1306"/>
      <c r="H57" s="1306"/>
      <c r="I57" s="1306"/>
      <c r="J57" s="3"/>
      <c r="K57" s="3"/>
      <c r="L57" s="3"/>
      <c r="M57" s="3"/>
      <c r="N57" s="3"/>
    </row>
    <row r="58" spans="1:45" ht="16.5" thickBot="1">
      <c r="A58" s="1307" t="s">
        <v>749</v>
      </c>
      <c r="B58" s="1307" t="s">
        <v>327</v>
      </c>
      <c r="C58" s="1308" t="s">
        <v>221</v>
      </c>
      <c r="D58" s="1309" t="s">
        <v>85</v>
      </c>
      <c r="E58" s="1309" t="s">
        <v>375</v>
      </c>
      <c r="F58" s="1309" t="s">
        <v>222</v>
      </c>
      <c r="G58" s="1309" t="s">
        <v>115</v>
      </c>
      <c r="H58" s="1309" t="s">
        <v>223</v>
      </c>
      <c r="I58" s="1309" t="s">
        <v>328</v>
      </c>
      <c r="J58" s="1309" t="s">
        <v>329</v>
      </c>
      <c r="K58" s="1309" t="s">
        <v>330</v>
      </c>
      <c r="L58" s="1309" t="s">
        <v>331</v>
      </c>
      <c r="M58" s="1309" t="s">
        <v>332</v>
      </c>
      <c r="N58" s="1330" t="s">
        <v>225</v>
      </c>
    </row>
    <row r="59" spans="1:45" ht="15.75">
      <c r="A59" s="1310"/>
      <c r="B59" s="1310" t="s">
        <v>333</v>
      </c>
      <c r="C59" s="1311">
        <f>'Input data'!C13</f>
        <v>1233791.4119790548</v>
      </c>
      <c r="D59" s="1312">
        <f>'Input data'!D13</f>
        <v>1138884.3802883581</v>
      </c>
      <c r="E59" s="1312">
        <f>'Input data'!E13</f>
        <v>378326.54427023319</v>
      </c>
      <c r="F59" s="1312">
        <f>'Input data'!F13</f>
        <v>0</v>
      </c>
      <c r="G59" s="1312">
        <f>'Input data'!G13</f>
        <v>0</v>
      </c>
      <c r="H59" s="1312">
        <f>'Input data'!H13</f>
        <v>0</v>
      </c>
      <c r="I59" s="1312">
        <f>'Input data'!I13</f>
        <v>0</v>
      </c>
      <c r="J59" s="1312">
        <f>'Input data'!J13</f>
        <v>381000</v>
      </c>
      <c r="K59" s="1312">
        <f>'Input data'!K13</f>
        <v>338388.97868490184</v>
      </c>
      <c r="L59" s="1312">
        <f>'Input data'!L13</f>
        <v>297470.77450579114</v>
      </c>
      <c r="M59" s="1312">
        <f>'Input data'!M13</f>
        <v>0</v>
      </c>
      <c r="N59" s="1331">
        <f>'Input data'!N13</f>
        <v>3767862.0897283391</v>
      </c>
      <c r="AE59" s="1335"/>
      <c r="AF59" s="1335"/>
      <c r="AG59" s="198"/>
      <c r="AH59" s="198"/>
      <c r="AI59" s="198"/>
      <c r="AJ59" s="99"/>
      <c r="AK59" s="99"/>
      <c r="AL59" s="99"/>
      <c r="AM59" s="1336"/>
      <c r="AN59" s="99"/>
      <c r="AO59" s="1337"/>
      <c r="AP59" s="1337"/>
      <c r="AQ59" s="1337"/>
      <c r="AR59" s="99"/>
      <c r="AS59" s="99"/>
    </row>
    <row r="60" spans="1:45">
      <c r="A60" s="1313" t="s">
        <v>334</v>
      </c>
      <c r="B60" s="1310" t="s">
        <v>335</v>
      </c>
      <c r="C60" s="1314">
        <f>'Input data'!C14</f>
        <v>964286</v>
      </c>
      <c r="D60" s="396">
        <f>'Input data'!D14</f>
        <v>964286</v>
      </c>
      <c r="E60" s="396">
        <f>'Input data'!E14</f>
        <v>0</v>
      </c>
      <c r="F60" s="396">
        <f>'Input data'!F14</f>
        <v>0</v>
      </c>
      <c r="G60" s="396">
        <f>'Input data'!G14</f>
        <v>0</v>
      </c>
      <c r="H60" s="396">
        <f>'Input data'!H14</f>
        <v>0</v>
      </c>
      <c r="I60" s="396">
        <f>'Input data'!I14</f>
        <v>2892858</v>
      </c>
      <c r="J60" s="396">
        <f>'Input data'!J14</f>
        <v>0</v>
      </c>
      <c r="K60" s="396">
        <f>'Input data'!K14</f>
        <v>0</v>
      </c>
      <c r="L60" s="396">
        <f>'Input data'!L14</f>
        <v>0</v>
      </c>
      <c r="M60" s="396">
        <f>'Input data'!M14</f>
        <v>0</v>
      </c>
      <c r="N60" s="1326">
        <f>'Input data'!N14</f>
        <v>4821430</v>
      </c>
      <c r="AE60" s="1338"/>
      <c r="AF60" s="1339"/>
      <c r="AG60" s="1339"/>
      <c r="AH60" s="1339"/>
      <c r="AI60" s="1339"/>
      <c r="AJ60" s="1339"/>
      <c r="AK60" s="1339"/>
      <c r="AL60" s="1339"/>
      <c r="AM60" s="1340"/>
      <c r="AN60" s="158"/>
      <c r="AO60" s="158"/>
      <c r="AP60" s="158"/>
      <c r="AQ60" s="158"/>
      <c r="AR60" s="158"/>
      <c r="AS60" s="99"/>
    </row>
    <row r="61" spans="1:45">
      <c r="A61" s="1313" t="s">
        <v>336</v>
      </c>
      <c r="B61" s="1310" t="s">
        <v>337</v>
      </c>
      <c r="C61" s="1314">
        <f>'Input data'!C15</f>
        <v>72176.800000000003</v>
      </c>
      <c r="D61" s="396">
        <f>'Input data'!D15</f>
        <v>72176.800000000003</v>
      </c>
      <c r="E61" s="396">
        <f>'Input data'!E15</f>
        <v>0</v>
      </c>
      <c r="F61" s="396">
        <f>'Input data'!F15</f>
        <v>0</v>
      </c>
      <c r="G61" s="396">
        <f>'Input data'!G15</f>
        <v>0</v>
      </c>
      <c r="H61" s="396">
        <f>'Input data'!H15</f>
        <v>0</v>
      </c>
      <c r="I61" s="396">
        <f>'Input data'!I15</f>
        <v>216530.4</v>
      </c>
      <c r="J61" s="396">
        <f>'Input data'!J15</f>
        <v>0</v>
      </c>
      <c r="K61" s="396">
        <f>'Input data'!K15</f>
        <v>0</v>
      </c>
      <c r="L61" s="396">
        <f>'Input data'!L15</f>
        <v>0</v>
      </c>
      <c r="M61" s="396">
        <f>'Input data'!M15</f>
        <v>0</v>
      </c>
      <c r="N61" s="1326">
        <f>'Input data'!N15</f>
        <v>360884</v>
      </c>
      <c r="AE61" s="1338"/>
      <c r="AF61" s="1339"/>
      <c r="AG61" s="1339"/>
      <c r="AH61" s="1341"/>
      <c r="AI61" s="1341"/>
      <c r="AJ61" s="1341"/>
      <c r="AK61" s="1341"/>
      <c r="AL61" s="1341"/>
      <c r="AM61" s="1341"/>
      <c r="AN61" s="158"/>
      <c r="AO61" s="158"/>
      <c r="AP61" s="158"/>
      <c r="AQ61" s="158"/>
      <c r="AR61" s="158"/>
      <c r="AS61" s="99"/>
    </row>
    <row r="62" spans="1:45" ht="15.75">
      <c r="A62" s="1313" t="s">
        <v>338</v>
      </c>
      <c r="B62" s="1310" t="s">
        <v>339</v>
      </c>
      <c r="C62" s="1314">
        <f>'Input data'!C16</f>
        <v>0</v>
      </c>
      <c r="D62" s="396">
        <f>'Input data'!D16</f>
        <v>0</v>
      </c>
      <c r="E62" s="396">
        <f>'Input data'!E16</f>
        <v>520349.97572976683</v>
      </c>
      <c r="F62" s="396">
        <f>'Input data'!F16</f>
        <v>0</v>
      </c>
      <c r="G62" s="396">
        <f>'Input data'!G16</f>
        <v>0</v>
      </c>
      <c r="H62" s="396">
        <f>'Input data'!H16</f>
        <v>0</v>
      </c>
      <c r="I62" s="396">
        <f>'Input data'!I16</f>
        <v>0</v>
      </c>
      <c r="J62" s="396">
        <f>'Input data'!J16</f>
        <v>237880.00199999998</v>
      </c>
      <c r="K62" s="396">
        <f>'Input data'!K16</f>
        <v>465419.88531509798</v>
      </c>
      <c r="L62" s="396">
        <f>'Input data'!L16</f>
        <v>409141.02549420868</v>
      </c>
      <c r="M62" s="396">
        <f>'Input data'!M16</f>
        <v>123895.58799999999</v>
      </c>
      <c r="N62" s="1326">
        <f>'Input data'!N16</f>
        <v>1756686.4765390735</v>
      </c>
      <c r="AE62" s="1342"/>
      <c r="AF62" s="1342"/>
      <c r="AG62" s="1343"/>
      <c r="AH62" s="1343"/>
      <c r="AI62" s="1343"/>
      <c r="AJ62" s="1343"/>
      <c r="AK62" s="1343"/>
      <c r="AL62" s="1343"/>
      <c r="AM62" s="1343"/>
      <c r="AN62" s="1343"/>
      <c r="AO62" s="1343"/>
      <c r="AP62" s="1343"/>
      <c r="AQ62" s="1343"/>
      <c r="AR62" s="1343"/>
      <c r="AS62" s="99"/>
    </row>
    <row r="63" spans="1:45">
      <c r="A63" s="1313" t="s">
        <v>338</v>
      </c>
      <c r="B63" s="1310" t="s">
        <v>340</v>
      </c>
      <c r="C63" s="1314">
        <f>'Input data'!C17</f>
        <v>0</v>
      </c>
      <c r="D63" s="396">
        <f>'Input data'!D17</f>
        <v>0</v>
      </c>
      <c r="E63" s="396">
        <f>'Input data'!E17</f>
        <v>1241029.48</v>
      </c>
      <c r="F63" s="396">
        <f>'Input data'!F17</f>
        <v>0</v>
      </c>
      <c r="G63" s="396">
        <f>'Input data'!G17</f>
        <v>0</v>
      </c>
      <c r="H63" s="396">
        <f>'Input data'!H17</f>
        <v>0</v>
      </c>
      <c r="I63" s="396">
        <f>'Input data'!I17</f>
        <v>0</v>
      </c>
      <c r="J63" s="396">
        <f>'Input data'!J17</f>
        <v>480373.99800000002</v>
      </c>
      <c r="K63" s="396">
        <f>'Input data'!K17</f>
        <v>1987194.1360000002</v>
      </c>
      <c r="L63" s="396">
        <f>'Input data'!L17</f>
        <v>2826447.2</v>
      </c>
      <c r="M63" s="396">
        <f>'Input data'!M17</f>
        <v>38271.412000000004</v>
      </c>
      <c r="N63" s="1326">
        <f>'Input data'!N17</f>
        <v>6573316.2259999998</v>
      </c>
      <c r="AE63" s="340"/>
      <c r="AF63" s="340"/>
      <c r="AG63" s="1339"/>
      <c r="AH63" s="1339"/>
      <c r="AI63" s="1339"/>
      <c r="AJ63" s="1339"/>
      <c r="AK63" s="1339"/>
      <c r="AL63" s="1339"/>
      <c r="AM63" s="1339"/>
      <c r="AN63" s="1339"/>
      <c r="AO63" s="1339"/>
      <c r="AP63" s="1339"/>
      <c r="AQ63" s="1339"/>
      <c r="AR63" s="1339"/>
      <c r="AS63" s="99"/>
    </row>
    <row r="64" spans="1:45">
      <c r="A64" s="1313" t="s">
        <v>341</v>
      </c>
      <c r="B64" s="1310" t="s">
        <v>342</v>
      </c>
      <c r="C64" s="1314">
        <f>'Input data'!C18</f>
        <v>2500000</v>
      </c>
      <c r="D64" s="396">
        <f>'Input data'!D18</f>
        <v>4200000</v>
      </c>
      <c r="E64" s="396">
        <f>'Input data'!E18</f>
        <v>0</v>
      </c>
      <c r="F64" s="396">
        <f>'Input data'!F18</f>
        <v>0</v>
      </c>
      <c r="G64" s="396">
        <f>'Input data'!G18</f>
        <v>0</v>
      </c>
      <c r="H64" s="396">
        <f>'Input data'!H18</f>
        <v>0</v>
      </c>
      <c r="I64" s="396">
        <f>'Input data'!I18</f>
        <v>0</v>
      </c>
      <c r="J64" s="396">
        <f>'Input data'!J18</f>
        <v>0</v>
      </c>
      <c r="K64" s="396">
        <f>'Input data'!K18</f>
        <v>0</v>
      </c>
      <c r="L64" s="396">
        <f>'Input data'!L18</f>
        <v>0</v>
      </c>
      <c r="M64" s="396">
        <f>'Input data'!M18</f>
        <v>0</v>
      </c>
      <c r="N64" s="1326">
        <f>'Input data'!N18</f>
        <v>6700000</v>
      </c>
      <c r="AE64" s="292"/>
      <c r="AF64" s="340"/>
      <c r="AG64" s="1339"/>
      <c r="AH64" s="1339"/>
      <c r="AI64" s="1339"/>
      <c r="AJ64" s="1339"/>
      <c r="AK64" s="1339"/>
      <c r="AL64" s="1339"/>
      <c r="AM64" s="1339"/>
      <c r="AN64" s="1339"/>
      <c r="AO64" s="1339"/>
      <c r="AP64" s="1339"/>
      <c r="AQ64" s="1339"/>
      <c r="AR64" s="1339"/>
      <c r="AS64" s="99"/>
    </row>
    <row r="65" spans="1:71">
      <c r="A65" s="1315"/>
      <c r="B65" s="1316" t="s">
        <v>343</v>
      </c>
      <c r="C65" s="1314">
        <f>'Input data'!C19</f>
        <v>4770254.2119790548</v>
      </c>
      <c r="D65" s="396">
        <f>'Input data'!D19</f>
        <v>6375347.1802883577</v>
      </c>
      <c r="E65" s="396">
        <f>'Input data'!E19</f>
        <v>2139706</v>
      </c>
      <c r="F65" s="396">
        <f>'Input data'!F19</f>
        <v>0</v>
      </c>
      <c r="G65" s="396">
        <f>'Input data'!G19</f>
        <v>0</v>
      </c>
      <c r="H65" s="396">
        <f>'Input data'!H19</f>
        <v>0</v>
      </c>
      <c r="I65" s="396">
        <f>'Input data'!I19</f>
        <v>3109388.4</v>
      </c>
      <c r="J65" s="396">
        <f>'Input data'!J19</f>
        <v>1099254</v>
      </c>
      <c r="K65" s="396">
        <f>'Input data'!K19</f>
        <v>2791003</v>
      </c>
      <c r="L65" s="396">
        <f>'Input data'!L19</f>
        <v>3533059</v>
      </c>
      <c r="M65" s="396">
        <f>'Input data'!M19</f>
        <v>162167</v>
      </c>
      <c r="N65" s="1326">
        <f>'Input data'!N19</f>
        <v>23980178.792267412</v>
      </c>
      <c r="AE65" s="292"/>
      <c r="AF65" s="340"/>
      <c r="AG65" s="1339"/>
      <c r="AH65" s="1339"/>
      <c r="AI65" s="1339"/>
      <c r="AJ65" s="1339"/>
      <c r="AK65" s="1339"/>
      <c r="AL65" s="1339"/>
      <c r="AM65" s="1339"/>
      <c r="AN65" s="1339"/>
      <c r="AO65" s="1339"/>
      <c r="AP65" s="1339"/>
      <c r="AQ65" s="1339"/>
      <c r="AR65" s="1339"/>
      <c r="AS65" s="99"/>
    </row>
    <row r="66" spans="1:71" ht="15.75">
      <c r="A66" s="1315"/>
      <c r="B66" s="1317" t="s">
        <v>496</v>
      </c>
      <c r="C66" s="1314">
        <f>'Input data'!C20</f>
        <v>2674712.2259895275</v>
      </c>
      <c r="D66" s="396">
        <f>'Input data'!D20</f>
        <v>3392258.7101441789</v>
      </c>
      <c r="E66" s="396">
        <f>'Input data'!E20</f>
        <v>657478.25029190676</v>
      </c>
      <c r="F66" s="396">
        <f>'Input data'!F20</f>
        <v>0</v>
      </c>
      <c r="G66" s="396">
        <f>'Input data'!G20</f>
        <v>0</v>
      </c>
      <c r="H66" s="396">
        <f>'Input data'!H20</f>
        <v>0</v>
      </c>
      <c r="I66" s="396">
        <f>'Input data'!I20</f>
        <v>2798449.56</v>
      </c>
      <c r="J66" s="396">
        <f>'Input data'!J20</f>
        <v>404592.00179999997</v>
      </c>
      <c r="K66" s="396">
        <f>'Input data'!K20</f>
        <v>588072.38612603908</v>
      </c>
      <c r="L66" s="396">
        <f>'Input data'!L20</f>
        <v>516962.3101976834</v>
      </c>
      <c r="M66" s="396">
        <f>'Input data'!M20</f>
        <v>111506.02919999999</v>
      </c>
      <c r="N66" s="1326">
        <f>'Input data'!N20</f>
        <v>11144031.473749338</v>
      </c>
      <c r="AE66" s="292"/>
      <c r="AF66" s="340"/>
      <c r="AG66" s="1339"/>
      <c r="AH66" s="1339"/>
      <c r="AI66" s="1339"/>
      <c r="AJ66" s="1339"/>
      <c r="AK66" s="1339"/>
      <c r="AL66" s="1339"/>
      <c r="AM66" s="1339"/>
      <c r="AN66" s="1339"/>
      <c r="AO66" s="1339"/>
      <c r="AP66" s="1339"/>
      <c r="AQ66" s="1339"/>
      <c r="AR66" s="1339"/>
      <c r="AS66" s="99"/>
    </row>
    <row r="67" spans="1:71" ht="16.5" thickBot="1">
      <c r="A67" s="1315"/>
      <c r="B67" s="1317" t="s">
        <v>744</v>
      </c>
      <c r="C67" s="1314">
        <f>'Input data'!C21</f>
        <v>845541.98598952731</v>
      </c>
      <c r="D67" s="396">
        <f>'Input data'!D21</f>
        <v>883088.47014417872</v>
      </c>
      <c r="E67" s="396">
        <f>'Input data'!E21</f>
        <v>241198.26970809326</v>
      </c>
      <c r="F67" s="396">
        <f>'Input data'!F21</f>
        <v>0</v>
      </c>
      <c r="G67" s="396">
        <f>'Input data'!G21</f>
        <v>0</v>
      </c>
      <c r="H67" s="396">
        <f>'Input data'!H21</f>
        <v>0</v>
      </c>
      <c r="I67" s="396">
        <f>'Input data'!I21</f>
        <v>310938.83999999985</v>
      </c>
      <c r="J67" s="396">
        <f>'Input data'!J21</f>
        <v>214288.00020000001</v>
      </c>
      <c r="K67" s="396">
        <f>'Input data'!K21</f>
        <v>215736.47787396074</v>
      </c>
      <c r="L67" s="396">
        <f>'Input data'!L21</f>
        <v>189649.4898023163</v>
      </c>
      <c r="M67" s="396">
        <f>'Input data'!M21</f>
        <v>12389.558800000006</v>
      </c>
      <c r="N67" s="1326">
        <f>'Input data'!N21</f>
        <v>2912831.0925180763</v>
      </c>
      <c r="AE67" s="292"/>
      <c r="AF67" s="340"/>
      <c r="AG67" s="1339"/>
      <c r="AH67" s="1339"/>
      <c r="AI67" s="1339"/>
      <c r="AJ67" s="1339"/>
      <c r="AK67" s="1339"/>
      <c r="AL67" s="1339"/>
      <c r="AM67" s="1339"/>
      <c r="AN67" s="1339"/>
      <c r="AO67" s="1339"/>
      <c r="AP67" s="1339"/>
      <c r="AQ67" s="1339"/>
      <c r="AR67" s="1339"/>
      <c r="AS67" s="99"/>
    </row>
    <row r="68" spans="1:71" ht="15.75">
      <c r="A68" s="1315"/>
      <c r="B68" s="1307" t="s">
        <v>344</v>
      </c>
      <c r="C68" s="1318">
        <f>'Input data'!C22</f>
        <v>0</v>
      </c>
      <c r="D68" s="1184">
        <f>'Input data'!D22</f>
        <v>0</v>
      </c>
      <c r="E68" s="1184">
        <f>'Input data'!E22</f>
        <v>0</v>
      </c>
      <c r="F68" s="1184">
        <f>'Input data'!F22</f>
        <v>0</v>
      </c>
      <c r="G68" s="1184">
        <f>'Input data'!G22</f>
        <v>0</v>
      </c>
      <c r="H68" s="1184">
        <f>'Input data'!H22</f>
        <v>0</v>
      </c>
      <c r="I68" s="1184">
        <f>'Input data'!I22</f>
        <v>0</v>
      </c>
      <c r="J68" s="1184">
        <f>'Input data'!J22</f>
        <v>0</v>
      </c>
      <c r="K68" s="1184">
        <f>'Input data'!K22</f>
        <v>0</v>
      </c>
      <c r="L68" s="1184">
        <f>'Input data'!L22</f>
        <v>0</v>
      </c>
      <c r="M68" s="1184">
        <f>'Input data'!M22</f>
        <v>0</v>
      </c>
      <c r="N68" s="1332">
        <f>'Input data'!N22</f>
        <v>0</v>
      </c>
      <c r="AE68" s="292"/>
      <c r="AF68" s="340"/>
      <c r="AG68" s="1339"/>
      <c r="AH68" s="1339"/>
      <c r="AI68" s="1339"/>
      <c r="AJ68" s="1339"/>
      <c r="AK68" s="1339"/>
      <c r="AL68" s="1339"/>
      <c r="AM68" s="1339"/>
      <c r="AN68" s="1339"/>
      <c r="AO68" s="1339"/>
      <c r="AP68" s="1339"/>
      <c r="AQ68" s="1339"/>
      <c r="AR68" s="1339"/>
      <c r="AS68" s="99"/>
    </row>
    <row r="69" spans="1:71" ht="15.75">
      <c r="A69" s="1315"/>
      <c r="B69" s="1319" t="s">
        <v>345</v>
      </c>
      <c r="C69" s="649">
        <f>'Input data'!C23</f>
        <v>0.32745131923552184</v>
      </c>
      <c r="D69" s="114">
        <f>'Input data'!D23</f>
        <v>0.30226275621740473</v>
      </c>
      <c r="E69" s="114">
        <f>'Input data'!E23</f>
        <v>0.10040880883129943</v>
      </c>
      <c r="F69" s="114">
        <f>'Input data'!F23</f>
        <v>0</v>
      </c>
      <c r="G69" s="114">
        <f>'Input data'!G23</f>
        <v>0</v>
      </c>
      <c r="H69" s="114">
        <f>'Input data'!H23</f>
        <v>0</v>
      </c>
      <c r="I69" s="114">
        <f>'Input data'!I23</f>
        <v>0</v>
      </c>
      <c r="J69" s="114">
        <f>'Input data'!J23</f>
        <v>0.10111835065265616</v>
      </c>
      <c r="K69" s="114">
        <f>'Input data'!K23</f>
        <v>8.9809279274682671E-2</v>
      </c>
      <c r="L69" s="114">
        <f>'Input data'!L23</f>
        <v>7.8949485788435164E-2</v>
      </c>
      <c r="M69" s="114">
        <f>'Input data'!M23</f>
        <v>0</v>
      </c>
      <c r="N69" s="525">
        <f>'Input data'!N23</f>
        <v>1</v>
      </c>
      <c r="AE69" s="99"/>
      <c r="AF69" s="1344"/>
      <c r="AG69" s="1339"/>
      <c r="AH69" s="1339"/>
      <c r="AI69" s="1339"/>
      <c r="AJ69" s="1339"/>
      <c r="AK69" s="1339"/>
      <c r="AL69" s="1339"/>
      <c r="AM69" s="1339"/>
      <c r="AN69" s="1339"/>
      <c r="AO69" s="1339"/>
      <c r="AP69" s="1339"/>
      <c r="AQ69" s="1339"/>
      <c r="AR69" s="1339"/>
      <c r="AS69" s="99"/>
    </row>
    <row r="70" spans="1:71" ht="15.75">
      <c r="A70" s="1313" t="s">
        <v>334</v>
      </c>
      <c r="B70" s="1319" t="s">
        <v>346</v>
      </c>
      <c r="C70" s="649">
        <f>'Input data'!C24</f>
        <v>0.2</v>
      </c>
      <c r="D70" s="114">
        <f>'Input data'!D24</f>
        <v>0.2</v>
      </c>
      <c r="E70" s="114">
        <f>'Input data'!E24</f>
        <v>0</v>
      </c>
      <c r="F70" s="114">
        <f>'Input data'!F24</f>
        <v>0</v>
      </c>
      <c r="G70" s="114">
        <f>'Input data'!G24</f>
        <v>0</v>
      </c>
      <c r="H70" s="114">
        <f>'Input data'!H24</f>
        <v>0</v>
      </c>
      <c r="I70" s="114">
        <f>'Input data'!I24</f>
        <v>0.6</v>
      </c>
      <c r="J70" s="114">
        <f>'Input data'!J24</f>
        <v>0</v>
      </c>
      <c r="K70" s="114">
        <f>'Input data'!K24</f>
        <v>0</v>
      </c>
      <c r="L70" s="114">
        <f>'Input data'!L24</f>
        <v>0</v>
      </c>
      <c r="M70" s="114">
        <f>'Input data'!M24</f>
        <v>0</v>
      </c>
      <c r="N70" s="525">
        <f>'Input data'!N24</f>
        <v>1</v>
      </c>
      <c r="AE70" s="99"/>
      <c r="AF70" s="1345"/>
      <c r="AG70" s="1339"/>
      <c r="AH70" s="1339"/>
      <c r="AI70" s="1339"/>
      <c r="AJ70" s="1339"/>
      <c r="AK70" s="1339"/>
      <c r="AL70" s="1339"/>
      <c r="AM70" s="1339"/>
      <c r="AN70" s="1339"/>
      <c r="AO70" s="1339"/>
      <c r="AP70" s="1339"/>
      <c r="AQ70" s="1339"/>
      <c r="AR70" s="1339"/>
      <c r="AS70" s="99"/>
    </row>
    <row r="71" spans="1:71" ht="15.75">
      <c r="A71" s="1313" t="s">
        <v>336</v>
      </c>
      <c r="B71" s="1319" t="s">
        <v>347</v>
      </c>
      <c r="C71" s="649">
        <f>'Input data'!C25</f>
        <v>0.2</v>
      </c>
      <c r="D71" s="114">
        <f>'Input data'!D25</f>
        <v>0.2</v>
      </c>
      <c r="E71" s="114">
        <f>'Input data'!E25</f>
        <v>0</v>
      </c>
      <c r="F71" s="114">
        <f>'Input data'!F25</f>
        <v>0</v>
      </c>
      <c r="G71" s="114">
        <f>'Input data'!G25</f>
        <v>0</v>
      </c>
      <c r="H71" s="114">
        <f>'Input data'!H25</f>
        <v>0</v>
      </c>
      <c r="I71" s="114">
        <f>'Input data'!I25</f>
        <v>0.6</v>
      </c>
      <c r="J71" s="114">
        <f>'Input data'!J25</f>
        <v>0</v>
      </c>
      <c r="K71" s="114">
        <f>'Input data'!K25</f>
        <v>0</v>
      </c>
      <c r="L71" s="114">
        <f>'Input data'!L25</f>
        <v>0</v>
      </c>
      <c r="M71" s="114">
        <f>'Input data'!M25</f>
        <v>0</v>
      </c>
      <c r="N71" s="525">
        <f>'Input data'!N25</f>
        <v>1</v>
      </c>
      <c r="AE71" s="99"/>
      <c r="AF71" s="1345"/>
      <c r="AG71" s="1339"/>
      <c r="AH71" s="1339"/>
      <c r="AI71" s="1339"/>
      <c r="AJ71" s="1339"/>
      <c r="AK71" s="1339"/>
      <c r="AL71" s="1339"/>
      <c r="AM71" s="1339"/>
      <c r="AN71" s="1339"/>
      <c r="AO71" s="1339"/>
      <c r="AP71" s="1339"/>
      <c r="AQ71" s="1339"/>
      <c r="AR71" s="1339"/>
      <c r="AS71" s="99"/>
    </row>
    <row r="72" spans="1:71" ht="15.75">
      <c r="A72" s="1313" t="s">
        <v>338</v>
      </c>
      <c r="B72" s="1319" t="s">
        <v>339</v>
      </c>
      <c r="C72" s="649">
        <f>'Input data'!C26</f>
        <v>0</v>
      </c>
      <c r="D72" s="114">
        <f>'Input data'!D26</f>
        <v>0</v>
      </c>
      <c r="E72" s="114">
        <f>'Input data'!E26</f>
        <v>0.29621106707380795</v>
      </c>
      <c r="F72" s="114">
        <f>'Input data'!F26</f>
        <v>0</v>
      </c>
      <c r="G72" s="114">
        <f>'Input data'!G26</f>
        <v>0</v>
      </c>
      <c r="H72" s="114">
        <f>'Input data'!H26</f>
        <v>0</v>
      </c>
      <c r="I72" s="114">
        <f>'Input data'!I26</f>
        <v>0</v>
      </c>
      <c r="J72" s="114">
        <f>'Input data'!J26</f>
        <v>0.1354140338511958</v>
      </c>
      <c r="K72" s="114">
        <f>'Input data'!K26</f>
        <v>0.26494191851015014</v>
      </c>
      <c r="L72" s="114">
        <f>'Input data'!L26</f>
        <v>0.2329049781838565</v>
      </c>
      <c r="M72" s="114">
        <f>'Input data'!M26</f>
        <v>7.0528002380989593E-2</v>
      </c>
      <c r="N72" s="525">
        <f>'Input data'!N26</f>
        <v>0.99999999999999989</v>
      </c>
      <c r="AE72" s="99"/>
      <c r="AF72" s="1342"/>
      <c r="AG72" s="1346"/>
      <c r="AH72" s="1346"/>
      <c r="AI72" s="1346"/>
      <c r="AJ72" s="1346"/>
      <c r="AK72" s="1346"/>
      <c r="AL72" s="1346"/>
      <c r="AM72" s="1346"/>
      <c r="AN72" s="1346"/>
      <c r="AO72" s="1346"/>
      <c r="AP72" s="1346"/>
      <c r="AQ72" s="1346"/>
      <c r="AR72" s="1347"/>
      <c r="AS72" s="99"/>
    </row>
    <row r="73" spans="1:71" ht="15.75">
      <c r="A73" s="1313" t="s">
        <v>338</v>
      </c>
      <c r="B73" s="1319" t="s">
        <v>340</v>
      </c>
      <c r="C73" s="649">
        <f>'Input data'!C27</f>
        <v>0</v>
      </c>
      <c r="D73" s="114">
        <f>'Input data'!D27</f>
        <v>0</v>
      </c>
      <c r="E73" s="114">
        <f>'Input data'!E27</f>
        <v>0.188798079588998</v>
      </c>
      <c r="F73" s="114">
        <f>'Input data'!F27</f>
        <v>0</v>
      </c>
      <c r="G73" s="114">
        <f>'Input data'!G27</f>
        <v>0</v>
      </c>
      <c r="H73" s="114">
        <f>'Input data'!H27</f>
        <v>0</v>
      </c>
      <c r="I73" s="114">
        <f>'Input data'!I27</f>
        <v>0</v>
      </c>
      <c r="J73" s="114">
        <f>'Input data'!J27</f>
        <v>7.3079398812419163E-2</v>
      </c>
      <c r="K73" s="114">
        <f>'Input data'!K27</f>
        <v>0.30231226791431109</v>
      </c>
      <c r="L73" s="114">
        <f>'Input data'!L27</f>
        <v>0.42998801561079808</v>
      </c>
      <c r="M73" s="114">
        <f>'Input data'!M27</f>
        <v>5.8222380734737535E-3</v>
      </c>
      <c r="N73" s="525">
        <f>'Input data'!N27</f>
        <v>1.0000000000000002</v>
      </c>
      <c r="AE73" s="99"/>
      <c r="AF73" s="435"/>
      <c r="AG73" s="560"/>
      <c r="AH73" s="560"/>
      <c r="AI73" s="560"/>
      <c r="AJ73" s="560"/>
      <c r="AK73" s="560"/>
      <c r="AL73" s="560"/>
      <c r="AM73" s="560"/>
      <c r="AN73" s="560"/>
      <c r="AO73" s="560"/>
      <c r="AP73" s="560"/>
      <c r="AQ73" s="560"/>
      <c r="AR73" s="560"/>
      <c r="AS73" s="99"/>
    </row>
    <row r="74" spans="1:71" ht="15.75">
      <c r="A74" s="1313" t="s">
        <v>341</v>
      </c>
      <c r="B74" s="1319" t="s">
        <v>342</v>
      </c>
      <c r="C74" s="649">
        <f>'Input data'!C28</f>
        <v>0.37313432835820898</v>
      </c>
      <c r="D74" s="114">
        <f>'Input data'!D28</f>
        <v>0.62686567164179108</v>
      </c>
      <c r="E74" s="114">
        <f>'Input data'!E28</f>
        <v>0</v>
      </c>
      <c r="F74" s="114">
        <f>'Input data'!F28</f>
        <v>0</v>
      </c>
      <c r="G74" s="114">
        <f>'Input data'!G28</f>
        <v>0</v>
      </c>
      <c r="H74" s="114">
        <f>'Input data'!H28</f>
        <v>0</v>
      </c>
      <c r="I74" s="114">
        <f>'Input data'!I28</f>
        <v>0</v>
      </c>
      <c r="J74" s="114">
        <f>'Input data'!J28</f>
        <v>0</v>
      </c>
      <c r="K74" s="114">
        <f>'Input data'!K28</f>
        <v>0</v>
      </c>
      <c r="L74" s="114">
        <f>'Input data'!L28</f>
        <v>0</v>
      </c>
      <c r="M74" s="114">
        <f>'Input data'!M28</f>
        <v>0</v>
      </c>
      <c r="N74" s="525">
        <f>'Input data'!N28</f>
        <v>1</v>
      </c>
      <c r="AE74" s="292"/>
      <c r="AF74" s="435"/>
      <c r="AG74" s="560"/>
      <c r="AH74" s="560"/>
      <c r="AI74" s="560"/>
      <c r="AJ74" s="560"/>
      <c r="AK74" s="560"/>
      <c r="AL74" s="560"/>
      <c r="AM74" s="560"/>
      <c r="AN74" s="560"/>
      <c r="AO74" s="560"/>
      <c r="AP74" s="560"/>
      <c r="AQ74" s="560"/>
      <c r="AR74" s="560"/>
      <c r="AS74" s="99"/>
      <c r="BI74" s="99"/>
      <c r="BJ74" s="99"/>
      <c r="BK74" s="99"/>
      <c r="BL74" s="99"/>
      <c r="BM74" s="99"/>
      <c r="BN74" s="99"/>
      <c r="BO74" s="99"/>
      <c r="BP74" s="99"/>
      <c r="BQ74" s="99"/>
      <c r="BR74" s="99"/>
      <c r="BS74" s="99"/>
    </row>
    <row r="75" spans="1:71" ht="15.75">
      <c r="A75" s="1315"/>
      <c r="B75" s="1317" t="s">
        <v>348</v>
      </c>
      <c r="C75" s="649">
        <f>'Input data'!C29</f>
        <v>0.19892488097366726</v>
      </c>
      <c r="D75" s="114">
        <f>'Input data'!D29</f>
        <v>0.26585903447659598</v>
      </c>
      <c r="E75" s="114">
        <f>'Input data'!E29</f>
        <v>8.9228108703258049E-2</v>
      </c>
      <c r="F75" s="114">
        <f>'Input data'!F29</f>
        <v>0</v>
      </c>
      <c r="G75" s="114">
        <f>'Input data'!G29</f>
        <v>0</v>
      </c>
      <c r="H75" s="114">
        <f>'Input data'!H29</f>
        <v>0</v>
      </c>
      <c r="I75" s="114">
        <f>'Input data'!I29</f>
        <v>0.12966493815311525</v>
      </c>
      <c r="J75" s="114">
        <f>'Input data'!J29</f>
        <v>4.5840108596457284E-2</v>
      </c>
      <c r="K75" s="114">
        <f>'Input data'!K29</f>
        <v>0.1163879145429883</v>
      </c>
      <c r="L75" s="114">
        <f>'Input data'!L29</f>
        <v>0.1473324711465146</v>
      </c>
      <c r="M75" s="114">
        <f>'Input data'!M29</f>
        <v>6.7625434074032823E-3</v>
      </c>
      <c r="N75" s="525">
        <f>'Input data'!N29</f>
        <v>1</v>
      </c>
      <c r="AE75" s="292"/>
      <c r="AF75" s="435"/>
      <c r="AG75" s="560"/>
      <c r="AH75" s="560"/>
      <c r="AI75" s="560"/>
      <c r="AJ75" s="560"/>
      <c r="AK75" s="560"/>
      <c r="AL75" s="560"/>
      <c r="AM75" s="560"/>
      <c r="AN75" s="560"/>
      <c r="AO75" s="560"/>
      <c r="AP75" s="560"/>
      <c r="AQ75" s="560"/>
      <c r="AR75" s="560"/>
      <c r="AS75" s="99"/>
      <c r="BI75" s="99"/>
      <c r="BJ75" s="1867"/>
      <c r="BK75" s="1867"/>
      <c r="BL75" s="1867"/>
      <c r="BM75" s="1867"/>
      <c r="BN75" s="1867"/>
      <c r="BO75" s="1867"/>
      <c r="BP75" s="1867"/>
      <c r="BQ75" s="1867"/>
      <c r="BR75" s="99"/>
      <c r="BS75" s="99"/>
    </row>
    <row r="76" spans="1:71" ht="15.75">
      <c r="A76" s="1315"/>
      <c r="B76" s="1317" t="s">
        <v>497</v>
      </c>
      <c r="C76" s="649">
        <f>'Input data'!C30</f>
        <v>0.24001298204245269</v>
      </c>
      <c r="D76" s="114">
        <f>'Input data'!D30</f>
        <v>0.30440139352934503</v>
      </c>
      <c r="E76" s="114">
        <f>'Input data'!E30</f>
        <v>5.8998240613430578E-2</v>
      </c>
      <c r="F76" s="114">
        <f>'Input data'!F30</f>
        <v>0</v>
      </c>
      <c r="G76" s="114">
        <f>'Input data'!G30</f>
        <v>0</v>
      </c>
      <c r="H76" s="114">
        <f>'Input data'!H30</f>
        <v>0</v>
      </c>
      <c r="I76" s="114">
        <f>'Input data'!I30</f>
        <v>0.25111644440272562</v>
      </c>
      <c r="J76" s="114">
        <f>'Input data'!J30</f>
        <v>3.6305712412339194E-2</v>
      </c>
      <c r="K76" s="114">
        <f>'Input data'!K30</f>
        <v>5.2770165582472633E-2</v>
      </c>
      <c r="L76" s="114">
        <f>'Input data'!L30</f>
        <v>4.6389164586929758E-2</v>
      </c>
      <c r="M76" s="114">
        <f>'Input data'!M30</f>
        <v>1.0005896830304312E-2</v>
      </c>
      <c r="N76" s="525">
        <f>'Input data'!N30</f>
        <v>1</v>
      </c>
      <c r="AE76" s="292"/>
      <c r="AF76" s="435"/>
      <c r="AG76" s="560"/>
      <c r="AH76" s="560"/>
      <c r="AI76" s="560"/>
      <c r="AJ76" s="560"/>
      <c r="AK76" s="560"/>
      <c r="AL76" s="560"/>
      <c r="AM76" s="560"/>
      <c r="AN76" s="560"/>
      <c r="AO76" s="560"/>
      <c r="AP76" s="560"/>
      <c r="AQ76" s="560"/>
      <c r="AR76" s="560"/>
      <c r="AS76" s="99"/>
      <c r="BI76" s="99"/>
      <c r="BJ76" s="988"/>
      <c r="BK76" s="988"/>
      <c r="BL76" s="988"/>
      <c r="BM76" s="988"/>
      <c r="BN76" s="988"/>
      <c r="BO76" s="988"/>
      <c r="BP76" s="988"/>
      <c r="BQ76" s="988"/>
      <c r="BR76" s="99"/>
      <c r="BS76" s="99"/>
    </row>
    <row r="77" spans="1:71" ht="16.5" thickBot="1">
      <c r="A77" s="1320"/>
      <c r="B77" s="1321" t="s">
        <v>745</v>
      </c>
      <c r="C77" s="649">
        <f>'Input data'!C31</f>
        <v>0.29028184578274857</v>
      </c>
      <c r="D77" s="417">
        <f>'Input data'!D31</f>
        <v>0.30317187715157518</v>
      </c>
      <c r="E77" s="417">
        <f>'Input data'!E31</f>
        <v>8.2805443243048754E-2</v>
      </c>
      <c r="F77" s="417">
        <f>'Input data'!F31</f>
        <v>0</v>
      </c>
      <c r="G77" s="417">
        <f>'Input data'!G31</f>
        <v>0</v>
      </c>
      <c r="H77" s="417">
        <f>'Input data'!H31</f>
        <v>0</v>
      </c>
      <c r="I77" s="651">
        <f>'Input data'!I31</f>
        <v>0.10674798164530724</v>
      </c>
      <c r="J77" s="651">
        <f>'Input data'!J31</f>
        <v>7.3566915963792778E-2</v>
      </c>
      <c r="K77" s="651">
        <f>'Input data'!K31</f>
        <v>7.4064190823870071E-2</v>
      </c>
      <c r="L77" s="651">
        <f>'Input data'!L31</f>
        <v>6.5108303152026786E-2</v>
      </c>
      <c r="M77" s="651">
        <f>'Input data'!M31</f>
        <v>4.2534422376305772E-3</v>
      </c>
      <c r="N77" s="652">
        <f>'Input data'!N31</f>
        <v>1</v>
      </c>
      <c r="AE77" s="292"/>
      <c r="AF77" s="435"/>
      <c r="AG77" s="560"/>
      <c r="AH77" s="560"/>
      <c r="AI77" s="560"/>
      <c r="AJ77" s="560"/>
      <c r="AK77" s="560"/>
      <c r="AL77" s="560"/>
      <c r="AM77" s="560"/>
      <c r="AN77" s="560"/>
      <c r="AO77" s="560"/>
      <c r="AP77" s="560"/>
      <c r="AQ77" s="560"/>
      <c r="AR77" s="560"/>
      <c r="AS77" s="99"/>
      <c r="BI77" s="99"/>
      <c r="BJ77" s="560"/>
      <c r="BK77" s="560"/>
      <c r="BL77" s="560"/>
      <c r="BM77" s="560"/>
      <c r="BN77" s="560"/>
      <c r="BO77" s="560"/>
      <c r="BP77" s="560"/>
      <c r="BQ77" s="560"/>
      <c r="BR77" s="99"/>
      <c r="BS77" s="99"/>
    </row>
    <row r="78" spans="1:71" ht="14.45" customHeight="1" thickBot="1">
      <c r="A78" s="1322" t="s">
        <v>549</v>
      </c>
      <c r="B78" s="1323" t="s">
        <v>327</v>
      </c>
      <c r="C78" s="1308" t="s">
        <v>545</v>
      </c>
      <c r="D78" s="1309" t="s">
        <v>546</v>
      </c>
      <c r="E78" s="1309" t="s">
        <v>547</v>
      </c>
      <c r="F78" s="1309" t="s">
        <v>548</v>
      </c>
      <c r="G78" s="1309" t="s">
        <v>498</v>
      </c>
      <c r="H78" s="1330" t="s">
        <v>544</v>
      </c>
      <c r="I78" s="1324"/>
      <c r="J78" s="1324"/>
      <c r="K78" s="1324"/>
      <c r="L78" s="1324"/>
      <c r="M78" s="1324"/>
      <c r="N78" s="1324"/>
      <c r="AE78" s="292"/>
      <c r="AF78" s="435"/>
      <c r="AG78" s="560"/>
      <c r="AH78" s="560"/>
      <c r="AI78" s="560"/>
      <c r="AJ78" s="560"/>
      <c r="AK78" s="560"/>
      <c r="AL78" s="560"/>
      <c r="AM78" s="560"/>
      <c r="AN78" s="560"/>
      <c r="AO78" s="560"/>
      <c r="AP78" s="560"/>
      <c r="AQ78" s="560"/>
      <c r="AR78" s="560"/>
      <c r="AS78" s="99"/>
      <c r="BI78" s="99"/>
      <c r="BJ78" s="99"/>
      <c r="BK78" s="99"/>
      <c r="BL78" s="99"/>
      <c r="BM78" s="99"/>
      <c r="BN78" s="99"/>
      <c r="BO78" s="99"/>
      <c r="BP78" s="99"/>
      <c r="BQ78" s="99"/>
      <c r="BR78" s="99"/>
      <c r="BS78" s="99"/>
    </row>
    <row r="79" spans="1:71" ht="15.75">
      <c r="A79" s="1315"/>
      <c r="B79" s="1325" t="s">
        <v>378</v>
      </c>
      <c r="C79" s="1314">
        <f>'Waste Summary 2017 SASOW'!J10+'Waste Summary 2017 SASOW'!J13</f>
        <v>49995051</v>
      </c>
      <c r="D79" s="1351">
        <f>'Waste Summary 2017 SASOW'!K10+'Waste Summary 2017 SASOW'!K13</f>
        <v>0</v>
      </c>
      <c r="E79" s="1351">
        <f>'Waste Summary 2017 SASOW'!L10+'Waste Summary 2017 SASOW'!L13</f>
        <v>46917968.670000002</v>
      </c>
      <c r="F79" s="1351">
        <f>'Waste Summary 2017 SASOW'!M10+'Waste Summary 2017 SASOW'!M13</f>
        <v>0</v>
      </c>
      <c r="G79" s="1351">
        <f>'Waste Summary 2017 SASOW'!N10+'Waste Summary 2017 SASOW'!N13</f>
        <v>0</v>
      </c>
      <c r="H79" s="1326">
        <f>'Waste Summary 2017 SASOW'!O10+'Waste Summary 2017 SASOW'!O13</f>
        <v>3077082.33</v>
      </c>
      <c r="L79" s="1324"/>
      <c r="M79" s="1324"/>
      <c r="N79" s="1324"/>
      <c r="AE79" s="99"/>
      <c r="AF79" s="1345"/>
      <c r="AG79" s="560"/>
      <c r="AH79" s="560"/>
      <c r="AI79" s="560"/>
      <c r="AJ79" s="560"/>
      <c r="AK79" s="560"/>
      <c r="AL79" s="560"/>
      <c r="AM79" s="560"/>
      <c r="AN79" s="560"/>
      <c r="AO79" s="560"/>
      <c r="AP79" s="560"/>
      <c r="AQ79" s="560"/>
      <c r="AR79" s="560"/>
      <c r="AS79" s="99"/>
      <c r="BI79" s="99"/>
      <c r="BJ79" s="99"/>
      <c r="BK79" s="99"/>
      <c r="BL79" s="99"/>
      <c r="BM79" s="99"/>
      <c r="BN79" s="99"/>
      <c r="BO79" s="99"/>
      <c r="BP79" s="99"/>
      <c r="BQ79" s="99"/>
      <c r="BR79" s="99"/>
      <c r="BS79" s="99"/>
    </row>
    <row r="80" spans="1:71" ht="16.5" thickBot="1">
      <c r="A80" s="1320"/>
      <c r="B80" s="1320" t="s">
        <v>374</v>
      </c>
      <c r="C80" s="1327">
        <f t="shared" ref="C80:H80" si="9">C79/$C$79</f>
        <v>1</v>
      </c>
      <c r="D80" s="1328">
        <f t="shared" si="9"/>
        <v>0</v>
      </c>
      <c r="E80" s="1328">
        <f t="shared" si="9"/>
        <v>0.93845226140483384</v>
      </c>
      <c r="F80" s="1328">
        <f t="shared" si="9"/>
        <v>0</v>
      </c>
      <c r="G80" s="1328">
        <f t="shared" si="9"/>
        <v>0</v>
      </c>
      <c r="H80" s="1329">
        <f t="shared" si="9"/>
        <v>6.154773859516615E-2</v>
      </c>
      <c r="L80" s="1324"/>
      <c r="M80" s="1324"/>
      <c r="N80" s="1324"/>
      <c r="AE80" s="99"/>
      <c r="AF80" s="1345"/>
      <c r="AG80" s="560"/>
      <c r="AH80" s="560"/>
      <c r="AI80" s="560"/>
      <c r="AJ80" s="560"/>
      <c r="AK80" s="560"/>
      <c r="AL80" s="560"/>
      <c r="AM80" s="560"/>
      <c r="AN80" s="560"/>
      <c r="AO80" s="560"/>
      <c r="AP80" s="560"/>
      <c r="AQ80" s="560"/>
      <c r="AR80" s="560"/>
      <c r="AS80" s="99"/>
      <c r="BI80" s="99"/>
      <c r="BJ80" s="99"/>
      <c r="BK80" s="99"/>
      <c r="BL80" s="99"/>
      <c r="BM80" s="99"/>
      <c r="BN80" s="99"/>
      <c r="BO80" s="99"/>
      <c r="BP80" s="99"/>
      <c r="BQ80" s="99"/>
      <c r="BR80" s="99"/>
      <c r="BS80" s="99"/>
    </row>
    <row r="81" spans="1:91" ht="15.75">
      <c r="A81" s="286"/>
      <c r="B81" s="286"/>
      <c r="C81" s="339"/>
      <c r="D81" s="339"/>
      <c r="E81" s="339"/>
      <c r="F81" s="339"/>
      <c r="G81" s="339"/>
      <c r="H81" s="339"/>
      <c r="I81" s="286"/>
      <c r="J81" s="286"/>
      <c r="K81" s="286"/>
      <c r="L81" s="339"/>
      <c r="M81" s="339"/>
      <c r="N81" s="339"/>
      <c r="AE81" s="99"/>
      <c r="AF81" s="1345"/>
      <c r="AG81" s="560"/>
      <c r="AH81" s="560"/>
      <c r="AI81" s="560"/>
      <c r="AJ81" s="560"/>
      <c r="AK81" s="560"/>
      <c r="AL81" s="560"/>
      <c r="AM81" s="560"/>
      <c r="AN81" s="560"/>
      <c r="AO81" s="560"/>
      <c r="AP81" s="560"/>
      <c r="AQ81" s="560"/>
      <c r="AR81" s="560"/>
      <c r="AS81" s="99"/>
      <c r="BI81" s="99"/>
      <c r="BJ81" s="99"/>
      <c r="BK81" s="99"/>
      <c r="BL81" s="99"/>
      <c r="BM81" s="99"/>
      <c r="BN81" s="99"/>
      <c r="BO81" s="99"/>
      <c r="BP81" s="99"/>
      <c r="BQ81" s="99"/>
      <c r="BR81" s="99"/>
      <c r="BS81" s="99"/>
    </row>
    <row r="82" spans="1:91" ht="15.75" thickBot="1">
      <c r="B82" s="286"/>
      <c r="C82" s="339"/>
      <c r="D82" s="339"/>
      <c r="E82" s="339"/>
      <c r="F82" s="339"/>
      <c r="G82" s="339"/>
      <c r="H82" s="339"/>
      <c r="I82" s="286"/>
      <c r="J82" s="286"/>
      <c r="K82" s="286"/>
      <c r="L82" s="339"/>
      <c r="M82" s="339"/>
      <c r="N82" s="339"/>
      <c r="AE82" s="1334"/>
      <c r="AF82" s="1334"/>
      <c r="AG82" s="198"/>
      <c r="AH82" s="1348"/>
      <c r="AI82" s="1348"/>
      <c r="AJ82" s="99"/>
      <c r="AK82" s="99"/>
      <c r="AL82" s="99"/>
      <c r="AM82" s="99"/>
      <c r="AN82" s="99"/>
      <c r="AO82" s="99"/>
      <c r="AP82" s="99"/>
      <c r="AQ82" s="99"/>
      <c r="AR82" s="99"/>
      <c r="AS82" s="99"/>
      <c r="BI82" s="99"/>
      <c r="BJ82" s="99"/>
      <c r="BK82" s="99"/>
      <c r="BL82" s="99"/>
      <c r="BM82" s="99"/>
      <c r="BN82" s="99"/>
      <c r="BO82" s="99"/>
      <c r="BP82" s="99"/>
      <c r="BQ82" s="99"/>
      <c r="BR82" s="99"/>
      <c r="BS82" s="99"/>
    </row>
    <row r="83" spans="1:91">
      <c r="A83" s="656" t="s">
        <v>613</v>
      </c>
      <c r="B83" s="115"/>
      <c r="C83" s="116"/>
      <c r="D83" s="128"/>
      <c r="E83" s="128"/>
      <c r="F83" s="128"/>
      <c r="G83" s="128"/>
      <c r="H83" s="339"/>
      <c r="I83" s="286"/>
      <c r="J83" s="286"/>
      <c r="K83" s="286"/>
      <c r="L83" s="339"/>
      <c r="M83" s="339"/>
      <c r="N83" s="339"/>
      <c r="AE83" s="1334"/>
      <c r="AF83" s="1334"/>
      <c r="AG83" s="198"/>
      <c r="AH83" s="1348"/>
      <c r="AI83" s="1348"/>
      <c r="AJ83" s="99"/>
      <c r="AK83" s="99"/>
      <c r="AL83" s="99"/>
      <c r="AM83" s="99"/>
      <c r="AN83" s="99"/>
      <c r="AO83" s="99"/>
      <c r="AP83" s="99"/>
      <c r="AQ83" s="99"/>
      <c r="AR83" s="99"/>
      <c r="AS83" s="99"/>
    </row>
    <row r="84" spans="1:91">
      <c r="A84" s="657" t="s">
        <v>581</v>
      </c>
      <c r="B84" s="128">
        <v>2017</v>
      </c>
      <c r="C84" s="525">
        <f>'Waste Summary 2017 SASOW'!L25</f>
        <v>2.197312110627072E-2</v>
      </c>
      <c r="D84" s="629"/>
      <c r="E84" s="629"/>
      <c r="F84" s="629"/>
      <c r="G84" s="629"/>
      <c r="H84" s="630"/>
      <c r="I84" s="286"/>
      <c r="J84" s="286"/>
      <c r="K84" s="286"/>
      <c r="L84" s="339"/>
      <c r="M84" s="339"/>
      <c r="N84" s="339"/>
      <c r="AE84" s="1334"/>
      <c r="AF84" s="1334"/>
      <c r="AG84" s="198"/>
      <c r="AH84" s="1348"/>
      <c r="AI84" s="1348"/>
      <c r="AJ84" s="99"/>
      <c r="AK84" s="99"/>
      <c r="AL84" s="99"/>
      <c r="AM84" s="99"/>
      <c r="AN84" s="99"/>
      <c r="AO84" s="99"/>
      <c r="AP84" s="99"/>
      <c r="AQ84" s="99"/>
      <c r="AR84" s="99"/>
      <c r="AS84" s="99"/>
    </row>
    <row r="85" spans="1:91">
      <c r="A85" s="657" t="s">
        <v>580</v>
      </c>
      <c r="B85" s="128">
        <v>2017</v>
      </c>
      <c r="C85" s="525">
        <f>'Waste Summary 2017 SASOW'!L26</f>
        <v>6.9875113374971584E-2</v>
      </c>
      <c r="D85" s="629"/>
      <c r="E85" s="629"/>
      <c r="F85" s="629"/>
      <c r="G85" s="629"/>
      <c r="H85" s="630"/>
      <c r="I85" s="286"/>
      <c r="J85" s="286"/>
      <c r="K85" s="286"/>
      <c r="L85" s="339"/>
      <c r="M85" s="339"/>
      <c r="N85" s="339"/>
      <c r="O85" s="339"/>
      <c r="P85" s="339"/>
      <c r="Q85" s="7"/>
      <c r="R85" s="338"/>
      <c r="S85" s="338"/>
      <c r="T85" s="4"/>
      <c r="U85" s="4"/>
      <c r="AE85" s="1334"/>
      <c r="AF85" s="1334"/>
      <c r="AG85" s="198"/>
      <c r="AH85" s="1348"/>
      <c r="AI85" s="1348"/>
      <c r="AJ85" s="99"/>
      <c r="AK85" s="99"/>
      <c r="AL85" s="99"/>
      <c r="AM85" s="99"/>
      <c r="AN85" s="99"/>
      <c r="AO85" s="99"/>
      <c r="AP85" s="99"/>
      <c r="AQ85" s="99"/>
      <c r="AR85" s="99"/>
      <c r="AS85" s="99"/>
    </row>
    <row r="86" spans="1:91" ht="15.75" thickBot="1">
      <c r="A86" s="658" t="s">
        <v>733</v>
      </c>
      <c r="B86" s="138">
        <v>2017</v>
      </c>
      <c r="C86" s="652">
        <f>'Waste Summary 2017 SASOW'!L27</f>
        <v>0.93012488662502824</v>
      </c>
      <c r="D86" s="629"/>
      <c r="E86" s="629"/>
      <c r="F86" s="629"/>
      <c r="G86" s="629"/>
      <c r="H86" s="630"/>
      <c r="I86" s="286"/>
      <c r="J86" s="286"/>
      <c r="K86" s="286"/>
      <c r="L86" s="339"/>
      <c r="M86" s="339"/>
      <c r="N86" s="339"/>
      <c r="O86" s="339"/>
      <c r="P86" s="339"/>
      <c r="Q86" s="7"/>
      <c r="R86" s="338"/>
      <c r="S86" s="338"/>
      <c r="T86" s="4"/>
      <c r="U86" s="4"/>
      <c r="AE86" s="1334"/>
      <c r="AF86" s="1334"/>
      <c r="AG86" s="198"/>
      <c r="AH86" s="1348"/>
      <c r="AI86" s="1348"/>
      <c r="AJ86" s="99"/>
      <c r="AK86" s="99"/>
      <c r="AL86" s="99"/>
      <c r="AM86" s="99"/>
      <c r="AN86" s="99"/>
      <c r="AO86" s="99"/>
      <c r="AP86" s="99"/>
      <c r="AQ86" s="99"/>
      <c r="AR86" s="99"/>
      <c r="AS86" s="99"/>
    </row>
    <row r="87" spans="1:91">
      <c r="A87" s="128"/>
      <c r="B87" s="629"/>
      <c r="C87" s="629"/>
      <c r="D87" s="629"/>
      <c r="E87" s="629"/>
      <c r="F87" s="629"/>
      <c r="G87" s="629"/>
      <c r="H87" s="630"/>
      <c r="I87" s="286"/>
      <c r="J87" s="286"/>
      <c r="K87" s="286"/>
      <c r="L87" s="339"/>
      <c r="M87" s="339"/>
      <c r="N87" s="339"/>
      <c r="O87" s="339"/>
      <c r="P87" s="339"/>
      <c r="Q87" s="7"/>
      <c r="R87" s="338"/>
      <c r="S87" s="338"/>
      <c r="T87" s="4"/>
      <c r="U87" s="4"/>
    </row>
    <row r="88" spans="1:91" ht="28.5">
      <c r="A88" s="685" t="s">
        <v>569</v>
      </c>
      <c r="B88" s="629"/>
      <c r="C88" s="629"/>
      <c r="D88" s="629"/>
      <c r="E88" s="629"/>
      <c r="F88" s="629"/>
      <c r="G88" s="629"/>
      <c r="H88" s="630"/>
      <c r="I88" s="286"/>
      <c r="J88" s="286"/>
      <c r="K88" s="286"/>
      <c r="L88" s="339"/>
      <c r="M88" s="339"/>
      <c r="N88" s="339"/>
      <c r="O88" s="339"/>
      <c r="P88" s="339"/>
      <c r="Q88" s="7"/>
      <c r="R88" s="338"/>
      <c r="S88" s="338"/>
      <c r="T88" s="4"/>
      <c r="U88" s="4"/>
    </row>
    <row r="89" spans="1:91">
      <c r="A89" s="128"/>
      <c r="B89" s="629"/>
      <c r="C89" s="629"/>
      <c r="D89" s="629"/>
      <c r="E89" s="629"/>
      <c r="F89" s="629"/>
      <c r="G89" s="629"/>
      <c r="H89" s="630"/>
      <c r="I89" s="286"/>
      <c r="J89" s="286"/>
      <c r="K89" s="286"/>
      <c r="L89" s="339"/>
      <c r="M89" s="339"/>
      <c r="N89" s="339"/>
      <c r="O89" s="339"/>
      <c r="P89" s="339"/>
      <c r="Q89" s="7"/>
      <c r="R89" s="338"/>
      <c r="S89" s="338"/>
      <c r="T89" s="4"/>
      <c r="U89" s="4"/>
      <c r="X89" s="623"/>
    </row>
    <row r="90" spans="1:91" ht="23.25">
      <c r="A90" s="686" t="s">
        <v>634</v>
      </c>
      <c r="B90" s="687"/>
      <c r="C90" s="629"/>
      <c r="D90" s="629"/>
      <c r="E90" s="629"/>
      <c r="F90" s="629"/>
      <c r="G90" s="629"/>
      <c r="H90" s="630"/>
      <c r="I90" s="286"/>
      <c r="J90" s="286"/>
      <c r="K90" s="286"/>
      <c r="L90" s="339"/>
      <c r="M90" s="339"/>
      <c r="N90" s="339"/>
      <c r="O90" s="339"/>
      <c r="P90" s="339"/>
      <c r="Q90" s="7"/>
      <c r="R90" s="338"/>
      <c r="S90" s="338"/>
      <c r="T90" s="4"/>
      <c r="U90" s="4"/>
      <c r="AB90" s="623"/>
      <c r="AF90" s="623"/>
    </row>
    <row r="91" spans="1:91">
      <c r="A91" s="128"/>
      <c r="B91" s="629"/>
      <c r="C91" s="629"/>
      <c r="D91" s="629"/>
      <c r="E91" s="629"/>
      <c r="F91" s="629"/>
      <c r="G91" s="629"/>
      <c r="H91" s="630"/>
      <c r="I91" s="286"/>
      <c r="J91" s="286"/>
      <c r="K91" s="286"/>
      <c r="L91" s="339"/>
      <c r="M91" s="339"/>
      <c r="N91" s="339"/>
      <c r="O91" s="339"/>
      <c r="P91" s="339"/>
      <c r="Q91" s="7"/>
      <c r="R91" s="338"/>
      <c r="S91" s="338"/>
      <c r="T91" s="4"/>
      <c r="U91" s="4"/>
    </row>
    <row r="92" spans="1:91">
      <c r="A92" s="128"/>
      <c r="B92" s="629"/>
      <c r="C92" s="629"/>
      <c r="D92" s="629"/>
      <c r="E92" s="629"/>
      <c r="F92" s="629"/>
      <c r="G92" s="629"/>
      <c r="H92" s="630"/>
      <c r="I92" s="286"/>
      <c r="J92" s="286"/>
      <c r="K92" s="286"/>
      <c r="L92" s="339"/>
      <c r="M92" s="339"/>
      <c r="N92" s="339"/>
      <c r="O92" s="339"/>
      <c r="P92" s="339"/>
      <c r="Q92" s="7"/>
      <c r="R92" s="338"/>
      <c r="S92" s="338"/>
      <c r="T92" s="4"/>
      <c r="U92" s="4"/>
      <c r="BI92" s="99"/>
      <c r="BJ92" s="99"/>
      <c r="BK92" s="99"/>
      <c r="BL92" s="99"/>
      <c r="BM92" s="99"/>
    </row>
    <row r="93" spans="1:91" ht="15.75" thickBot="1">
      <c r="E93" s="10"/>
      <c r="F93" s="10"/>
      <c r="G93" s="10"/>
      <c r="H93" s="10"/>
      <c r="I93" s="10"/>
      <c r="J93" s="10"/>
      <c r="K93" s="10"/>
      <c r="L93" s="10"/>
      <c r="M93" s="10"/>
      <c r="N93" s="10"/>
      <c r="O93" s="10"/>
      <c r="P93" s="10"/>
      <c r="Q93" s="10"/>
      <c r="R93" s="10"/>
      <c r="S93" s="10"/>
      <c r="BE93" s="624"/>
      <c r="BF93" s="624"/>
      <c r="BG93" s="624"/>
      <c r="BH93" s="624"/>
      <c r="BI93" s="624"/>
      <c r="BJ93" s="624"/>
      <c r="BK93" s="624"/>
      <c r="BL93" s="624"/>
      <c r="CG93" s="1" t="s">
        <v>551</v>
      </c>
    </row>
    <row r="94" spans="1:91" ht="34.9" customHeight="1" thickBot="1">
      <c r="A94" s="1874" t="s">
        <v>602</v>
      </c>
      <c r="B94" s="1875"/>
      <c r="C94" s="1875"/>
      <c r="D94" s="1876"/>
      <c r="E94" s="1871" t="s">
        <v>600</v>
      </c>
      <c r="F94" s="1872"/>
      <c r="G94" s="1873"/>
      <c r="H94" s="1877" t="s">
        <v>601</v>
      </c>
      <c r="I94" s="1878"/>
      <c r="J94" s="1878"/>
      <c r="K94" s="1879"/>
      <c r="L94" s="1880" t="s">
        <v>598</v>
      </c>
      <c r="M94" s="1881"/>
      <c r="N94" s="1881"/>
      <c r="O94" s="1881"/>
      <c r="P94" s="1882"/>
      <c r="Q94" s="1895" t="s">
        <v>782</v>
      </c>
      <c r="R94" s="1881"/>
      <c r="S94" s="1881"/>
      <c r="T94" s="1881"/>
      <c r="U94" s="1882"/>
      <c r="V94" s="1800" t="s">
        <v>763</v>
      </c>
      <c r="W94" s="1782" t="s">
        <v>608</v>
      </c>
      <c r="X94" s="1883"/>
      <c r="Y94" s="1884" t="s">
        <v>594</v>
      </c>
      <c r="Z94" s="1843" t="s">
        <v>770</v>
      </c>
      <c r="AA94" s="1843" t="s">
        <v>778</v>
      </c>
      <c r="AB94" s="1841" t="s">
        <v>780</v>
      </c>
      <c r="AC94" s="1839" t="s">
        <v>788</v>
      </c>
      <c r="AD94" s="1841" t="s">
        <v>780</v>
      </c>
      <c r="AE94" s="1841" t="s">
        <v>779</v>
      </c>
      <c r="AF94" s="1857" t="s">
        <v>781</v>
      </c>
      <c r="AG94" s="1849" t="s">
        <v>609</v>
      </c>
      <c r="AH94" s="1849"/>
      <c r="AI94" s="1849"/>
      <c r="AJ94" s="1849"/>
      <c r="AK94" s="1849"/>
      <c r="AL94" s="1849"/>
      <c r="AM94" s="1850"/>
      <c r="AN94" s="1850"/>
      <c r="AO94" s="1850"/>
      <c r="AP94" s="1850"/>
      <c r="AQ94" s="1850"/>
      <c r="AR94" s="1887" t="s">
        <v>612</v>
      </c>
      <c r="AS94" s="1888"/>
      <c r="AT94" s="1888"/>
      <c r="AU94" s="1888"/>
      <c r="AV94" s="1888"/>
      <c r="AW94" s="1888"/>
      <c r="AX94" s="1888"/>
      <c r="AY94" s="1888"/>
      <c r="AZ94" s="1888"/>
      <c r="BA94" s="1888"/>
      <c r="BB94" s="1888"/>
      <c r="BC94" s="1891" t="s">
        <v>225</v>
      </c>
      <c r="BD94" s="1904" t="s">
        <v>616</v>
      </c>
      <c r="BE94" s="1889" t="s">
        <v>610</v>
      </c>
      <c r="BF94" s="1889"/>
      <c r="BG94" s="1889"/>
      <c r="BH94" s="1889"/>
      <c r="BI94" s="1889"/>
      <c r="BJ94" s="1889"/>
      <c r="BK94" s="1889"/>
      <c r="BL94" s="1890"/>
      <c r="BM94" s="1707" t="s">
        <v>741</v>
      </c>
      <c r="BN94" s="1708"/>
      <c r="BO94" s="1708"/>
      <c r="BP94" s="1708"/>
      <c r="BQ94" s="1708"/>
      <c r="BR94" s="1708"/>
      <c r="BS94" s="1708"/>
      <c r="BT94" s="1709"/>
      <c r="BV94" s="1794" t="s">
        <v>635</v>
      </c>
      <c r="BW94" s="1795"/>
      <c r="BX94" s="1910"/>
      <c r="BY94" s="1794" t="s">
        <v>638</v>
      </c>
      <c r="BZ94" s="1795"/>
      <c r="CA94" s="1796"/>
      <c r="CB94" s="1909" t="s">
        <v>636</v>
      </c>
      <c r="CC94" s="1908"/>
      <c r="CD94" s="1907" t="s">
        <v>639</v>
      </c>
      <c r="CE94" s="1908"/>
      <c r="CG94" s="1899" t="s">
        <v>742</v>
      </c>
      <c r="CH94" s="1900"/>
      <c r="CI94" s="1900"/>
      <c r="CJ94" s="1900"/>
      <c r="CK94" s="1900"/>
      <c r="CL94" s="1900"/>
      <c r="CM94" s="1901"/>
    </row>
    <row r="95" spans="1:91" s="10" customFormat="1" ht="42.6" customHeight="1" thickBot="1">
      <c r="A95" s="1869" t="s">
        <v>217</v>
      </c>
      <c r="B95" s="1584" t="s">
        <v>218</v>
      </c>
      <c r="C95" s="1584" t="s">
        <v>390</v>
      </c>
      <c r="D95" s="1564" t="s">
        <v>500</v>
      </c>
      <c r="E95" s="1585" t="s">
        <v>501</v>
      </c>
      <c r="F95" s="1586" t="s">
        <v>504</v>
      </c>
      <c r="G95" s="1587" t="s">
        <v>528</v>
      </c>
      <c r="H95" s="1588" t="s">
        <v>478</v>
      </c>
      <c r="I95" s="1589" t="s">
        <v>288</v>
      </c>
      <c r="J95" s="1590" t="s">
        <v>773</v>
      </c>
      <c r="K95" s="1591" t="s">
        <v>596</v>
      </c>
      <c r="L95" s="1592" t="s">
        <v>87</v>
      </c>
      <c r="M95" s="1593" t="s">
        <v>323</v>
      </c>
      <c r="N95" s="1593" t="s">
        <v>324</v>
      </c>
      <c r="O95" s="1593" t="s">
        <v>325</v>
      </c>
      <c r="P95" s="1594" t="s">
        <v>582</v>
      </c>
      <c r="Q95" s="1595" t="s">
        <v>87</v>
      </c>
      <c r="R95" s="1593" t="s">
        <v>323</v>
      </c>
      <c r="S95" s="1593" t="s">
        <v>324</v>
      </c>
      <c r="T95" s="1593" t="s">
        <v>325</v>
      </c>
      <c r="U95" s="1596" t="s">
        <v>582</v>
      </c>
      <c r="V95" s="1894"/>
      <c r="W95" s="1597" t="s">
        <v>605</v>
      </c>
      <c r="X95" s="1643" t="s">
        <v>576</v>
      </c>
      <c r="Y95" s="1885"/>
      <c r="Z95" s="1844"/>
      <c r="AA95" s="1844"/>
      <c r="AB95" s="1842"/>
      <c r="AC95" s="1840"/>
      <c r="AD95" s="1842"/>
      <c r="AE95" s="1842"/>
      <c r="AF95" s="1858"/>
      <c r="AG95" s="1092" t="s">
        <v>473</v>
      </c>
      <c r="AH95" s="1582" t="s">
        <v>489</v>
      </c>
      <c r="AI95" s="1582" t="s">
        <v>814</v>
      </c>
      <c r="AJ95" s="1582" t="s">
        <v>377</v>
      </c>
      <c r="AK95" s="1582" t="s">
        <v>225</v>
      </c>
      <c r="AL95" s="713" t="s">
        <v>591</v>
      </c>
      <c r="AM95" s="1581" t="s">
        <v>473</v>
      </c>
      <c r="AN95" s="1582" t="s">
        <v>489</v>
      </c>
      <c r="AO95" s="1582" t="s">
        <v>376</v>
      </c>
      <c r="AP95" s="1582" t="s">
        <v>377</v>
      </c>
      <c r="AQ95" s="1583" t="s">
        <v>225</v>
      </c>
      <c r="AR95" s="720" t="s">
        <v>221</v>
      </c>
      <c r="AS95" s="719" t="s">
        <v>85</v>
      </c>
      <c r="AT95" s="719" t="s">
        <v>87</v>
      </c>
      <c r="AU95" s="719" t="s">
        <v>222</v>
      </c>
      <c r="AV95" s="719" t="s">
        <v>115</v>
      </c>
      <c r="AW95" s="719" t="s">
        <v>223</v>
      </c>
      <c r="AX95" s="719" t="s">
        <v>472</v>
      </c>
      <c r="AY95" s="719" t="s">
        <v>329</v>
      </c>
      <c r="AZ95" s="719" t="s">
        <v>330</v>
      </c>
      <c r="BA95" s="719" t="s">
        <v>331</v>
      </c>
      <c r="BB95" s="719" t="s">
        <v>332</v>
      </c>
      <c r="BC95" s="1892"/>
      <c r="BD95" s="1905"/>
      <c r="BE95" s="1252" t="s">
        <v>221</v>
      </c>
      <c r="BF95" s="719" t="s">
        <v>85</v>
      </c>
      <c r="BG95" s="719" t="s">
        <v>87</v>
      </c>
      <c r="BH95" s="719" t="s">
        <v>222</v>
      </c>
      <c r="BI95" s="719" t="s">
        <v>115</v>
      </c>
      <c r="BJ95" s="719" t="s">
        <v>223</v>
      </c>
      <c r="BK95" s="719" t="s">
        <v>611</v>
      </c>
      <c r="BL95" s="1088" t="s">
        <v>303</v>
      </c>
      <c r="BM95" s="442" t="s">
        <v>221</v>
      </c>
      <c r="BN95" s="416" t="s">
        <v>85</v>
      </c>
      <c r="BO95" s="416" t="s">
        <v>87</v>
      </c>
      <c r="BP95" s="416" t="s">
        <v>222</v>
      </c>
      <c r="BQ95" s="416" t="s">
        <v>115</v>
      </c>
      <c r="BR95" s="416" t="s">
        <v>223</v>
      </c>
      <c r="BS95" s="416" t="s">
        <v>224</v>
      </c>
      <c r="BT95" s="1090" t="s">
        <v>225</v>
      </c>
      <c r="BU95"/>
      <c r="BV95" s="1253" t="s">
        <v>531</v>
      </c>
      <c r="BW95" s="1254" t="s">
        <v>624</v>
      </c>
      <c r="BX95" s="1255" t="str">
        <f>D135</f>
        <v xml:space="preserve">Coal ash generated - ‘IRP realistic’ </v>
      </c>
      <c r="BY95" s="1253" t="s">
        <v>531</v>
      </c>
      <c r="BZ95" s="1254" t="s">
        <v>624</v>
      </c>
      <c r="CA95" s="1256" t="s">
        <v>630</v>
      </c>
      <c r="CB95" s="1257" t="s">
        <v>267</v>
      </c>
      <c r="CC95" s="1258" t="s">
        <v>633</v>
      </c>
      <c r="CD95" s="1259" t="s">
        <v>267</v>
      </c>
      <c r="CE95" s="1258" t="s">
        <v>633</v>
      </c>
      <c r="CF95"/>
      <c r="CG95" s="1260" t="s">
        <v>87</v>
      </c>
      <c r="CH95" s="1261" t="s">
        <v>323</v>
      </c>
      <c r="CI95" s="1261" t="s">
        <v>324</v>
      </c>
      <c r="CJ95" s="1261" t="s">
        <v>325</v>
      </c>
      <c r="CK95" s="1262" t="s">
        <v>582</v>
      </c>
      <c r="CL95" s="1261" t="s">
        <v>303</v>
      </c>
      <c r="CM95" s="1902" t="s">
        <v>743</v>
      </c>
    </row>
    <row r="96" spans="1:91" ht="16.5" thickBot="1">
      <c r="A96" s="1870"/>
      <c r="B96" s="458" t="s">
        <v>232</v>
      </c>
      <c r="C96" s="459" t="s">
        <v>482</v>
      </c>
      <c r="D96" s="477" t="s">
        <v>480</v>
      </c>
      <c r="E96" s="702" t="s">
        <v>229</v>
      </c>
      <c r="F96" s="691" t="s">
        <v>229</v>
      </c>
      <c r="G96" s="692" t="s">
        <v>228</v>
      </c>
      <c r="H96" s="698" t="s">
        <v>227</v>
      </c>
      <c r="I96" s="696" t="s">
        <v>228</v>
      </c>
      <c r="J96" s="696" t="s">
        <v>228</v>
      </c>
      <c r="K96" s="697" t="s">
        <v>228</v>
      </c>
      <c r="L96" s="562" t="s">
        <v>229</v>
      </c>
      <c r="M96" s="446" t="s">
        <v>229</v>
      </c>
      <c r="N96" s="446" t="s">
        <v>229</v>
      </c>
      <c r="O96" s="446" t="s">
        <v>229</v>
      </c>
      <c r="P96" s="447" t="s">
        <v>229</v>
      </c>
      <c r="Q96" s="1470" t="s">
        <v>228</v>
      </c>
      <c r="R96" s="1471" t="s">
        <v>228</v>
      </c>
      <c r="S96" s="1471" t="s">
        <v>228</v>
      </c>
      <c r="T96" s="1471" t="s">
        <v>228</v>
      </c>
      <c r="U96" s="1472" t="s">
        <v>228</v>
      </c>
      <c r="V96" s="689" t="s">
        <v>228</v>
      </c>
      <c r="W96" s="1474" t="s">
        <v>229</v>
      </c>
      <c r="X96" s="1644" t="s">
        <v>228</v>
      </c>
      <c r="Y96" s="709" t="s">
        <v>228</v>
      </c>
      <c r="Z96" s="1646" t="s">
        <v>228</v>
      </c>
      <c r="AA96" s="1646" t="s">
        <v>228</v>
      </c>
      <c r="AB96" s="1893"/>
      <c r="AC96" s="1840"/>
      <c r="AD96" s="1893"/>
      <c r="AE96" s="1646" t="s">
        <v>28</v>
      </c>
      <c r="AF96" s="1647" t="s">
        <v>3</v>
      </c>
      <c r="AG96" s="1645" t="s">
        <v>228</v>
      </c>
      <c r="AH96" s="1095" t="s">
        <v>228</v>
      </c>
      <c r="AI96" s="1095" t="s">
        <v>228</v>
      </c>
      <c r="AJ96" s="1095" t="s">
        <v>228</v>
      </c>
      <c r="AK96" s="1095" t="s">
        <v>228</v>
      </c>
      <c r="AL96" s="1096" t="s">
        <v>590</v>
      </c>
      <c r="AM96" s="191" t="s">
        <v>229</v>
      </c>
      <c r="AN96" s="1095" t="s">
        <v>229</v>
      </c>
      <c r="AO96" s="1095" t="s">
        <v>229</v>
      </c>
      <c r="AP96" s="1095" t="s">
        <v>229</v>
      </c>
      <c r="AQ96" s="1574" t="s">
        <v>229</v>
      </c>
      <c r="AR96" s="722" t="s">
        <v>228</v>
      </c>
      <c r="AS96" s="723" t="s">
        <v>228</v>
      </c>
      <c r="AT96" s="723" t="s">
        <v>228</v>
      </c>
      <c r="AU96" s="723" t="s">
        <v>228</v>
      </c>
      <c r="AV96" s="723" t="s">
        <v>228</v>
      </c>
      <c r="AW96" s="723" t="s">
        <v>228</v>
      </c>
      <c r="AX96" s="723" t="s">
        <v>228</v>
      </c>
      <c r="AY96" s="723" t="s">
        <v>228</v>
      </c>
      <c r="AZ96" s="723" t="s">
        <v>228</v>
      </c>
      <c r="BA96" s="723" t="s">
        <v>228</v>
      </c>
      <c r="BB96" s="723" t="s">
        <v>228</v>
      </c>
      <c r="BC96" s="723" t="s">
        <v>228</v>
      </c>
      <c r="BD96" s="1906"/>
      <c r="BE96" s="1263" t="s">
        <v>229</v>
      </c>
      <c r="BF96" s="723" t="s">
        <v>229</v>
      </c>
      <c r="BG96" s="723" t="s">
        <v>229</v>
      </c>
      <c r="BH96" s="723" t="s">
        <v>229</v>
      </c>
      <c r="BI96" s="723" t="s">
        <v>229</v>
      </c>
      <c r="BJ96" s="723" t="s">
        <v>229</v>
      </c>
      <c r="BK96" s="723" t="s">
        <v>229</v>
      </c>
      <c r="BL96" s="1089" t="s">
        <v>229</v>
      </c>
      <c r="BM96" s="1264" t="s">
        <v>229</v>
      </c>
      <c r="BN96" s="1265" t="s">
        <v>229</v>
      </c>
      <c r="BO96" s="1265" t="s">
        <v>229</v>
      </c>
      <c r="BP96" s="1265" t="s">
        <v>229</v>
      </c>
      <c r="BQ96" s="1265" t="s">
        <v>229</v>
      </c>
      <c r="BR96" s="1265" t="s">
        <v>229</v>
      </c>
      <c r="BS96" s="1265" t="s">
        <v>229</v>
      </c>
      <c r="BT96" s="1266" t="s">
        <v>229</v>
      </c>
      <c r="BV96" s="1155" t="s">
        <v>625</v>
      </c>
      <c r="BW96" s="1156" t="s">
        <v>229</v>
      </c>
      <c r="BX96" s="1485" t="s">
        <v>625</v>
      </c>
      <c r="BY96" s="1155" t="s">
        <v>625</v>
      </c>
      <c r="BZ96" s="1156" t="s">
        <v>229</v>
      </c>
      <c r="CA96" s="1157" t="s">
        <v>625</v>
      </c>
      <c r="CB96" s="1478" t="s">
        <v>229</v>
      </c>
      <c r="CC96" s="1479" t="s">
        <v>229</v>
      </c>
      <c r="CD96" s="1480" t="s">
        <v>229</v>
      </c>
      <c r="CE96" s="1479" t="s">
        <v>229</v>
      </c>
      <c r="CG96" s="1269" t="s">
        <v>228</v>
      </c>
      <c r="CH96" s="1269" t="s">
        <v>228</v>
      </c>
      <c r="CI96" s="1269" t="s">
        <v>228</v>
      </c>
      <c r="CJ96" s="1269" t="s">
        <v>228</v>
      </c>
      <c r="CK96" s="1269" t="s">
        <v>228</v>
      </c>
      <c r="CL96" s="1269" t="s">
        <v>228</v>
      </c>
      <c r="CM96" s="1903"/>
    </row>
    <row r="97" spans="1:91">
      <c r="A97" s="127">
        <f>'Input data'!A117</f>
        <v>2017</v>
      </c>
      <c r="B97" s="662">
        <f>'Input data'!B117</f>
        <v>56.521948041648095</v>
      </c>
      <c r="C97" s="236">
        <f>'Input data'!C117</f>
        <v>3107.1496601967842</v>
      </c>
      <c r="D97" s="237">
        <f>'Input data'!D117</f>
        <v>49995051</v>
      </c>
      <c r="E97" s="649">
        <f>'Input data'!F117</f>
        <v>0.71479999999999999</v>
      </c>
      <c r="F97" s="649">
        <f>'Input data'!G117</f>
        <v>0.28959999999999997</v>
      </c>
      <c r="G97" s="764">
        <f>'Input data'!H117</f>
        <v>501</v>
      </c>
      <c r="H97" s="956">
        <f>'Input data'!I117</f>
        <v>424.26313389388866</v>
      </c>
      <c r="I97" s="957">
        <f>'Input data'!K117</f>
        <v>23980.178809937162</v>
      </c>
      <c r="J97" s="957">
        <f>I97*B10</f>
        <v>11144.031481960794</v>
      </c>
      <c r="K97" s="1469">
        <f>I97*$B$10-J97</f>
        <v>0</v>
      </c>
      <c r="L97" s="417">
        <f>C17</f>
        <v>0.57999999999999996</v>
      </c>
      <c r="M97" s="417">
        <f>D17</f>
        <v>0.437</v>
      </c>
      <c r="N97" s="417">
        <f>E17</f>
        <v>0.71200000000000008</v>
      </c>
      <c r="O97" s="417">
        <f>F17</f>
        <v>0.8</v>
      </c>
      <c r="P97" s="114">
        <f>$G$17</f>
        <v>0.23600000000000002</v>
      </c>
      <c r="Q97" s="956">
        <f>H97*$E$75*L97*B97-H97*$E$75*$L$97*B97</f>
        <v>0</v>
      </c>
      <c r="R97" s="957">
        <f>H97*$J$75*M97*B97-H97*$J$75*$M$97*B97</f>
        <v>0</v>
      </c>
      <c r="S97" s="957">
        <f>H97*$K$75*N97*B97-H97*$K$75*$N$97*B97</f>
        <v>0</v>
      </c>
      <c r="T97" s="957">
        <f>H97*$L$75*O97*B97-H97*$L$75*$O$97*B97</f>
        <v>0</v>
      </c>
      <c r="U97" s="1469">
        <f>H97*$M$75*P97*B97-H97*$M$75*$P$97*B97</f>
        <v>0</v>
      </c>
      <c r="V97" s="528">
        <f t="shared" ref="V97:V130" si="10">SUM(Q97:U97)</f>
        <v>0</v>
      </c>
      <c r="W97" s="708">
        <v>0</v>
      </c>
      <c r="X97" s="1469">
        <f>W97*($C$76+$D$76)*$B$10*$I$97</f>
        <v>0</v>
      </c>
      <c r="Y97" s="528">
        <f>X97+V97</f>
        <v>0</v>
      </c>
      <c r="Z97" s="528">
        <f>$J$97-Y97</f>
        <v>11144.031481960794</v>
      </c>
      <c r="AA97" s="530">
        <f>Z97-J97</f>
        <v>0</v>
      </c>
      <c r="AB97" s="1091">
        <f>AA97/Z97</f>
        <v>0</v>
      </c>
      <c r="AC97" s="1491" t="str">
        <f>IF(AND(AB97&gt;=0,AB97&lt;=1),"Yes","No")</f>
        <v>Yes</v>
      </c>
      <c r="AD97" s="1119">
        <f>IF(AB97&lt;=0,0,IF(AB97&gt;=1,1,AB97))</f>
        <v>0</v>
      </c>
      <c r="AE97" s="649">
        <f t="shared" ref="AE97:AE130" si="11">1-AK97/I97</f>
        <v>0</v>
      </c>
      <c r="AF97" s="530">
        <f>AK97/B97</f>
        <v>424.26313389388866</v>
      </c>
      <c r="AG97" s="527">
        <f>J97</f>
        <v>11144.031481960794</v>
      </c>
      <c r="AH97" s="528">
        <f>V97+I97*$C$10*$G$10</f>
        <v>6573.3162308435367</v>
      </c>
      <c r="AI97" s="528">
        <f>($C$10*$H$10*$I$97+X97)</f>
        <v>3350.0000024684418</v>
      </c>
      <c r="AJ97" s="528">
        <f t="shared" ref="AJ97:AJ130" si="12">I97*$D$10*(1-AD97)</f>
        <v>2912.8310946643915</v>
      </c>
      <c r="AK97" s="528">
        <f>SUM(AG97:AJ97)</f>
        <v>23980.178809937162</v>
      </c>
      <c r="AL97" s="716">
        <f t="shared" ref="AL97:AL130" si="13">AG97-(I97*$B$10-Y97)*(1-AD97)</f>
        <v>0</v>
      </c>
      <c r="AM97" s="708">
        <f>AG97/AK97</f>
        <v>0.46471844811027058</v>
      </c>
      <c r="AN97" s="647">
        <f>AH97/AK97</f>
        <v>0.27411456282050806</v>
      </c>
      <c r="AO97" s="647">
        <f>AI97/AK97</f>
        <v>0.13969870821314448</v>
      </c>
      <c r="AP97" s="647">
        <f>AJ97/AK97</f>
        <v>0.12146828085607692</v>
      </c>
      <c r="AQ97" s="715">
        <f>SUM(AM97:AP97)</f>
        <v>1</v>
      </c>
      <c r="AR97" s="1086">
        <f t="shared" ref="AR97:AR130" si="14">(I97*$C$76*$B$10-$C$66/($D$66+$C$66)*X97)*(1-AD97)</f>
        <v>2674.7122279603836</v>
      </c>
      <c r="AS97" s="938">
        <f t="shared" ref="AS97:AS130" si="15">(I97*$D$76*$B$10-$D$66/($D$66+$C$66)*X97)*(1-AD97)</f>
        <v>3392.2587126437579</v>
      </c>
      <c r="AT97" s="938">
        <f t="shared" ref="AT97:AT130" si="16">(I97*$B$10*$E$76-(Q97))*(1-AD97)</f>
        <v>657.47825077636821</v>
      </c>
      <c r="AU97" s="938">
        <f t="shared" ref="AU97:AU130" si="17">I97*$F$76*(1-AD97)*$B$10</f>
        <v>0</v>
      </c>
      <c r="AV97" s="938">
        <f t="shared" ref="AV97:AV130" si="18">I97*$G$76*(1-AD97)*$B$10</f>
        <v>0</v>
      </c>
      <c r="AW97" s="938">
        <f t="shared" ref="AW97:AW130" si="19">I97*$G$76*(1-AD97)*$B$10</f>
        <v>0</v>
      </c>
      <c r="AX97" s="938">
        <f t="shared" ref="AX97:AX130" si="20">I97*$I$76*(1-AD97)*$AM$97</f>
        <v>2798.4495620620314</v>
      </c>
      <c r="AY97" s="938">
        <f t="shared" ref="AY97:AY130" si="21">(I97*$J$76*$B$10-R97)*(1-AD97)</f>
        <v>404.59200209812275</v>
      </c>
      <c r="AZ97" s="938">
        <f t="shared" ref="AZ97:AZ130" si="22">(I97*$K$76*$B$10-S97)*(1-AD97)</f>
        <v>588.07238655935896</v>
      </c>
      <c r="BA97" s="938">
        <f t="shared" ref="BA97:BA130" si="23">(I97*$L$76*$B$10-T97)*(1-AD97)</f>
        <v>516.96231057860598</v>
      </c>
      <c r="BB97" s="938">
        <f t="shared" ref="BB97:BB130" si="24">(I97*$M$76*$B$10-U97)*(1-AD97)</f>
        <v>111.50602928216298</v>
      </c>
      <c r="BC97" s="530">
        <f>SUM(AR97:BB97)</f>
        <v>11144.031481960794</v>
      </c>
      <c r="BD97" s="724">
        <f>BC97-AG97</f>
        <v>0</v>
      </c>
      <c r="BE97" s="436">
        <f>AR97/BC97</f>
        <v>0.24001298204245269</v>
      </c>
      <c r="BF97" s="624">
        <f>AS97/BC97</f>
        <v>0.30440139352934503</v>
      </c>
      <c r="BG97" s="624">
        <f>AT97/BC97</f>
        <v>5.8998240613430571E-2</v>
      </c>
      <c r="BH97" s="624">
        <f>AU97/BC97</f>
        <v>0</v>
      </c>
      <c r="BI97" s="624">
        <f>AV97/BC97</f>
        <v>0</v>
      </c>
      <c r="BJ97" s="624">
        <f>AW97/BC97</f>
        <v>0</v>
      </c>
      <c r="BK97" s="624">
        <f>SUM(AX97:BB97)/BC97</f>
        <v>0.39658738381477143</v>
      </c>
      <c r="BL97" s="624">
        <f>SUM(BE97:BK97)</f>
        <v>0.99999999999999978</v>
      </c>
      <c r="BM97" s="708">
        <f>'Input data'!V118</f>
        <v>0.29028184578274857</v>
      </c>
      <c r="BN97" s="647">
        <f>'Input data'!W118</f>
        <v>0.30317187715157518</v>
      </c>
      <c r="BO97" s="647">
        <f>'Input data'!X118</f>
        <v>8.2805443243048754E-2</v>
      </c>
      <c r="BP97" s="647">
        <f>'Input data'!Y118</f>
        <v>0</v>
      </c>
      <c r="BQ97" s="647">
        <f>'Input data'!Z118</f>
        <v>0</v>
      </c>
      <c r="BR97" s="647">
        <f>'Input data'!AA118</f>
        <v>0</v>
      </c>
      <c r="BS97" s="647">
        <f>'Input data'!AB118</f>
        <v>0.32374083382262742</v>
      </c>
      <c r="BT97" s="715">
        <f>SUM(BM97:BS97)</f>
        <v>0.99999999999999989</v>
      </c>
      <c r="BV97" s="956">
        <f>(AK97+AC137)*1000/10^6</f>
        <v>111.48215319455257</v>
      </c>
      <c r="BW97" s="647">
        <f>((AK97-AM97*AK97)+(AC137-AC137*AE137))/(AK97+AC137)</f>
        <v>0.28613022309776337</v>
      </c>
      <c r="BX97" s="1694">
        <f t="shared" ref="BX97:BX130" si="25">D137/10^6</f>
        <v>49.995050999999997</v>
      </c>
      <c r="BY97" s="956">
        <f>(AK97+AC177)*1000/10^6</f>
        <v>111.48215319455257</v>
      </c>
      <c r="BZ97" s="647">
        <f>((AK97-AM97*AK97)+(AC177-AC177*AE177))/(AK97+AC177)</f>
        <v>0.28613022309776337</v>
      </c>
      <c r="CA97" s="677">
        <f t="shared" ref="CA97:CA130" si="26">D177/10^6</f>
        <v>49.995050999999997</v>
      </c>
      <c r="CB97" s="708">
        <f t="shared" ref="CB97:CB130" si="27">AE97</f>
        <v>0</v>
      </c>
      <c r="CC97" s="715">
        <f>W177</f>
        <v>0</v>
      </c>
      <c r="CD97" s="647">
        <f t="shared" ref="CD97:CD130" si="28">AE97</f>
        <v>0</v>
      </c>
      <c r="CE97" s="715">
        <f>W177</f>
        <v>0</v>
      </c>
      <c r="CG97" s="956">
        <f>$I97*$E$75*$L97</f>
        <v>1241.0294809144502</v>
      </c>
      <c r="CH97" s="957">
        <f>$I97*$J$75*M97</f>
        <v>480.37399835396275</v>
      </c>
      <c r="CI97" s="957">
        <f>$I97*$K$75*N97</f>
        <v>1987.1941374642606</v>
      </c>
      <c r="CJ97" s="957">
        <f>$I97*$L$75*O97</f>
        <v>2826.4472020826624</v>
      </c>
      <c r="CK97" s="957">
        <f>$I97*$M$75*P97</f>
        <v>38.271412028200224</v>
      </c>
      <c r="CL97" s="957">
        <f>SUM(CG97:CK97)</f>
        <v>6573.3162308435358</v>
      </c>
      <c r="CM97" s="1130">
        <f>AH97-CL97</f>
        <v>0</v>
      </c>
    </row>
    <row r="98" spans="1:91">
      <c r="A98" s="127">
        <f>'Input data'!A118</f>
        <v>2018</v>
      </c>
      <c r="B98" s="662">
        <f>'Input data'!B118</f>
        <v>57.436000617299655</v>
      </c>
      <c r="C98" s="236">
        <f>'Input data'!C118</f>
        <v>3150.6223338999603</v>
      </c>
      <c r="D98" s="1554">
        <f>'Input data'!D118</f>
        <v>50343843.445756853</v>
      </c>
      <c r="E98" s="1456">
        <f t="shared" ref="E98:E129" si="29">($E$130-$E$97)/($A$130-$A$97)+E97</f>
        <v>0.72344242424242422</v>
      </c>
      <c r="F98" s="1506">
        <f t="shared" ref="F98:F129" si="30">($F$130-$F$97)/($A$130-$A$97)+F97</f>
        <v>0.29195303030303027</v>
      </c>
      <c r="G98" s="1511">
        <f>B98*F98*'Input data'!$C$9</f>
        <v>513.23849841295737</v>
      </c>
      <c r="H98" s="1510">
        <f>'Input data'!I118</f>
        <v>424.26313389388866</v>
      </c>
      <c r="I98" s="1511">
        <f>'Input data'!K118</f>
        <v>24367.977620226877</v>
      </c>
      <c r="J98" s="1511">
        <f>$J$97*(1+(($J$110/$J$97)^(1/($A$110-$A$97))-1))^(A98-$A$97)</f>
        <v>10565.405667134863</v>
      </c>
      <c r="K98" s="1513">
        <f>I98*$B$10-J98</f>
        <v>758.84307612277735</v>
      </c>
      <c r="L98" s="1506">
        <f t="shared" ref="L98:L106" si="31">($L$110-$L$97)/($A$110-$A$97)+L97</f>
        <v>0.57999999999999996</v>
      </c>
      <c r="M98" s="1506">
        <f t="shared" ref="M98:M106" si="32">($M$110-$M$97)/($A$110-$A$97)+M97</f>
        <v>0.437</v>
      </c>
      <c r="N98" s="1506">
        <f t="shared" ref="N98:N106" si="33">($N$110-$N$97)/($A$110-$A$97)+N97</f>
        <v>0.71200000000000008</v>
      </c>
      <c r="O98" s="1506">
        <f t="shared" ref="O98:O106" si="34">($O$110-$O$97)/($A$110-$A$97)+O97</f>
        <v>0.8</v>
      </c>
      <c r="P98" s="1506">
        <f t="shared" ref="P98:P109" si="35">($P$110-$P$97)/($A$110-$A$97)+P97</f>
        <v>0.23600000000000002</v>
      </c>
      <c r="Q98" s="1510">
        <f t="shared" ref="Q98:Q130" si="36">H98*$E$75*L98*B98-H98*$E$75*$L$97*B98</f>
        <v>0</v>
      </c>
      <c r="R98" s="1511">
        <f t="shared" ref="R98:R130" si="37">H98*$J$75*M98*B98-H98*$J$75*$M$97*B98</f>
        <v>0</v>
      </c>
      <c r="S98" s="1511">
        <f t="shared" ref="S98:S130" si="38">H98*$K$75*N98*B98-H98*$K$75*$N$97*B98</f>
        <v>0</v>
      </c>
      <c r="T98" s="1511">
        <f t="shared" ref="T98:T130" si="39">H98*$L$75*O98*B98-H98*$L$75*$O$97*B98</f>
        <v>0</v>
      </c>
      <c r="U98" s="1513">
        <f t="shared" ref="U98:U130" si="40">H98*$M$75*P98*B98-H98*$M$75*$P$97*B98</f>
        <v>0</v>
      </c>
      <c r="V98" s="1511">
        <f t="shared" si="10"/>
        <v>0</v>
      </c>
      <c r="W98" s="1456">
        <f>($W$102-$W$97)/($A$102-$A$97)+W97</f>
        <v>0.05</v>
      </c>
      <c r="X98" s="530">
        <f t="shared" ref="X98:X130" si="41">W98*($C$76+$D$76)*$B$10*$I$97</f>
        <v>303.3485470302071</v>
      </c>
      <c r="Y98" s="528">
        <f>X98+V98</f>
        <v>303.3485470302071</v>
      </c>
      <c r="Z98" s="528">
        <f>I98*$B$10-Y98</f>
        <v>11020.900196227432</v>
      </c>
      <c r="AA98" s="530">
        <f>Z98-J98</f>
        <v>455.49452909256979</v>
      </c>
      <c r="AB98" s="1091">
        <f t="shared" ref="AB98:AB130" si="42">AA98/Z98</f>
        <v>4.1330065691774456E-2</v>
      </c>
      <c r="AC98" s="135" t="str">
        <f t="shared" ref="AC98:AC130" si="43">IF(AND(AB98&gt;=0,AB98&lt;=1),"Yes","No")</f>
        <v>Yes</v>
      </c>
      <c r="AD98" s="1091">
        <f t="shared" ref="AD98:AD130" si="44">IF(AB98&lt;=0,0,IF(AB98&gt;=1,1,AB98))</f>
        <v>4.1330065691774456E-2</v>
      </c>
      <c r="AE98" s="649">
        <f t="shared" si="11"/>
        <v>2.3712632285903479E-2</v>
      </c>
      <c r="AF98" s="530">
        <f t="shared" ref="AF98:AF130" si="45">AK98/B98</f>
        <v>414.20273820739789</v>
      </c>
      <c r="AG98" s="527">
        <f t="shared" ref="AG98:AG130" si="46">J98</f>
        <v>10565.405667134863</v>
      </c>
      <c r="AH98" s="528">
        <f>IF(V98+I98*$C$10*$G$10&lt;AH97,AH97,V98+I98*$C$10*$G$10)</f>
        <v>6679.6175321884148</v>
      </c>
      <c r="AI98" s="528">
        <f>IF(($C$10*$H$10*$I$98+X98)&lt;AI97,AI97,($C$10*$H$10*$I$98+X98))</f>
        <v>3707.5235423427162</v>
      </c>
      <c r="AJ98" s="528">
        <f t="shared" si="12"/>
        <v>2837.6019857013189</v>
      </c>
      <c r="AK98" s="528">
        <f t="shared" ref="AK98:AK130" si="47">SUM(AG98:AJ98)</f>
        <v>23790.148727367312</v>
      </c>
      <c r="AL98" s="716">
        <f t="shared" si="13"/>
        <v>0</v>
      </c>
      <c r="AM98" s="649">
        <f t="shared" ref="AM98:AM130" si="48">AG98/AK98</f>
        <v>0.44410843278927503</v>
      </c>
      <c r="AN98" s="417">
        <f t="shared" ref="AN98:AN130" si="49">AH98/AK98</f>
        <v>0.28077241587415669</v>
      </c>
      <c r="AO98" s="417">
        <f t="shared" ref="AO98:AO130" si="50">AI98/AK98</f>
        <v>0.15584280639984893</v>
      </c>
      <c r="AP98" s="417">
        <f t="shared" ref="AP98:AP130" si="51">AJ98/AK98</f>
        <v>0.11927634493671938</v>
      </c>
      <c r="AQ98" s="525">
        <f t="shared" ref="AQ98:AQ130" si="52">SUM(AM98:AP98)</f>
        <v>1</v>
      </c>
      <c r="AR98" s="1086">
        <f t="shared" si="14"/>
        <v>2477.4246577830618</v>
      </c>
      <c r="AS98" s="938">
        <f t="shared" si="15"/>
        <v>3142.0447001476628</v>
      </c>
      <c r="AT98" s="938">
        <f t="shared" si="16"/>
        <v>640.49769084650916</v>
      </c>
      <c r="AU98" s="938">
        <f t="shared" si="17"/>
        <v>0</v>
      </c>
      <c r="AV98" s="938">
        <f t="shared" si="18"/>
        <v>0</v>
      </c>
      <c r="AW98" s="938">
        <f t="shared" si="19"/>
        <v>0</v>
      </c>
      <c r="AX98" s="938">
        <f t="shared" si="20"/>
        <v>2726.1745621769855</v>
      </c>
      <c r="AY98" s="938">
        <f t="shared" si="21"/>
        <v>394.14268498283207</v>
      </c>
      <c r="AZ98" s="938">
        <f t="shared" si="22"/>
        <v>572.88435807130634</v>
      </c>
      <c r="BA98" s="938">
        <f t="shared" si="23"/>
        <v>503.61082787040573</v>
      </c>
      <c r="BB98" s="938">
        <f t="shared" si="24"/>
        <v>108.62618525609734</v>
      </c>
      <c r="BC98" s="530">
        <f t="shared" ref="BC98:BC130" si="53">SUM(AR98:BB98)</f>
        <v>10565.405667134857</v>
      </c>
      <c r="BD98" s="724">
        <f t="shared" ref="BD98:BD130" si="54">BC98-AG98</f>
        <v>0</v>
      </c>
      <c r="BE98" s="436">
        <f t="shared" ref="BE98:BE130" si="55">AR98/BC98</f>
        <v>0.23448457502104542</v>
      </c>
      <c r="BF98" s="624">
        <f t="shared" ref="BF98:BF129" si="56">AS98/BC98</f>
        <v>0.29738987778968334</v>
      </c>
      <c r="BG98" s="624">
        <f t="shared" ref="BG98:BG130" si="57">AT98/BC98</f>
        <v>6.0622157920435092E-2</v>
      </c>
      <c r="BH98" s="624">
        <f t="shared" ref="BH98:BH130" si="58">AU98/BC98</f>
        <v>0</v>
      </c>
      <c r="BI98" s="624">
        <f t="shared" ref="BI98:BI130" si="59">AV98/BC98</f>
        <v>0</v>
      </c>
      <c r="BJ98" s="624">
        <f t="shared" ref="BJ98:BJ130" si="60">AW98/BC98</f>
        <v>0</v>
      </c>
      <c r="BK98" s="624">
        <f t="shared" ref="BK98:BK130" si="61">SUM(AX98:BB98)/BC98</f>
        <v>0.4075033892688365</v>
      </c>
      <c r="BL98" s="624">
        <f t="shared" ref="BL98:BL130" si="62">SUM(BE98:BK98)</f>
        <v>1.0000000000000004</v>
      </c>
      <c r="BM98" s="649">
        <f>BM97</f>
        <v>0.29028184578274857</v>
      </c>
      <c r="BN98" s="417">
        <f t="shared" ref="BN98:BS113" si="63">BN97</f>
        <v>0.30317187715157518</v>
      </c>
      <c r="BO98" s="417">
        <f t="shared" si="63"/>
        <v>8.2805443243048754E-2</v>
      </c>
      <c r="BP98" s="417">
        <f t="shared" si="63"/>
        <v>0</v>
      </c>
      <c r="BQ98" s="417">
        <f t="shared" si="63"/>
        <v>0</v>
      </c>
      <c r="BR98" s="417">
        <f t="shared" si="63"/>
        <v>0</v>
      </c>
      <c r="BS98" s="417">
        <f t="shared" si="63"/>
        <v>0.32374083382262742</v>
      </c>
      <c r="BT98" s="525">
        <f>SUM(BM98:BS98)</f>
        <v>0.99999999999999989</v>
      </c>
      <c r="BV98" s="527">
        <f t="shared" ref="BV98:BV130" si="64">(AK98+AC138)*1000/10^6</f>
        <v>108.35289622576529</v>
      </c>
      <c r="BW98" s="114">
        <f t="shared" ref="BW98:BW130" si="65">((AK98-AM98*AK98)+(AC138-AC138*AE138))/(AK98+AC138)</f>
        <v>0.30364986200065908</v>
      </c>
      <c r="BX98" s="1695">
        <f t="shared" si="25"/>
        <v>50.343843445756853</v>
      </c>
      <c r="BY98" s="527">
        <f t="shared" ref="BY98:BY130" si="66">(AK98+AC178)*1000/10^6</f>
        <v>108.35289622576529</v>
      </c>
      <c r="BZ98" s="417">
        <f t="shared" ref="BZ98:BZ130" si="67">((AK98-AM98*AK98)+(AC178-AC178*AE178))/(AK98+AC178)</f>
        <v>0.30364986200065908</v>
      </c>
      <c r="CA98" s="544">
        <f t="shared" si="26"/>
        <v>50.343843445756853</v>
      </c>
      <c r="CB98" s="649">
        <f t="shared" si="27"/>
        <v>2.3712632285903479E-2</v>
      </c>
      <c r="CC98" s="525">
        <f t="shared" ref="CC98:CC130" si="68">W178</f>
        <v>4.314299592681492E-2</v>
      </c>
      <c r="CD98" s="417">
        <f t="shared" si="28"/>
        <v>2.3712632285903479E-2</v>
      </c>
      <c r="CE98" s="525">
        <f t="shared" ref="CE98:CE130" si="69">W178</f>
        <v>4.314299592681492E-2</v>
      </c>
      <c r="CG98" s="527">
        <f t="shared" ref="CG98:CG130" si="70">$I98*$E$75*$L98</f>
        <v>1261.0989624661745</v>
      </c>
      <c r="CH98" s="528">
        <f t="shared" ref="CH98:CH130" si="71">$I98*$J$75*M98</f>
        <v>488.14243354922417</v>
      </c>
      <c r="CI98" s="528">
        <f t="shared" ref="CI98:CI130" si="72">$I98*$K$75*N98</f>
        <v>2019.3303249560734</v>
      </c>
      <c r="CJ98" s="528">
        <f t="shared" ref="CJ98:CJ130" si="73">$I98*$L$75*O98</f>
        <v>2872.155487704792</v>
      </c>
      <c r="CK98" s="528">
        <f t="shared" ref="CK98:CK130" si="74">$I98*$M$75*P98</f>
        <v>38.890323512150175</v>
      </c>
      <c r="CL98" s="528">
        <f t="shared" ref="CL98:CL130" si="75">SUM(CG98:CK98)</f>
        <v>6679.6175321884139</v>
      </c>
      <c r="CM98" s="646">
        <f t="shared" ref="CM98:CM130" si="76">AH98-CL98</f>
        <v>0</v>
      </c>
    </row>
    <row r="99" spans="1:91">
      <c r="A99" s="873">
        <f>'Input data'!A119</f>
        <v>2019</v>
      </c>
      <c r="B99" s="1553">
        <f>'Input data'!B119</f>
        <v>58.364834921819444</v>
      </c>
      <c r="C99" s="1552">
        <f>'Input data'!C119</f>
        <v>3168.3184457469288</v>
      </c>
      <c r="D99" s="1554">
        <f>'Input data'!D119</f>
        <v>48412890.850439847</v>
      </c>
      <c r="E99" s="1456">
        <f t="shared" si="29"/>
        <v>0.73208484848484845</v>
      </c>
      <c r="F99" s="1506">
        <f t="shared" si="30"/>
        <v>0.29430606060606057</v>
      </c>
      <c r="G99" s="1511">
        <f>B99*F99*'Input data'!$C$9</f>
        <v>525.74180751182632</v>
      </c>
      <c r="H99" s="1510">
        <f>'Input data'!I119</f>
        <v>424.26313389388866</v>
      </c>
      <c r="I99" s="1511">
        <f>'Input data'!K119</f>
        <v>24762.047773130591</v>
      </c>
      <c r="J99" s="1511">
        <f t="shared" ref="J99:J109" si="77">$J$97*(1+(($J$110/$J$97)^(1/($A$110-$A$97))-1))^(A99-$A$97)</f>
        <v>10016.823542882215</v>
      </c>
      <c r="K99" s="1513">
        <f t="shared" ref="K99:K130" si="78">I99*$B$10-J99</f>
        <v>1490.5568702794153</v>
      </c>
      <c r="L99" s="1506">
        <f t="shared" si="31"/>
        <v>0.57999999999999996</v>
      </c>
      <c r="M99" s="1506">
        <f t="shared" si="32"/>
        <v>0.437</v>
      </c>
      <c r="N99" s="1506">
        <f t="shared" si="33"/>
        <v>0.71200000000000008</v>
      </c>
      <c r="O99" s="1506">
        <f t="shared" si="34"/>
        <v>0.8</v>
      </c>
      <c r="P99" s="1506">
        <f t="shared" si="35"/>
        <v>0.23600000000000002</v>
      </c>
      <c r="Q99" s="1510">
        <f t="shared" si="36"/>
        <v>0</v>
      </c>
      <c r="R99" s="1511">
        <f t="shared" si="37"/>
        <v>0</v>
      </c>
      <c r="S99" s="1511">
        <f t="shared" si="38"/>
        <v>0</v>
      </c>
      <c r="T99" s="1511">
        <f t="shared" si="39"/>
        <v>0</v>
      </c>
      <c r="U99" s="1513">
        <f t="shared" si="40"/>
        <v>0</v>
      </c>
      <c r="V99" s="1511">
        <f t="shared" si="10"/>
        <v>0</v>
      </c>
      <c r="W99" s="1456">
        <f>($W$102-$W$97)/($A$102-$A$97)+W98</f>
        <v>0.1</v>
      </c>
      <c r="X99" s="530">
        <f t="shared" si="41"/>
        <v>606.6970940604142</v>
      </c>
      <c r="Y99" s="528">
        <f t="shared" ref="Y99:Y130" si="79">X99+V99</f>
        <v>606.6970940604142</v>
      </c>
      <c r="Z99" s="528">
        <f t="shared" ref="Z99:Z130" si="80">I99*$B$10-Y99</f>
        <v>10900.683319101216</v>
      </c>
      <c r="AA99" s="530">
        <f t="shared" ref="AA99:AA130" si="81">Z99-J99</f>
        <v>883.8597762190002</v>
      </c>
      <c r="AB99" s="1091">
        <f t="shared" si="42"/>
        <v>8.1082969786877207E-2</v>
      </c>
      <c r="AC99" s="135" t="str">
        <f t="shared" si="43"/>
        <v>Yes</v>
      </c>
      <c r="AD99" s="1091">
        <f t="shared" si="44"/>
        <v>8.1082969786877207E-2</v>
      </c>
      <c r="AE99" s="649">
        <f t="shared" si="11"/>
        <v>4.7766344222348933E-2</v>
      </c>
      <c r="AF99" s="530">
        <f t="shared" si="45"/>
        <v>403.99763499946062</v>
      </c>
      <c r="AG99" s="527">
        <f t="shared" si="46"/>
        <v>10016.823542882215</v>
      </c>
      <c r="AH99" s="528">
        <f t="shared" ref="AH99:AH130" si="82">IF(V99+I99*$C$10*$G$10&lt;AH98,AH98,V99+I99*$C$10*$G$10)</f>
        <v>6787.6378998722266</v>
      </c>
      <c r="AI99" s="528">
        <f t="shared" ref="AI99:AI130" si="83">IF(($C$10*$H$10*$I$98+X99)&lt;AI98,AI98,($C$10*$H$10*$I$98+X99))</f>
        <v>4010.8720893729233</v>
      </c>
      <c r="AJ99" s="528">
        <f t="shared" si="12"/>
        <v>2763.9217434216189</v>
      </c>
      <c r="AK99" s="528">
        <f t="shared" si="47"/>
        <v>23579.255275548985</v>
      </c>
      <c r="AL99" s="716">
        <f t="shared" si="13"/>
        <v>0</v>
      </c>
      <c r="AM99" s="649">
        <f t="shared" si="48"/>
        <v>0.42481509385367977</v>
      </c>
      <c r="AN99" s="417">
        <f t="shared" si="49"/>
        <v>0.28786481254608637</v>
      </c>
      <c r="AO99" s="417">
        <f t="shared" si="50"/>
        <v>0.17010172893509842</v>
      </c>
      <c r="AP99" s="417">
        <f t="shared" si="51"/>
        <v>0.11721836466513541</v>
      </c>
      <c r="AQ99" s="525">
        <f t="shared" si="52"/>
        <v>1</v>
      </c>
      <c r="AR99" s="1086">
        <f t="shared" si="14"/>
        <v>2292.192095004486</v>
      </c>
      <c r="AS99" s="938">
        <f t="shared" si="15"/>
        <v>2907.1196983540644</v>
      </c>
      <c r="AT99" s="938">
        <f t="shared" si="16"/>
        <v>623.86673792254021</v>
      </c>
      <c r="AU99" s="938">
        <f t="shared" si="17"/>
        <v>0</v>
      </c>
      <c r="AV99" s="938">
        <f t="shared" si="18"/>
        <v>0</v>
      </c>
      <c r="AW99" s="938">
        <f t="shared" si="19"/>
        <v>0</v>
      </c>
      <c r="AX99" s="938">
        <f t="shared" si="20"/>
        <v>2655.387607822528</v>
      </c>
      <c r="AY99" s="938">
        <f t="shared" si="21"/>
        <v>383.90850532386588</v>
      </c>
      <c r="AZ99" s="938">
        <f t="shared" si="22"/>
        <v>558.009030765489</v>
      </c>
      <c r="BA99" s="938">
        <f t="shared" si="23"/>
        <v>490.53423432446442</v>
      </c>
      <c r="BB99" s="938">
        <f t="shared" si="24"/>
        <v>105.80563336477537</v>
      </c>
      <c r="BC99" s="530">
        <f t="shared" si="53"/>
        <v>10016.823542882212</v>
      </c>
      <c r="BD99" s="724">
        <f t="shared" si="54"/>
        <v>0</v>
      </c>
      <c r="BE99" s="436">
        <f t="shared" si="55"/>
        <v>0.22883422925357205</v>
      </c>
      <c r="BF99" s="624">
        <f t="shared" si="56"/>
        <v>0.29022371073111447</v>
      </c>
      <c r="BG99" s="624">
        <f t="shared" si="57"/>
        <v>6.2281893581508638E-2</v>
      </c>
      <c r="BH99" s="624">
        <f t="shared" si="58"/>
        <v>0</v>
      </c>
      <c r="BI99" s="624">
        <f t="shared" si="59"/>
        <v>0</v>
      </c>
      <c r="BJ99" s="624">
        <f t="shared" si="60"/>
        <v>0</v>
      </c>
      <c r="BK99" s="624">
        <f t="shared" si="61"/>
        <v>0.41866016643380499</v>
      </c>
      <c r="BL99" s="624">
        <f t="shared" si="62"/>
        <v>1</v>
      </c>
      <c r="BM99" s="649">
        <f t="shared" ref="BM99:BS114" si="84">BM98</f>
        <v>0.29028184578274857</v>
      </c>
      <c r="BN99" s="417">
        <f t="shared" si="63"/>
        <v>0.30317187715157518</v>
      </c>
      <c r="BO99" s="417">
        <f t="shared" si="63"/>
        <v>8.2805443243048754E-2</v>
      </c>
      <c r="BP99" s="417">
        <f t="shared" si="63"/>
        <v>0</v>
      </c>
      <c r="BQ99" s="417">
        <f t="shared" si="63"/>
        <v>0</v>
      </c>
      <c r="BR99" s="417">
        <f t="shared" si="63"/>
        <v>0</v>
      </c>
      <c r="BS99" s="417">
        <f t="shared" si="63"/>
        <v>0.32374083382262742</v>
      </c>
      <c r="BT99" s="525">
        <f t="shared" ref="BT99:BT130" si="85">SUM(BM99:BS99)</f>
        <v>0.99999999999999989</v>
      </c>
      <c r="BV99" s="527">
        <f t="shared" si="64"/>
        <v>105.1186362544142</v>
      </c>
      <c r="BW99" s="114">
        <f t="shared" si="65"/>
        <v>0.31949343574792161</v>
      </c>
      <c r="BX99" s="1695">
        <f t="shared" si="25"/>
        <v>48.412890850439844</v>
      </c>
      <c r="BY99" s="527">
        <f t="shared" si="66"/>
        <v>105.1186362544142</v>
      </c>
      <c r="BZ99" s="417">
        <f t="shared" si="67"/>
        <v>0.31949343574792161</v>
      </c>
      <c r="CA99" s="544">
        <f t="shared" si="26"/>
        <v>48.412890850439844</v>
      </c>
      <c r="CB99" s="649">
        <f t="shared" si="27"/>
        <v>4.7766344222348933E-2</v>
      </c>
      <c r="CC99" s="525">
        <f t="shared" si="68"/>
        <v>5.9068989673516037E-2</v>
      </c>
      <c r="CD99" s="417">
        <f t="shared" si="28"/>
        <v>4.7766344222348933E-2</v>
      </c>
      <c r="CE99" s="525">
        <f t="shared" si="69"/>
        <v>5.9068989673516037E-2</v>
      </c>
      <c r="CG99" s="527">
        <f t="shared" si="70"/>
        <v>1281.4930004413759</v>
      </c>
      <c r="CH99" s="528">
        <f t="shared" si="71"/>
        <v>496.03649707905373</v>
      </c>
      <c r="CI99" s="528">
        <f t="shared" si="72"/>
        <v>2051.9862072915043</v>
      </c>
      <c r="CJ99" s="528">
        <f t="shared" si="73"/>
        <v>2918.602951250703</v>
      </c>
      <c r="CK99" s="528">
        <f t="shared" si="74"/>
        <v>39.519243809589504</v>
      </c>
      <c r="CL99" s="528">
        <f t="shared" si="75"/>
        <v>6787.6378998722266</v>
      </c>
      <c r="CM99" s="646">
        <f t="shared" si="76"/>
        <v>0</v>
      </c>
    </row>
    <row r="100" spans="1:91">
      <c r="A100" s="873">
        <f>'Input data'!A120</f>
        <v>2020</v>
      </c>
      <c r="B100" s="1553">
        <f>'Input data'!B120</f>
        <v>59.308690000000006</v>
      </c>
      <c r="C100" s="1552">
        <f>'Input data'!C120</f>
        <v>2944.9182124750064</v>
      </c>
      <c r="D100" s="1554">
        <f>'Input data'!D120</f>
        <v>45517474.780710384</v>
      </c>
      <c r="E100" s="1456">
        <f t="shared" si="29"/>
        <v>0.74072727272727268</v>
      </c>
      <c r="F100" s="1506">
        <f t="shared" si="30"/>
        <v>0.29665909090909087</v>
      </c>
      <c r="G100" s="1511">
        <f>B100*F100*'Input data'!$C$9</f>
        <v>538.51529150686906</v>
      </c>
      <c r="H100" s="1510">
        <f>'Input data'!I120</f>
        <v>424.26313389388866</v>
      </c>
      <c r="I100" s="1511">
        <f>'Input data'!K120</f>
        <v>25162.490686541139</v>
      </c>
      <c r="J100" s="1511">
        <f t="shared" si="77"/>
        <v>9496.7251661098635</v>
      </c>
      <c r="K100" s="1513">
        <f t="shared" si="78"/>
        <v>2196.7484563286725</v>
      </c>
      <c r="L100" s="1506">
        <f t="shared" si="31"/>
        <v>0.57999999999999996</v>
      </c>
      <c r="M100" s="1506">
        <f t="shared" si="32"/>
        <v>0.437</v>
      </c>
      <c r="N100" s="1506">
        <f t="shared" si="33"/>
        <v>0.71200000000000008</v>
      </c>
      <c r="O100" s="1506">
        <f t="shared" si="34"/>
        <v>0.8</v>
      </c>
      <c r="P100" s="1506">
        <f t="shared" si="35"/>
        <v>0.23600000000000002</v>
      </c>
      <c r="Q100" s="1510">
        <f t="shared" si="36"/>
        <v>0</v>
      </c>
      <c r="R100" s="1511">
        <f t="shared" si="37"/>
        <v>0</v>
      </c>
      <c r="S100" s="1511">
        <f t="shared" si="38"/>
        <v>0</v>
      </c>
      <c r="T100" s="1511">
        <f t="shared" si="39"/>
        <v>0</v>
      </c>
      <c r="U100" s="1513">
        <f t="shared" si="40"/>
        <v>0</v>
      </c>
      <c r="V100" s="1511">
        <f t="shared" si="10"/>
        <v>0</v>
      </c>
      <c r="W100" s="1456">
        <f>($W$102-$W$97)/($A$102-$A$97)+W99</f>
        <v>0.15000000000000002</v>
      </c>
      <c r="X100" s="530">
        <f t="shared" si="41"/>
        <v>910.0456410906213</v>
      </c>
      <c r="Y100" s="528">
        <f t="shared" si="79"/>
        <v>910.0456410906213</v>
      </c>
      <c r="Z100" s="528">
        <f t="shared" si="80"/>
        <v>10783.427981347915</v>
      </c>
      <c r="AA100" s="530">
        <f t="shared" si="81"/>
        <v>1286.7028152380517</v>
      </c>
      <c r="AB100" s="1091">
        <f t="shared" si="42"/>
        <v>0.11932224311820511</v>
      </c>
      <c r="AC100" s="135" t="str">
        <f t="shared" si="43"/>
        <v>Yes</v>
      </c>
      <c r="AD100" s="1091">
        <f t="shared" si="44"/>
        <v>0.11932224311820511</v>
      </c>
      <c r="AE100" s="649">
        <f t="shared" si="11"/>
        <v>7.0040644951311681E-2</v>
      </c>
      <c r="AF100" s="530">
        <f t="shared" si="45"/>
        <v>394.54747036689599</v>
      </c>
      <c r="AG100" s="527">
        <f t="shared" si="46"/>
        <v>9496.7251661098635</v>
      </c>
      <c r="AH100" s="528">
        <f t="shared" si="82"/>
        <v>6897.4051340163305</v>
      </c>
      <c r="AI100" s="528">
        <f t="shared" si="83"/>
        <v>4314.2206364031299</v>
      </c>
      <c r="AJ100" s="528">
        <f t="shared" si="12"/>
        <v>2691.7426737450974</v>
      </c>
      <c r="AK100" s="528">
        <f t="shared" si="47"/>
        <v>23400.093610274424</v>
      </c>
      <c r="AL100" s="716">
        <f t="shared" si="13"/>
        <v>0</v>
      </c>
      <c r="AM100" s="649">
        <f t="shared" si="48"/>
        <v>0.40584133227313579</v>
      </c>
      <c r="AN100" s="417">
        <f t="shared" si="49"/>
        <v>0.29475972399477257</v>
      </c>
      <c r="AO100" s="417">
        <f t="shared" si="50"/>
        <v>0.1843676657134764</v>
      </c>
      <c r="AP100" s="417">
        <f t="shared" si="51"/>
        <v>0.11503127801861517</v>
      </c>
      <c r="AQ100" s="525">
        <f t="shared" si="52"/>
        <v>0.99999999999999989</v>
      </c>
      <c r="AR100" s="1086">
        <f t="shared" si="14"/>
        <v>2118.3634654455441</v>
      </c>
      <c r="AS100" s="938">
        <f t="shared" si="15"/>
        <v>2686.6579690644407</v>
      </c>
      <c r="AT100" s="938">
        <f t="shared" si="16"/>
        <v>607.57462659465943</v>
      </c>
      <c r="AU100" s="938">
        <f t="shared" si="17"/>
        <v>0</v>
      </c>
      <c r="AV100" s="938">
        <f t="shared" si="18"/>
        <v>0</v>
      </c>
      <c r="AW100" s="938">
        <f t="shared" si="19"/>
        <v>0</v>
      </c>
      <c r="AX100" s="938">
        <f t="shared" si="20"/>
        <v>2586.042877777486</v>
      </c>
      <c r="AY100" s="938">
        <f t="shared" si="21"/>
        <v>373.88283841736489</v>
      </c>
      <c r="AZ100" s="938">
        <f t="shared" si="22"/>
        <v>543.43677566904421</v>
      </c>
      <c r="BA100" s="938">
        <f t="shared" si="23"/>
        <v>477.72406530926179</v>
      </c>
      <c r="BB100" s="938">
        <f t="shared" si="24"/>
        <v>103.04254783206041</v>
      </c>
      <c r="BC100" s="530">
        <f t="shared" si="53"/>
        <v>9496.7251661098617</v>
      </c>
      <c r="BD100" s="724">
        <f t="shared" si="54"/>
        <v>0</v>
      </c>
      <c r="BE100" s="436">
        <f t="shared" si="55"/>
        <v>0.22306252191072812</v>
      </c>
      <c r="BF100" s="624">
        <f t="shared" si="56"/>
        <v>0.28290362436222583</v>
      </c>
      <c r="BG100" s="624">
        <f t="shared" si="57"/>
        <v>6.3977278058215084E-2</v>
      </c>
      <c r="BH100" s="624">
        <f t="shared" si="58"/>
        <v>0</v>
      </c>
      <c r="BI100" s="624">
        <f t="shared" si="59"/>
        <v>0</v>
      </c>
      <c r="BJ100" s="624">
        <f t="shared" si="60"/>
        <v>0</v>
      </c>
      <c r="BK100" s="624">
        <f t="shared" si="61"/>
        <v>0.43005657566883099</v>
      </c>
      <c r="BL100" s="624">
        <f t="shared" si="62"/>
        <v>1</v>
      </c>
      <c r="BM100" s="649">
        <f t="shared" si="84"/>
        <v>0.29028184578274857</v>
      </c>
      <c r="BN100" s="417">
        <f t="shared" si="63"/>
        <v>0.30317187715157518</v>
      </c>
      <c r="BO100" s="417">
        <f t="shared" si="63"/>
        <v>8.2805443243048754E-2</v>
      </c>
      <c r="BP100" s="417">
        <f t="shared" si="63"/>
        <v>0</v>
      </c>
      <c r="BQ100" s="417">
        <f t="shared" si="63"/>
        <v>0</v>
      </c>
      <c r="BR100" s="417">
        <f t="shared" si="63"/>
        <v>0</v>
      </c>
      <c r="BS100" s="417">
        <f t="shared" si="63"/>
        <v>0.32374083382262742</v>
      </c>
      <c r="BT100" s="525">
        <f t="shared" si="85"/>
        <v>0.99999999999999989</v>
      </c>
      <c r="BV100" s="527">
        <f t="shared" si="64"/>
        <v>100.77627847921866</v>
      </c>
      <c r="BW100" s="114">
        <f t="shared" si="65"/>
        <v>0.32702711411175933</v>
      </c>
      <c r="BX100" s="1695">
        <f t="shared" si="25"/>
        <v>45.517474780710387</v>
      </c>
      <c r="BY100" s="527">
        <f t="shared" si="66"/>
        <v>100.77627847921866</v>
      </c>
      <c r="BZ100" s="417">
        <f t="shared" si="67"/>
        <v>0.32702711411175933</v>
      </c>
      <c r="CA100" s="544">
        <f t="shared" si="26"/>
        <v>45.517474780710387</v>
      </c>
      <c r="CB100" s="649">
        <f t="shared" si="27"/>
        <v>7.0040644951311681E-2</v>
      </c>
      <c r="CC100" s="525">
        <f t="shared" si="68"/>
        <v>4.5517071588236813E-2</v>
      </c>
      <c r="CD100" s="417">
        <f t="shared" si="28"/>
        <v>7.0040644951311681E-2</v>
      </c>
      <c r="CE100" s="525">
        <f t="shared" si="69"/>
        <v>4.5517071588236813E-2</v>
      </c>
      <c r="CG100" s="527">
        <f t="shared" si="70"/>
        <v>1302.2168434495784</v>
      </c>
      <c r="CH100" s="528">
        <f t="shared" si="71"/>
        <v>504.05822055960681</v>
      </c>
      <c r="CI100" s="528">
        <f t="shared" si="72"/>
        <v>2085.1701887882891</v>
      </c>
      <c r="CJ100" s="528">
        <f t="shared" si="73"/>
        <v>2965.801546439412</v>
      </c>
      <c r="CK100" s="528">
        <f t="shared" si="74"/>
        <v>40.158334779443209</v>
      </c>
      <c r="CL100" s="528">
        <f t="shared" si="75"/>
        <v>6897.4051340163296</v>
      </c>
      <c r="CM100" s="646">
        <f t="shared" si="76"/>
        <v>0</v>
      </c>
    </row>
    <row r="101" spans="1:91">
      <c r="A101" s="873">
        <f>'Input data'!A121</f>
        <v>2021</v>
      </c>
      <c r="B101" s="1553">
        <f>'Input data'!B121</f>
        <v>59.991580449204264</v>
      </c>
      <c r="C101" s="1552">
        <f>'Input data'!C121</f>
        <v>3018.4380966643439</v>
      </c>
      <c r="D101" s="1554">
        <f>'Input data'!D121</f>
        <v>45871162.972715415</v>
      </c>
      <c r="E101" s="1456">
        <f t="shared" si="29"/>
        <v>0.74936969696969691</v>
      </c>
      <c r="F101" s="1506">
        <f t="shared" si="30"/>
        <v>0.29901212121212117</v>
      </c>
      <c r="G101" s="1511">
        <f>B101*F101*'Input data'!$C$9</f>
        <v>549.0364074270924</v>
      </c>
      <c r="H101" s="1510">
        <f>'Input data'!I121</f>
        <v>424.26313389388866</v>
      </c>
      <c r="I101" s="1511">
        <f>'Input data'!K121</f>
        <v>25452.215928626742</v>
      </c>
      <c r="J101" s="1511">
        <f t="shared" si="77"/>
        <v>9003.6315898476932</v>
      </c>
      <c r="K101" s="1513">
        <f t="shared" si="78"/>
        <v>2824.482697471236</v>
      </c>
      <c r="L101" s="1506">
        <f t="shared" si="31"/>
        <v>0.57999999999999996</v>
      </c>
      <c r="M101" s="1506">
        <f t="shared" si="32"/>
        <v>0.437</v>
      </c>
      <c r="N101" s="1506">
        <f t="shared" si="33"/>
        <v>0.71200000000000008</v>
      </c>
      <c r="O101" s="1506">
        <f t="shared" si="34"/>
        <v>0.8</v>
      </c>
      <c r="P101" s="1506">
        <f t="shared" si="35"/>
        <v>0.23600000000000002</v>
      </c>
      <c r="Q101" s="1510">
        <f t="shared" si="36"/>
        <v>0</v>
      </c>
      <c r="R101" s="1511">
        <f t="shared" si="37"/>
        <v>0</v>
      </c>
      <c r="S101" s="1511">
        <f t="shared" si="38"/>
        <v>0</v>
      </c>
      <c r="T101" s="1511">
        <f t="shared" si="39"/>
        <v>0</v>
      </c>
      <c r="U101" s="1513">
        <f t="shared" si="40"/>
        <v>0</v>
      </c>
      <c r="V101" s="1511">
        <f t="shared" si="10"/>
        <v>0</v>
      </c>
      <c r="W101" s="1456">
        <f>($W$102-$W$97)/($A$102-$A$97)+W100</f>
        <v>0.2</v>
      </c>
      <c r="X101" s="530">
        <f t="shared" si="41"/>
        <v>1213.3941881208284</v>
      </c>
      <c r="Y101" s="528">
        <f t="shared" si="79"/>
        <v>1213.3941881208284</v>
      </c>
      <c r="Z101" s="528">
        <f t="shared" si="80"/>
        <v>10614.720099198101</v>
      </c>
      <c r="AA101" s="530">
        <f t="shared" si="81"/>
        <v>1611.0885093504075</v>
      </c>
      <c r="AB101" s="1091">
        <f t="shared" si="42"/>
        <v>0.15177870865121718</v>
      </c>
      <c r="AC101" s="135" t="str">
        <f t="shared" si="43"/>
        <v>Yes</v>
      </c>
      <c r="AD101" s="1091">
        <f t="shared" si="44"/>
        <v>0.15177870865121718</v>
      </c>
      <c r="AE101" s="649">
        <f t="shared" si="11"/>
        <v>8.7685876347071812E-2</v>
      </c>
      <c r="AF101" s="530">
        <f t="shared" si="45"/>
        <v>387.06124919664796</v>
      </c>
      <c r="AG101" s="527">
        <f t="shared" si="46"/>
        <v>9003.6315898476932</v>
      </c>
      <c r="AH101" s="528">
        <f t="shared" si="82"/>
        <v>6976.8230420886903</v>
      </c>
      <c r="AI101" s="528">
        <f t="shared" si="83"/>
        <v>4617.5691834333375</v>
      </c>
      <c r="AJ101" s="528">
        <f t="shared" si="12"/>
        <v>2622.3922545804858</v>
      </c>
      <c r="AK101" s="528">
        <f t="shared" si="47"/>
        <v>23220.416069950206</v>
      </c>
      <c r="AL101" s="716">
        <f t="shared" si="13"/>
        <v>0</v>
      </c>
      <c r="AM101" s="649">
        <f t="shared" si="48"/>
        <v>0.38774635057032381</v>
      </c>
      <c r="AN101" s="417">
        <f t="shared" si="49"/>
        <v>0.30046072478078778</v>
      </c>
      <c r="AO101" s="417">
        <f t="shared" si="50"/>
        <v>0.19885815867911963</v>
      </c>
      <c r="AP101" s="417">
        <f t="shared" si="51"/>
        <v>0.11293476596976883</v>
      </c>
      <c r="AQ101" s="525">
        <f t="shared" si="52"/>
        <v>1</v>
      </c>
      <c r="AR101" s="1086">
        <f t="shared" si="14"/>
        <v>1954.2666849985153</v>
      </c>
      <c r="AS101" s="938">
        <f t="shared" si="15"/>
        <v>2478.5388572702323</v>
      </c>
      <c r="AT101" s="938">
        <f t="shared" si="16"/>
        <v>591.92099244935036</v>
      </c>
      <c r="AU101" s="938">
        <f t="shared" si="17"/>
        <v>0</v>
      </c>
      <c r="AV101" s="938">
        <f t="shared" si="18"/>
        <v>0</v>
      </c>
      <c r="AW101" s="938">
        <f t="shared" si="19"/>
        <v>0</v>
      </c>
      <c r="AX101" s="938">
        <f t="shared" si="20"/>
        <v>2519.4157223287821</v>
      </c>
      <c r="AY101" s="938">
        <f t="shared" si="21"/>
        <v>364.2500708368654</v>
      </c>
      <c r="AZ101" s="938">
        <f t="shared" si="22"/>
        <v>529.43559771480932</v>
      </c>
      <c r="BA101" s="938">
        <f t="shared" si="23"/>
        <v>465.41591843572576</v>
      </c>
      <c r="BB101" s="938">
        <f t="shared" si="24"/>
        <v>100.38774581341113</v>
      </c>
      <c r="BC101" s="530">
        <f t="shared" si="53"/>
        <v>9003.6315898476896</v>
      </c>
      <c r="BD101" s="724">
        <f t="shared" si="54"/>
        <v>0</v>
      </c>
      <c r="BE101" s="436">
        <f t="shared" si="55"/>
        <v>0.21705315966083133</v>
      </c>
      <c r="BF101" s="624">
        <f t="shared" si="56"/>
        <v>0.27528212727684037</v>
      </c>
      <c r="BG101" s="624">
        <f t="shared" si="57"/>
        <v>6.5742471417509829E-2</v>
      </c>
      <c r="BH101" s="624">
        <f t="shared" si="58"/>
        <v>0</v>
      </c>
      <c r="BI101" s="624">
        <f t="shared" si="59"/>
        <v>0</v>
      </c>
      <c r="BJ101" s="624">
        <f t="shared" si="60"/>
        <v>0</v>
      </c>
      <c r="BK101" s="624">
        <f t="shared" si="61"/>
        <v>0.44192224164481869</v>
      </c>
      <c r="BL101" s="624">
        <f t="shared" si="62"/>
        <v>1.0000000000000002</v>
      </c>
      <c r="BM101" s="649">
        <f t="shared" si="84"/>
        <v>0.29028184578274857</v>
      </c>
      <c r="BN101" s="417">
        <f t="shared" si="63"/>
        <v>0.30317187715157518</v>
      </c>
      <c r="BO101" s="417">
        <f t="shared" si="63"/>
        <v>8.2805443243048754E-2</v>
      </c>
      <c r="BP101" s="417">
        <f t="shared" si="63"/>
        <v>0</v>
      </c>
      <c r="BQ101" s="417">
        <f t="shared" si="63"/>
        <v>0</v>
      </c>
      <c r="BR101" s="417">
        <f t="shared" si="63"/>
        <v>0</v>
      </c>
      <c r="BS101" s="417">
        <f t="shared" si="63"/>
        <v>0.32374083382262742</v>
      </c>
      <c r="BT101" s="525">
        <f t="shared" si="85"/>
        <v>0.99999999999999989</v>
      </c>
      <c r="BV101" s="527">
        <f t="shared" si="64"/>
        <v>98.401954304803496</v>
      </c>
      <c r="BW101" s="114">
        <f t="shared" si="65"/>
        <v>0.34657460964899484</v>
      </c>
      <c r="BX101" s="1695">
        <f t="shared" si="25"/>
        <v>45.871162972715418</v>
      </c>
      <c r="BY101" s="527">
        <f t="shared" si="66"/>
        <v>98.401954304803496</v>
      </c>
      <c r="BZ101" s="417">
        <f t="shared" si="67"/>
        <v>0.34657460964899484</v>
      </c>
      <c r="CA101" s="544">
        <f t="shared" si="26"/>
        <v>45.871162972715418</v>
      </c>
      <c r="CB101" s="649">
        <f t="shared" si="27"/>
        <v>8.7685876347071812E-2</v>
      </c>
      <c r="CC101" s="525">
        <f t="shared" si="68"/>
        <v>8.6574358424417741E-2</v>
      </c>
      <c r="CD101" s="417">
        <f t="shared" si="28"/>
        <v>8.7685876347071812E-2</v>
      </c>
      <c r="CE101" s="525">
        <f t="shared" si="69"/>
        <v>8.6574358424417741E-2</v>
      </c>
      <c r="CG101" s="527">
        <f t="shared" si="70"/>
        <v>1317.2107919786154</v>
      </c>
      <c r="CH101" s="528">
        <f t="shared" si="71"/>
        <v>509.86203353647488</v>
      </c>
      <c r="CI101" s="528">
        <f t="shared" si="72"/>
        <v>2109.1791966906549</v>
      </c>
      <c r="CJ101" s="528">
        <f t="shared" si="73"/>
        <v>2999.950295135407</v>
      </c>
      <c r="CK101" s="528">
        <f t="shared" si="74"/>
        <v>40.620724747537743</v>
      </c>
      <c r="CL101" s="528">
        <f t="shared" si="75"/>
        <v>6976.8230420886903</v>
      </c>
      <c r="CM101" s="646">
        <f t="shared" si="76"/>
        <v>0</v>
      </c>
    </row>
    <row r="102" spans="1:91" s="1" customFormat="1">
      <c r="A102" s="873">
        <f>'Input data'!A122</f>
        <v>2022</v>
      </c>
      <c r="B102" s="1553">
        <f>'Input data'!B122</f>
        <v>60.682333816399378</v>
      </c>
      <c r="C102" s="1552">
        <f>'Input data'!C122</f>
        <v>3086.0582602351519</v>
      </c>
      <c r="D102" s="1554">
        <f>'Input data'!D122</f>
        <v>45764081.347342722</v>
      </c>
      <c r="E102" s="1456">
        <f t="shared" si="29"/>
        <v>0.75801212121212114</v>
      </c>
      <c r="F102" s="1506">
        <f t="shared" si="30"/>
        <v>0.30136515151515147</v>
      </c>
      <c r="G102" s="1511">
        <f>B102*F102*'Input data'!$C$9</f>
        <v>559.72841293499425</v>
      </c>
      <c r="H102" s="1510">
        <f>'Input data'!I122</f>
        <v>424.26313389388866</v>
      </c>
      <c r="I102" s="1511">
        <f>'Input data'!K122</f>
        <v>25745.277116940699</v>
      </c>
      <c r="J102" s="1511">
        <f>$J$97*(1+(($J$110/$J$97)^(1/($A$110-$A$97))-1))^(A102-$A$97)</f>
        <v>8536.1406577284433</v>
      </c>
      <c r="K102" s="1513">
        <f t="shared" si="78"/>
        <v>3428.1645702251008</v>
      </c>
      <c r="L102" s="1506">
        <f t="shared" si="31"/>
        <v>0.57999999999999996</v>
      </c>
      <c r="M102" s="1506">
        <f t="shared" si="32"/>
        <v>0.437</v>
      </c>
      <c r="N102" s="1506">
        <f t="shared" si="33"/>
        <v>0.71200000000000008</v>
      </c>
      <c r="O102" s="1506">
        <f t="shared" si="34"/>
        <v>0.8</v>
      </c>
      <c r="P102" s="1506">
        <f t="shared" si="35"/>
        <v>0.23600000000000002</v>
      </c>
      <c r="Q102" s="1510">
        <f t="shared" si="36"/>
        <v>0</v>
      </c>
      <c r="R102" s="1511">
        <f t="shared" si="37"/>
        <v>0</v>
      </c>
      <c r="S102" s="1511">
        <f t="shared" si="38"/>
        <v>0</v>
      </c>
      <c r="T102" s="1511">
        <f t="shared" si="39"/>
        <v>0</v>
      </c>
      <c r="U102" s="1513">
        <f t="shared" si="40"/>
        <v>0</v>
      </c>
      <c r="V102" s="1511">
        <f t="shared" si="10"/>
        <v>0</v>
      </c>
      <c r="W102" s="1456">
        <f>$C$26</f>
        <v>0.25</v>
      </c>
      <c r="X102" s="530">
        <f t="shared" si="41"/>
        <v>1516.7427351510353</v>
      </c>
      <c r="Y102" s="528">
        <f t="shared" si="79"/>
        <v>1516.7427351510353</v>
      </c>
      <c r="Z102" s="528">
        <f t="shared" si="80"/>
        <v>10447.562492802508</v>
      </c>
      <c r="AA102" s="530">
        <f t="shared" si="81"/>
        <v>1911.4218350740648</v>
      </c>
      <c r="AB102" s="1091">
        <f t="shared" si="42"/>
        <v>0.18295385515912191</v>
      </c>
      <c r="AC102" s="135" t="str">
        <f t="shared" si="43"/>
        <v>Yes</v>
      </c>
      <c r="AD102" s="1091">
        <f t="shared" si="44"/>
        <v>0.18295385515912191</v>
      </c>
      <c r="AE102" s="649">
        <f t="shared" si="11"/>
        <v>0.10394016738010314</v>
      </c>
      <c r="AF102" s="530">
        <f t="shared" si="45"/>
        <v>380.16515274375075</v>
      </c>
      <c r="AG102" s="527">
        <f t="shared" si="46"/>
        <v>8536.1406577284433</v>
      </c>
      <c r="AH102" s="528">
        <f t="shared" si="82"/>
        <v>7057.1553816030291</v>
      </c>
      <c r="AI102" s="528">
        <f t="shared" si="83"/>
        <v>4920.9177304635441</v>
      </c>
      <c r="AJ102" s="528">
        <f t="shared" si="12"/>
        <v>2555.094934363724</v>
      </c>
      <c r="AK102" s="528">
        <f t="shared" si="47"/>
        <v>23069.308704158742</v>
      </c>
      <c r="AL102" s="716">
        <f t="shared" si="13"/>
        <v>0</v>
      </c>
      <c r="AM102" s="649">
        <f t="shared" si="48"/>
        <v>0.37002151937867211</v>
      </c>
      <c r="AN102" s="417">
        <f t="shared" si="49"/>
        <v>0.30591100375412739</v>
      </c>
      <c r="AO102" s="417">
        <f t="shared" si="50"/>
        <v>0.21331015131703718</v>
      </c>
      <c r="AP102" s="417">
        <f t="shared" si="51"/>
        <v>0.11075732555016322</v>
      </c>
      <c r="AQ102" s="525">
        <f t="shared" si="52"/>
        <v>1</v>
      </c>
      <c r="AR102" s="1086">
        <f t="shared" si="14"/>
        <v>1799.879546845305</v>
      </c>
      <c r="AS102" s="938">
        <f t="shared" si="15"/>
        <v>2282.7341987183368</v>
      </c>
      <c r="AT102" s="938">
        <f t="shared" si="16"/>
        <v>576.7307795808108</v>
      </c>
      <c r="AU102" s="938">
        <f t="shared" si="17"/>
        <v>0</v>
      </c>
      <c r="AV102" s="938">
        <f t="shared" si="18"/>
        <v>0</v>
      </c>
      <c r="AW102" s="938">
        <f t="shared" si="19"/>
        <v>0</v>
      </c>
      <c r="AX102" s="938">
        <f t="shared" si="20"/>
        <v>2454.7610443992867</v>
      </c>
      <c r="AY102" s="938">
        <f t="shared" si="21"/>
        <v>354.9024785332083</v>
      </c>
      <c r="AZ102" s="938">
        <f t="shared" si="22"/>
        <v>515.84892055339958</v>
      </c>
      <c r="BA102" s="938">
        <f t="shared" si="23"/>
        <v>453.47215066328846</v>
      </c>
      <c r="BB102" s="938">
        <f t="shared" si="24"/>
        <v>97.811538434807204</v>
      </c>
      <c r="BC102" s="530">
        <f t="shared" si="53"/>
        <v>8536.1406577284433</v>
      </c>
      <c r="BD102" s="724">
        <f t="shared" si="54"/>
        <v>0</v>
      </c>
      <c r="BE102" s="436">
        <f t="shared" si="55"/>
        <v>0.21085401693981362</v>
      </c>
      <c r="BF102" s="624">
        <f t="shared" si="56"/>
        <v>0.26741993721150753</v>
      </c>
      <c r="BG102" s="624">
        <f t="shared" si="57"/>
        <v>6.7563410996355919E-2</v>
      </c>
      <c r="BH102" s="624">
        <f t="shared" si="58"/>
        <v>0</v>
      </c>
      <c r="BI102" s="624">
        <f t="shared" si="59"/>
        <v>0</v>
      </c>
      <c r="BJ102" s="624">
        <f t="shared" si="60"/>
        <v>0</v>
      </c>
      <c r="BK102" s="624">
        <f t="shared" si="61"/>
        <v>0.45416263485232289</v>
      </c>
      <c r="BL102" s="624">
        <f t="shared" si="62"/>
        <v>0.99999999999999989</v>
      </c>
      <c r="BM102" s="649">
        <f t="shared" si="84"/>
        <v>0.29028184578274857</v>
      </c>
      <c r="BN102" s="417">
        <f t="shared" si="63"/>
        <v>0.30317187715157518</v>
      </c>
      <c r="BO102" s="417">
        <f t="shared" si="63"/>
        <v>8.2805443243048754E-2</v>
      </c>
      <c r="BP102" s="417">
        <f t="shared" si="63"/>
        <v>0</v>
      </c>
      <c r="BQ102" s="417">
        <f t="shared" si="63"/>
        <v>0</v>
      </c>
      <c r="BR102" s="417">
        <f t="shared" si="63"/>
        <v>0</v>
      </c>
      <c r="BS102" s="417">
        <f t="shared" si="63"/>
        <v>0.32374083382262742</v>
      </c>
      <c r="BT102" s="525">
        <f t="shared" si="85"/>
        <v>0.99999999999999989</v>
      </c>
      <c r="BV102" s="527">
        <f t="shared" si="64"/>
        <v>96.177507802704497</v>
      </c>
      <c r="BW102" s="114">
        <f t="shared" si="65"/>
        <v>0.3661739901807825</v>
      </c>
      <c r="BX102" s="1695">
        <f t="shared" si="25"/>
        <v>45.764081347342724</v>
      </c>
      <c r="BY102" s="527">
        <f t="shared" si="66"/>
        <v>96.177507802704497</v>
      </c>
      <c r="BZ102" s="417">
        <f t="shared" si="67"/>
        <v>0.3661739901807825</v>
      </c>
      <c r="CA102" s="544">
        <f t="shared" si="26"/>
        <v>45.764081347342724</v>
      </c>
      <c r="CB102" s="649">
        <f t="shared" si="27"/>
        <v>0.10394016738010314</v>
      </c>
      <c r="CC102" s="525">
        <f t="shared" si="68"/>
        <v>0.11935240495334909</v>
      </c>
      <c r="CD102" s="417">
        <f t="shared" si="28"/>
        <v>0.10394016738010314</v>
      </c>
      <c r="CE102" s="525">
        <f t="shared" si="69"/>
        <v>0.11935240495334909</v>
      </c>
      <c r="CG102" s="527">
        <f t="shared" si="70"/>
        <v>1332.3773834078142</v>
      </c>
      <c r="CH102" s="528">
        <f t="shared" si="71"/>
        <v>515.73267261337799</v>
      </c>
      <c r="CI102" s="528">
        <f t="shared" si="72"/>
        <v>2133.4646484360969</v>
      </c>
      <c r="CJ102" s="528">
        <f t="shared" si="73"/>
        <v>3034.4922383925505</v>
      </c>
      <c r="CK102" s="528">
        <f t="shared" si="74"/>
        <v>41.088438753189351</v>
      </c>
      <c r="CL102" s="528">
        <f t="shared" si="75"/>
        <v>7057.1553816030291</v>
      </c>
      <c r="CM102" s="646">
        <f t="shared" si="76"/>
        <v>0</v>
      </c>
    </row>
    <row r="103" spans="1:91">
      <c r="A103" s="873">
        <f>'Input data'!A123</f>
        <v>2023</v>
      </c>
      <c r="B103" s="1553">
        <f>'Input data'!B123</f>
        <v>61.381040636574369</v>
      </c>
      <c r="C103" s="1552">
        <f>'Input data'!C123</f>
        <v>3153.9083559128044</v>
      </c>
      <c r="D103" s="1554">
        <f>'Input data'!D123</f>
        <v>45569695.474175937</v>
      </c>
      <c r="E103" s="1456">
        <f t="shared" si="29"/>
        <v>0.76665454545454537</v>
      </c>
      <c r="F103" s="1506">
        <f t="shared" si="30"/>
        <v>0.30371818181818178</v>
      </c>
      <c r="G103" s="1511">
        <f>B103*F103*'Input data'!$C$9</f>
        <v>570.59384848565696</v>
      </c>
      <c r="H103" s="1510">
        <f>'Input data'!I123</f>
        <v>424.26313389388866</v>
      </c>
      <c r="I103" s="1511">
        <f>'Input data'!K123</f>
        <v>26041.712662141173</v>
      </c>
      <c r="J103" s="1511">
        <f t="shared" si="77"/>
        <v>8092.9230168287222</v>
      </c>
      <c r="K103" s="1513">
        <f t="shared" si="78"/>
        <v>4009.1412776551088</v>
      </c>
      <c r="L103" s="1506">
        <f t="shared" si="31"/>
        <v>0.57999999999999996</v>
      </c>
      <c r="M103" s="1506">
        <f t="shared" si="32"/>
        <v>0.437</v>
      </c>
      <c r="N103" s="1506">
        <f t="shared" si="33"/>
        <v>0.71200000000000008</v>
      </c>
      <c r="O103" s="1506">
        <f t="shared" si="34"/>
        <v>0.8</v>
      </c>
      <c r="P103" s="1506">
        <f t="shared" si="35"/>
        <v>0.23600000000000002</v>
      </c>
      <c r="Q103" s="1510">
        <f t="shared" si="36"/>
        <v>0</v>
      </c>
      <c r="R103" s="1511">
        <f t="shared" si="37"/>
        <v>0</v>
      </c>
      <c r="S103" s="1511">
        <f t="shared" si="38"/>
        <v>0</v>
      </c>
      <c r="T103" s="1511">
        <f t="shared" si="39"/>
        <v>0</v>
      </c>
      <c r="U103" s="1513">
        <f t="shared" si="40"/>
        <v>0</v>
      </c>
      <c r="V103" s="1511">
        <f t="shared" si="10"/>
        <v>0</v>
      </c>
      <c r="W103" s="1456">
        <f>($W$107-$W$102)/($A$107-$A$102)+W102</f>
        <v>0.3</v>
      </c>
      <c r="X103" s="530">
        <f t="shared" si="41"/>
        <v>1820.0912821812424</v>
      </c>
      <c r="Y103" s="528">
        <f t="shared" si="79"/>
        <v>1820.0912821812424</v>
      </c>
      <c r="Z103" s="528">
        <f t="shared" si="80"/>
        <v>10281.973012302589</v>
      </c>
      <c r="AA103" s="530">
        <f t="shared" si="81"/>
        <v>2189.0499954738671</v>
      </c>
      <c r="AB103" s="1091">
        <f t="shared" si="42"/>
        <v>0.21290174491360991</v>
      </c>
      <c r="AC103" s="135" t="str">
        <f t="shared" si="43"/>
        <v>Yes</v>
      </c>
      <c r="AD103" s="1091">
        <f t="shared" si="44"/>
        <v>0.21290174491360991</v>
      </c>
      <c r="AE103" s="649">
        <f t="shared" si="11"/>
        <v>0.11889879957863858</v>
      </c>
      <c r="AF103" s="530">
        <f t="shared" si="45"/>
        <v>373.81875656843408</v>
      </c>
      <c r="AG103" s="527">
        <f t="shared" si="46"/>
        <v>8092.9230168287222</v>
      </c>
      <c r="AH103" s="528">
        <f t="shared" si="82"/>
        <v>7138.4126814801166</v>
      </c>
      <c r="AI103" s="528">
        <f t="shared" si="83"/>
        <v>5224.2662774937517</v>
      </c>
      <c r="AJ103" s="528">
        <f t="shared" si="12"/>
        <v>2489.7823118381648</v>
      </c>
      <c r="AK103" s="528">
        <f t="shared" si="47"/>
        <v>22945.384287640754</v>
      </c>
      <c r="AL103" s="716">
        <f t="shared" si="13"/>
        <v>0</v>
      </c>
      <c r="AM103" s="649">
        <f t="shared" si="48"/>
        <v>0.35270374709687796</v>
      </c>
      <c r="AN103" s="417">
        <f t="shared" si="49"/>
        <v>0.31110451635909769</v>
      </c>
      <c r="AO103" s="417">
        <f t="shared" si="50"/>
        <v>0.22768266645713742</v>
      </c>
      <c r="AP103" s="417">
        <f t="shared" si="51"/>
        <v>0.10850907008688693</v>
      </c>
      <c r="AQ103" s="525">
        <f t="shared" si="52"/>
        <v>1</v>
      </c>
      <c r="AR103" s="1086">
        <f t="shared" si="14"/>
        <v>1654.668547768908</v>
      </c>
      <c r="AS103" s="938">
        <f t="shared" si="15"/>
        <v>2098.5673669974376</v>
      </c>
      <c r="AT103" s="938">
        <f t="shared" si="16"/>
        <v>561.98854859790856</v>
      </c>
      <c r="AU103" s="938">
        <f t="shared" si="17"/>
        <v>0</v>
      </c>
      <c r="AV103" s="938">
        <f t="shared" si="18"/>
        <v>0</v>
      </c>
      <c r="AW103" s="938">
        <f t="shared" si="19"/>
        <v>0</v>
      </c>
      <c r="AX103" s="938">
        <f t="shared" si="20"/>
        <v>2392.0131287241989</v>
      </c>
      <c r="AY103" s="938">
        <f t="shared" si="21"/>
        <v>345.83056057740941</v>
      </c>
      <c r="AZ103" s="938">
        <f t="shared" si="22"/>
        <v>502.66293463358051</v>
      </c>
      <c r="BA103" s="938">
        <f t="shared" si="23"/>
        <v>441.88062230017499</v>
      </c>
      <c r="BB103" s="938">
        <f t="shared" si="24"/>
        <v>95.311307229101487</v>
      </c>
      <c r="BC103" s="530">
        <f t="shared" si="53"/>
        <v>8092.9230168287195</v>
      </c>
      <c r="BD103" s="724">
        <f t="shared" si="54"/>
        <v>0</v>
      </c>
      <c r="BE103" s="436">
        <f t="shared" si="55"/>
        <v>0.20445870352753015</v>
      </c>
      <c r="BF103" s="624">
        <f t="shared" si="56"/>
        <v>0.25930894963829509</v>
      </c>
      <c r="BG103" s="624">
        <f t="shared" si="57"/>
        <v>6.9441973861519388E-2</v>
      </c>
      <c r="BH103" s="624">
        <f t="shared" si="58"/>
        <v>0</v>
      </c>
      <c r="BI103" s="624">
        <f t="shared" si="59"/>
        <v>0</v>
      </c>
      <c r="BJ103" s="624">
        <f t="shared" si="60"/>
        <v>0</v>
      </c>
      <c r="BK103" s="624">
        <f t="shared" si="61"/>
        <v>0.46679037297265541</v>
      </c>
      <c r="BL103" s="624">
        <f t="shared" si="62"/>
        <v>1</v>
      </c>
      <c r="BM103" s="649">
        <f t="shared" si="84"/>
        <v>0.29028184578274857</v>
      </c>
      <c r="BN103" s="417">
        <f t="shared" si="63"/>
        <v>0.30317187715157518</v>
      </c>
      <c r="BO103" s="417">
        <f t="shared" si="63"/>
        <v>8.2805443243048754E-2</v>
      </c>
      <c r="BP103" s="417">
        <f t="shared" si="63"/>
        <v>0</v>
      </c>
      <c r="BQ103" s="417">
        <f t="shared" si="63"/>
        <v>0</v>
      </c>
      <c r="BR103" s="417">
        <f t="shared" si="63"/>
        <v>0</v>
      </c>
      <c r="BS103" s="417">
        <f t="shared" si="63"/>
        <v>0.32374083382262742</v>
      </c>
      <c r="BT103" s="525">
        <f t="shared" si="85"/>
        <v>0.99999999999999989</v>
      </c>
      <c r="BV103" s="527">
        <f t="shared" si="64"/>
        <v>94.1558059479229</v>
      </c>
      <c r="BW103" s="114">
        <f t="shared" si="65"/>
        <v>0.38618101380033737</v>
      </c>
      <c r="BX103" s="1695">
        <f t="shared" si="25"/>
        <v>45.569695474175937</v>
      </c>
      <c r="BY103" s="527">
        <f t="shared" si="66"/>
        <v>94.1558059479229</v>
      </c>
      <c r="BZ103" s="417">
        <f t="shared" si="67"/>
        <v>0.38618101380033737</v>
      </c>
      <c r="CA103" s="544">
        <f t="shared" si="26"/>
        <v>45.569695474175937</v>
      </c>
      <c r="CB103" s="649">
        <f t="shared" si="27"/>
        <v>0.11889879957863858</v>
      </c>
      <c r="CC103" s="525">
        <f t="shared" si="68"/>
        <v>0.14861875961590143</v>
      </c>
      <c r="CD103" s="417">
        <f t="shared" si="28"/>
        <v>0.11889879957863858</v>
      </c>
      <c r="CE103" s="525">
        <f t="shared" si="69"/>
        <v>0.14861875961590143</v>
      </c>
      <c r="CG103" s="527">
        <f t="shared" si="70"/>
        <v>1347.7186055771954</v>
      </c>
      <c r="CH103" s="528">
        <f t="shared" si="71"/>
        <v>521.67090723751596</v>
      </c>
      <c r="CI103" s="528">
        <f t="shared" si="72"/>
        <v>2158.0297270465326</v>
      </c>
      <c r="CJ103" s="528">
        <f t="shared" si="73"/>
        <v>3069.4319035205908</v>
      </c>
      <c r="CK103" s="528">
        <f t="shared" si="74"/>
        <v>41.561538098281396</v>
      </c>
      <c r="CL103" s="528">
        <f t="shared" si="75"/>
        <v>7138.4126814801166</v>
      </c>
      <c r="CM103" s="646">
        <f t="shared" si="76"/>
        <v>0</v>
      </c>
    </row>
    <row r="104" spans="1:91">
      <c r="A104" s="873">
        <f>'Input data'!A124</f>
        <v>2024</v>
      </c>
      <c r="B104" s="1553">
        <f>'Input data'!B124</f>
        <v>62.087792487153699</v>
      </c>
      <c r="C104" s="1552">
        <f>'Input data'!C124</f>
        <v>3232.6126442228219</v>
      </c>
      <c r="D104" s="1554">
        <f>'Input data'!D124</f>
        <v>46327457.455900244</v>
      </c>
      <c r="E104" s="1456">
        <f t="shared" si="29"/>
        <v>0.7752969696969696</v>
      </c>
      <c r="F104" s="1506">
        <f t="shared" si="30"/>
        <v>0.30607121212121208</v>
      </c>
      <c r="G104" s="1511">
        <f>B104*F104*'Input data'!$C$9</f>
        <v>581.63529038075126</v>
      </c>
      <c r="H104" s="1510">
        <f>'Input data'!I124</f>
        <v>424.26313389388866</v>
      </c>
      <c r="I104" s="1511">
        <f>'Input data'!K124</f>
        <v>26341.561417153265</v>
      </c>
      <c r="J104" s="1511">
        <f t="shared" si="77"/>
        <v>7672.7183375332434</v>
      </c>
      <c r="K104" s="1513">
        <f t="shared" si="78"/>
        <v>4568.691205047603</v>
      </c>
      <c r="L104" s="1506">
        <f t="shared" si="31"/>
        <v>0.57999999999999996</v>
      </c>
      <c r="M104" s="1506">
        <f t="shared" si="32"/>
        <v>0.437</v>
      </c>
      <c r="N104" s="1506">
        <f t="shared" si="33"/>
        <v>0.71200000000000008</v>
      </c>
      <c r="O104" s="1506">
        <f t="shared" si="34"/>
        <v>0.8</v>
      </c>
      <c r="P104" s="1506">
        <f t="shared" si="35"/>
        <v>0.23600000000000002</v>
      </c>
      <c r="Q104" s="1510">
        <f t="shared" si="36"/>
        <v>0</v>
      </c>
      <c r="R104" s="1511">
        <f t="shared" si="37"/>
        <v>0</v>
      </c>
      <c r="S104" s="1511">
        <f t="shared" si="38"/>
        <v>0</v>
      </c>
      <c r="T104" s="1511">
        <f t="shared" si="39"/>
        <v>0</v>
      </c>
      <c r="U104" s="1513">
        <f t="shared" si="40"/>
        <v>0</v>
      </c>
      <c r="V104" s="1511">
        <f t="shared" si="10"/>
        <v>0</v>
      </c>
      <c r="W104" s="1456">
        <f>($W$107-$W$102)/($A$107-$A$102)+W103</f>
        <v>0.35</v>
      </c>
      <c r="X104" s="530">
        <f t="shared" si="41"/>
        <v>2123.4398292114493</v>
      </c>
      <c r="Y104" s="528">
        <f t="shared" si="79"/>
        <v>2123.4398292114493</v>
      </c>
      <c r="Z104" s="528">
        <f t="shared" si="80"/>
        <v>10117.969713369397</v>
      </c>
      <c r="AA104" s="530">
        <f t="shared" si="81"/>
        <v>2445.2513758361538</v>
      </c>
      <c r="AB104" s="1091">
        <f t="shared" si="42"/>
        <v>0.24167411497635899</v>
      </c>
      <c r="AC104" s="135" t="str">
        <f t="shared" si="43"/>
        <v>Yes</v>
      </c>
      <c r="AD104" s="1091">
        <f t="shared" si="44"/>
        <v>0.24167411497635899</v>
      </c>
      <c r="AE104" s="649">
        <f t="shared" si="11"/>
        <v>0.13265100107403016</v>
      </c>
      <c r="AF104" s="530">
        <f t="shared" si="45"/>
        <v>367.98420446405902</v>
      </c>
      <c r="AG104" s="527">
        <f t="shared" si="46"/>
        <v>7672.7183375332434</v>
      </c>
      <c r="AH104" s="528">
        <f t="shared" si="82"/>
        <v>7220.6055918725297</v>
      </c>
      <c r="AI104" s="528">
        <f t="shared" si="83"/>
        <v>5527.6148245239583</v>
      </c>
      <c r="AJ104" s="528">
        <f t="shared" si="12"/>
        <v>2426.3881713851051</v>
      </c>
      <c r="AK104" s="528">
        <f t="shared" si="47"/>
        <v>22847.326925314836</v>
      </c>
      <c r="AL104" s="716">
        <f t="shared" si="13"/>
        <v>0</v>
      </c>
      <c r="AM104" s="649">
        <f t="shared" si="48"/>
        <v>0.33582564658939912</v>
      </c>
      <c r="AN104" s="417">
        <f t="shared" si="49"/>
        <v>0.31603721588419603</v>
      </c>
      <c r="AO104" s="417">
        <f t="shared" si="50"/>
        <v>0.24193704771648195</v>
      </c>
      <c r="AP104" s="417">
        <f t="shared" si="51"/>
        <v>0.1062000898099229</v>
      </c>
      <c r="AQ104" s="525">
        <f t="shared" si="52"/>
        <v>1</v>
      </c>
      <c r="AR104" s="1086">
        <f t="shared" si="14"/>
        <v>1518.1289349783247</v>
      </c>
      <c r="AS104" s="938">
        <f t="shared" si="15"/>
        <v>1925.3981990144357</v>
      </c>
      <c r="AT104" s="938">
        <f t="shared" si="16"/>
        <v>547.67935344721923</v>
      </c>
      <c r="AU104" s="938">
        <f t="shared" si="17"/>
        <v>0</v>
      </c>
      <c r="AV104" s="938">
        <f t="shared" si="18"/>
        <v>0</v>
      </c>
      <c r="AW104" s="938">
        <f t="shared" si="19"/>
        <v>0</v>
      </c>
      <c r="AX104" s="938">
        <f t="shared" si="20"/>
        <v>2331.1083598506698</v>
      </c>
      <c r="AY104" s="938">
        <f t="shared" si="21"/>
        <v>337.02511962541757</v>
      </c>
      <c r="AZ104" s="938">
        <f t="shared" si="22"/>
        <v>489.8642716632495</v>
      </c>
      <c r="BA104" s="938">
        <f t="shared" si="23"/>
        <v>430.62958155641559</v>
      </c>
      <c r="BB104" s="938">
        <f t="shared" si="24"/>
        <v>92.884517397509526</v>
      </c>
      <c r="BC104" s="530">
        <f t="shared" si="53"/>
        <v>7672.7183375332406</v>
      </c>
      <c r="BD104" s="724">
        <f t="shared" si="54"/>
        <v>0</v>
      </c>
      <c r="BE104" s="436">
        <f t="shared" si="55"/>
        <v>0.19786063663408232</v>
      </c>
      <c r="BF104" s="624">
        <f t="shared" si="56"/>
        <v>0.25094081579872596</v>
      </c>
      <c r="BG104" s="624">
        <f t="shared" si="57"/>
        <v>7.1380093645311199E-2</v>
      </c>
      <c r="BH104" s="624">
        <f t="shared" si="58"/>
        <v>0</v>
      </c>
      <c r="BI104" s="624">
        <f t="shared" si="59"/>
        <v>0</v>
      </c>
      <c r="BJ104" s="624">
        <f t="shared" si="60"/>
        <v>0</v>
      </c>
      <c r="BK104" s="624">
        <f t="shared" si="61"/>
        <v>0.47981845392188066</v>
      </c>
      <c r="BL104" s="624">
        <f t="shared" si="62"/>
        <v>1.0000000000000002</v>
      </c>
      <c r="BM104" s="649">
        <f t="shared" si="84"/>
        <v>0.29028184578274857</v>
      </c>
      <c r="BN104" s="417">
        <f t="shared" si="63"/>
        <v>0.30317187715157518</v>
      </c>
      <c r="BO104" s="417">
        <f t="shared" si="63"/>
        <v>8.2805443243048754E-2</v>
      </c>
      <c r="BP104" s="417">
        <f t="shared" si="63"/>
        <v>0</v>
      </c>
      <c r="BQ104" s="417">
        <f t="shared" si="63"/>
        <v>0</v>
      </c>
      <c r="BR104" s="417">
        <f t="shared" si="63"/>
        <v>0</v>
      </c>
      <c r="BS104" s="417">
        <f t="shared" si="63"/>
        <v>0.32374083382262742</v>
      </c>
      <c r="BT104" s="525">
        <f t="shared" si="85"/>
        <v>0.99999999999999989</v>
      </c>
      <c r="BV104" s="527">
        <f t="shared" si="64"/>
        <v>92.503675184629756</v>
      </c>
      <c r="BW104" s="114">
        <f t="shared" si="65"/>
        <v>0.40765833526081857</v>
      </c>
      <c r="BX104" s="1695">
        <f t="shared" si="25"/>
        <v>46.327457455900245</v>
      </c>
      <c r="BY104" s="527">
        <f t="shared" si="66"/>
        <v>92.503675184629756</v>
      </c>
      <c r="BZ104" s="417">
        <f t="shared" si="67"/>
        <v>0.40765833526081857</v>
      </c>
      <c r="CA104" s="544">
        <f t="shared" si="26"/>
        <v>46.327457455900245</v>
      </c>
      <c r="CB104" s="649">
        <f t="shared" si="27"/>
        <v>0.13265100107403016</v>
      </c>
      <c r="CC104" s="525">
        <f t="shared" si="68"/>
        <v>0.18386322018205858</v>
      </c>
      <c r="CD104" s="417">
        <f t="shared" si="28"/>
        <v>0.13265100107403016</v>
      </c>
      <c r="CE104" s="525">
        <f t="shared" si="69"/>
        <v>0.18386322018205858</v>
      </c>
      <c r="CG104" s="527">
        <f t="shared" si="70"/>
        <v>1363.2364692151139</v>
      </c>
      <c r="CH104" s="528">
        <f t="shared" si="71"/>
        <v>527.67751571563645</v>
      </c>
      <c r="CI104" s="528">
        <f t="shared" si="72"/>
        <v>2182.8776521937411</v>
      </c>
      <c r="CJ104" s="528">
        <f t="shared" si="73"/>
        <v>3104.7738699575007</v>
      </c>
      <c r="CK104" s="528">
        <f t="shared" si="74"/>
        <v>42.040084790537726</v>
      </c>
      <c r="CL104" s="528">
        <f t="shared" si="75"/>
        <v>7220.6055918725297</v>
      </c>
      <c r="CM104" s="646">
        <f t="shared" si="76"/>
        <v>0</v>
      </c>
    </row>
    <row r="105" spans="1:91">
      <c r="A105" s="873">
        <f>'Input data'!A125</f>
        <v>2025</v>
      </c>
      <c r="B105" s="1553">
        <f>'Input data'!B125</f>
        <v>62.802682000000026</v>
      </c>
      <c r="C105" s="1552">
        <f>'Input data'!C125</f>
        <v>3311.8439930677405</v>
      </c>
      <c r="D105" s="1554">
        <f>'Input data'!D125</f>
        <v>46801820.784301206</v>
      </c>
      <c r="E105" s="1456">
        <f t="shared" si="29"/>
        <v>0.78393939393939382</v>
      </c>
      <c r="F105" s="1506">
        <f t="shared" si="30"/>
        <v>0.30842424242424238</v>
      </c>
      <c r="G105" s="1511">
        <f>B105*F105*'Input data'!$C$9</f>
        <v>592.85535125722038</v>
      </c>
      <c r="H105" s="1510">
        <f>'Input data'!I125</f>
        <v>424.26313389388866</v>
      </c>
      <c r="I105" s="1511">
        <f>'Input data'!K125</f>
        <v>26644.862682261322</v>
      </c>
      <c r="J105" s="1511">
        <f t="shared" si="77"/>
        <v>7274.3317296730966</v>
      </c>
      <c r="K105" s="1513">
        <f t="shared" si="78"/>
        <v>5108.0275061386474</v>
      </c>
      <c r="L105" s="1506">
        <f t="shared" si="31"/>
        <v>0.57999999999999996</v>
      </c>
      <c r="M105" s="1506">
        <f t="shared" si="32"/>
        <v>0.437</v>
      </c>
      <c r="N105" s="1506">
        <f t="shared" si="33"/>
        <v>0.71200000000000008</v>
      </c>
      <c r="O105" s="1506">
        <f t="shared" si="34"/>
        <v>0.8</v>
      </c>
      <c r="P105" s="1506">
        <f t="shared" si="35"/>
        <v>0.23600000000000002</v>
      </c>
      <c r="Q105" s="1510">
        <f t="shared" si="36"/>
        <v>0</v>
      </c>
      <c r="R105" s="1511">
        <f t="shared" si="37"/>
        <v>0</v>
      </c>
      <c r="S105" s="1511">
        <f t="shared" si="38"/>
        <v>0</v>
      </c>
      <c r="T105" s="1511">
        <f t="shared" si="39"/>
        <v>0</v>
      </c>
      <c r="U105" s="1513">
        <f t="shared" si="40"/>
        <v>0</v>
      </c>
      <c r="V105" s="1511">
        <f t="shared" si="10"/>
        <v>0</v>
      </c>
      <c r="W105" s="1456">
        <f>($W$107-$W$102)/($A$107-$A$102)+W104</f>
        <v>0.39999999999999997</v>
      </c>
      <c r="X105" s="530">
        <f t="shared" si="41"/>
        <v>2426.7883762416564</v>
      </c>
      <c r="Y105" s="528">
        <f t="shared" si="79"/>
        <v>2426.7883762416564</v>
      </c>
      <c r="Z105" s="528">
        <f t="shared" si="80"/>
        <v>9955.5708595700871</v>
      </c>
      <c r="AA105" s="530">
        <f t="shared" si="81"/>
        <v>2681.2391298969906</v>
      </c>
      <c r="AB105" s="1091">
        <f t="shared" si="42"/>
        <v>0.26932048073562453</v>
      </c>
      <c r="AC105" s="135" t="str">
        <f t="shared" si="43"/>
        <v>Yes</v>
      </c>
      <c r="AD105" s="1091">
        <f t="shared" si="44"/>
        <v>0.26932048073562453</v>
      </c>
      <c r="AE105" s="649">
        <f t="shared" si="11"/>
        <v>0.14528032436176563</v>
      </c>
      <c r="AF105" s="530">
        <f t="shared" si="45"/>
        <v>362.62604818704528</v>
      </c>
      <c r="AG105" s="527">
        <f t="shared" si="46"/>
        <v>7274.3317296730966</v>
      </c>
      <c r="AH105" s="528">
        <f t="shared" si="82"/>
        <v>7303.7448855605326</v>
      </c>
      <c r="AI105" s="528">
        <f t="shared" si="83"/>
        <v>5830.9633715541659</v>
      </c>
      <c r="AJ105" s="528">
        <f t="shared" si="12"/>
        <v>2364.8484024198983</v>
      </c>
      <c r="AK105" s="528">
        <f t="shared" si="47"/>
        <v>22773.888389207692</v>
      </c>
      <c r="AL105" s="716">
        <f t="shared" si="13"/>
        <v>0</v>
      </c>
      <c r="AM105" s="649">
        <f t="shared" si="48"/>
        <v>0.31941544655678239</v>
      </c>
      <c r="AN105" s="417">
        <f t="shared" si="49"/>
        <v>0.32070697637306861</v>
      </c>
      <c r="AO105" s="417">
        <f t="shared" si="50"/>
        <v>0.2560372331638105</v>
      </c>
      <c r="AP105" s="417">
        <f t="shared" si="51"/>
        <v>0.1038403439063386</v>
      </c>
      <c r="AQ105" s="525">
        <f t="shared" si="52"/>
        <v>1.0000000000000002</v>
      </c>
      <c r="AR105" s="1086">
        <f t="shared" si="14"/>
        <v>1389.7831880492163</v>
      </c>
      <c r="AS105" s="938">
        <f t="shared" si="15"/>
        <v>1762.6210696845108</v>
      </c>
      <c r="AT105" s="938">
        <f t="shared" si="16"/>
        <v>533.78872321928009</v>
      </c>
      <c r="AU105" s="938">
        <f t="shared" si="17"/>
        <v>0</v>
      </c>
      <c r="AV105" s="938">
        <f t="shared" si="18"/>
        <v>0</v>
      </c>
      <c r="AW105" s="938">
        <f t="shared" si="19"/>
        <v>0</v>
      </c>
      <c r="AX105" s="938">
        <f t="shared" si="20"/>
        <v>2271.9851446990806</v>
      </c>
      <c r="AY105" s="938">
        <f t="shared" si="21"/>
        <v>328.47725072224051</v>
      </c>
      <c r="AZ105" s="938">
        <f t="shared" si="22"/>
        <v>477.43998833629246</v>
      </c>
      <c r="BA105" s="938">
        <f t="shared" si="23"/>
        <v>419.70765023846087</v>
      </c>
      <c r="BB105" s="938">
        <f t="shared" si="24"/>
        <v>90.528714724013781</v>
      </c>
      <c r="BC105" s="530">
        <f t="shared" si="53"/>
        <v>7274.3317296730957</v>
      </c>
      <c r="BD105" s="724">
        <f t="shared" si="54"/>
        <v>0</v>
      </c>
      <c r="BE105" s="436">
        <f t="shared" si="55"/>
        <v>0.19105303960501019</v>
      </c>
      <c r="BF105" s="624">
        <f t="shared" si="56"/>
        <v>0.24230694106161171</v>
      </c>
      <c r="BG105" s="624">
        <f t="shared" si="57"/>
        <v>7.33797609259247E-2</v>
      </c>
      <c r="BH105" s="624">
        <f t="shared" si="58"/>
        <v>0</v>
      </c>
      <c r="BI105" s="624">
        <f t="shared" si="59"/>
        <v>0</v>
      </c>
      <c r="BJ105" s="624">
        <f t="shared" si="60"/>
        <v>0</v>
      </c>
      <c r="BK105" s="624">
        <f t="shared" si="61"/>
        <v>0.49326025840745336</v>
      </c>
      <c r="BL105" s="624">
        <f t="shared" si="62"/>
        <v>1</v>
      </c>
      <c r="BM105" s="649">
        <f t="shared" si="84"/>
        <v>0.29028184578274857</v>
      </c>
      <c r="BN105" s="417">
        <f t="shared" si="63"/>
        <v>0.30317187715157518</v>
      </c>
      <c r="BO105" s="417">
        <f t="shared" si="63"/>
        <v>8.2805443243048754E-2</v>
      </c>
      <c r="BP105" s="417">
        <f t="shared" si="63"/>
        <v>0</v>
      </c>
      <c r="BQ105" s="417">
        <f t="shared" si="63"/>
        <v>0</v>
      </c>
      <c r="BR105" s="417">
        <f t="shared" si="63"/>
        <v>0</v>
      </c>
      <c r="BS105" s="417">
        <f t="shared" si="63"/>
        <v>0.32374083382262742</v>
      </c>
      <c r="BT105" s="525">
        <f t="shared" si="85"/>
        <v>0.99999999999999989</v>
      </c>
      <c r="BV105" s="527">
        <f t="shared" si="64"/>
        <v>91.037047043609661</v>
      </c>
      <c r="BW105" s="114">
        <f t="shared" si="65"/>
        <v>0.42936690792905707</v>
      </c>
      <c r="BX105" s="1695">
        <f t="shared" si="25"/>
        <v>46.801820784301206</v>
      </c>
      <c r="BY105" s="527">
        <f t="shared" si="66"/>
        <v>91.037047043609661</v>
      </c>
      <c r="BZ105" s="417">
        <f t="shared" si="67"/>
        <v>0.42936690792905707</v>
      </c>
      <c r="CA105" s="544">
        <f t="shared" si="26"/>
        <v>46.801820784301206</v>
      </c>
      <c r="CB105" s="649">
        <f t="shared" si="27"/>
        <v>0.14528032436176563</v>
      </c>
      <c r="CC105" s="525">
        <f t="shared" si="68"/>
        <v>0.21337360078530376</v>
      </c>
      <c r="CD105" s="417">
        <f t="shared" si="28"/>
        <v>0.14528032436176563</v>
      </c>
      <c r="CE105" s="525">
        <f t="shared" si="69"/>
        <v>0.21337360078530376</v>
      </c>
      <c r="CG105" s="527">
        <f t="shared" si="70"/>
        <v>1378.9330082017941</v>
      </c>
      <c r="CH105" s="528">
        <f t="shared" si="71"/>
        <v>533.75328531604487</v>
      </c>
      <c r="CI105" s="528">
        <f t="shared" si="72"/>
        <v>2208.0116806213546</v>
      </c>
      <c r="CJ105" s="528">
        <f t="shared" si="73"/>
        <v>3140.5227698696881</v>
      </c>
      <c r="CK105" s="528">
        <f t="shared" si="74"/>
        <v>42.524141551649727</v>
      </c>
      <c r="CL105" s="528">
        <f t="shared" si="75"/>
        <v>7303.7448855605307</v>
      </c>
      <c r="CM105" s="646">
        <f t="shared" si="76"/>
        <v>0</v>
      </c>
    </row>
    <row r="106" spans="1:91">
      <c r="A106" s="873">
        <f>'Input data'!A126</f>
        <v>2026</v>
      </c>
      <c r="B106" s="1553">
        <f>'Input data'!B126</f>
        <v>63.421065342005143</v>
      </c>
      <c r="C106" s="1552">
        <f>'Input data'!C126</f>
        <v>3393.1756913606432</v>
      </c>
      <c r="D106" s="1554">
        <f>'Input data'!D126</f>
        <v>46479674.028888769</v>
      </c>
      <c r="E106" s="1456">
        <f t="shared" si="29"/>
        <v>0.79258181818181805</v>
      </c>
      <c r="F106" s="1506">
        <f t="shared" si="30"/>
        <v>0.31077727272727268</v>
      </c>
      <c r="G106" s="1511">
        <f>B106*F106*'Input data'!$C$9</f>
        <v>603.26041842938696</v>
      </c>
      <c r="H106" s="1510">
        <f>'Input data'!I126</f>
        <v>424.26313389388866</v>
      </c>
      <c r="I106" s="1511">
        <f>'Input data'!K126</f>
        <v>26907.219936888188</v>
      </c>
      <c r="J106" s="1511">
        <f t="shared" si="77"/>
        <v>6896.6303447470355</v>
      </c>
      <c r="K106" s="1513">
        <f t="shared" si="78"/>
        <v>5607.6511472853772</v>
      </c>
      <c r="L106" s="1506">
        <f t="shared" si="31"/>
        <v>0.57999999999999996</v>
      </c>
      <c r="M106" s="1506">
        <f t="shared" si="32"/>
        <v>0.437</v>
      </c>
      <c r="N106" s="1506">
        <f t="shared" si="33"/>
        <v>0.71200000000000008</v>
      </c>
      <c r="O106" s="1506">
        <f t="shared" si="34"/>
        <v>0.8</v>
      </c>
      <c r="P106" s="1506">
        <f t="shared" si="35"/>
        <v>0.23600000000000002</v>
      </c>
      <c r="Q106" s="1510">
        <f t="shared" si="36"/>
        <v>0</v>
      </c>
      <c r="R106" s="1511">
        <f t="shared" si="37"/>
        <v>0</v>
      </c>
      <c r="S106" s="1511">
        <f t="shared" si="38"/>
        <v>0</v>
      </c>
      <c r="T106" s="1511">
        <f t="shared" si="39"/>
        <v>0</v>
      </c>
      <c r="U106" s="1513">
        <f t="shared" si="40"/>
        <v>0</v>
      </c>
      <c r="V106" s="1511">
        <f t="shared" si="10"/>
        <v>0</v>
      </c>
      <c r="W106" s="1456">
        <f>($W$107-$W$102)/($A$107-$A$102)+W105</f>
        <v>0.44999999999999996</v>
      </c>
      <c r="X106" s="530">
        <f t="shared" si="41"/>
        <v>2730.1369232718635</v>
      </c>
      <c r="Y106" s="528">
        <f t="shared" si="79"/>
        <v>2730.1369232718635</v>
      </c>
      <c r="Z106" s="528">
        <f t="shared" si="80"/>
        <v>9774.1445687605483</v>
      </c>
      <c r="AA106" s="530">
        <f t="shared" si="81"/>
        <v>2877.5142240135128</v>
      </c>
      <c r="AB106" s="1091">
        <f t="shared" si="42"/>
        <v>0.29440062030701147</v>
      </c>
      <c r="AC106" s="135" t="str">
        <f t="shared" si="43"/>
        <v>Yes</v>
      </c>
      <c r="AD106" s="1091">
        <f t="shared" si="44"/>
        <v>0.29440062030701147</v>
      </c>
      <c r="AE106" s="649">
        <f t="shared" si="11"/>
        <v>0.15588583154405877</v>
      </c>
      <c r="AF106" s="530">
        <f t="shared" si="45"/>
        <v>358.12652247335149</v>
      </c>
      <c r="AG106" s="527">
        <f t="shared" si="46"/>
        <v>6896.6303447470355</v>
      </c>
      <c r="AH106" s="528">
        <f t="shared" si="82"/>
        <v>7375.6608297153634</v>
      </c>
      <c r="AI106" s="528">
        <f t="shared" si="83"/>
        <v>6134.3119185843725</v>
      </c>
      <c r="AJ106" s="528">
        <f t="shared" si="12"/>
        <v>2306.1624894407255</v>
      </c>
      <c r="AK106" s="528">
        <f t="shared" si="47"/>
        <v>22712.765582487496</v>
      </c>
      <c r="AL106" s="716">
        <f t="shared" si="13"/>
        <v>0</v>
      </c>
      <c r="AM106" s="649">
        <f t="shared" si="48"/>
        <v>0.30364555649113156</v>
      </c>
      <c r="AN106" s="417">
        <f t="shared" si="49"/>
        <v>0.32473636039295495</v>
      </c>
      <c r="AO106" s="417">
        <f t="shared" si="50"/>
        <v>0.27008212171723317</v>
      </c>
      <c r="AP106" s="417">
        <f t="shared" si="51"/>
        <v>0.10153596139868032</v>
      </c>
      <c r="AQ106" s="525">
        <f t="shared" si="52"/>
        <v>1</v>
      </c>
      <c r="AR106" s="1086">
        <f t="shared" si="14"/>
        <v>1268.3638441533146</v>
      </c>
      <c r="AS106" s="938">
        <f t="shared" si="15"/>
        <v>1608.6284932463166</v>
      </c>
      <c r="AT106" s="938">
        <f t="shared" si="16"/>
        <v>520.54225950175169</v>
      </c>
      <c r="AU106" s="938">
        <f t="shared" si="17"/>
        <v>0</v>
      </c>
      <c r="AV106" s="938">
        <f t="shared" si="18"/>
        <v>0</v>
      </c>
      <c r="AW106" s="938">
        <f t="shared" si="19"/>
        <v>0</v>
      </c>
      <c r="AX106" s="938">
        <f t="shared" si="20"/>
        <v>2215.6037198452309</v>
      </c>
      <c r="AY106" s="938">
        <f t="shared" si="21"/>
        <v>320.32578218337028</v>
      </c>
      <c r="AZ106" s="938">
        <f t="shared" si="22"/>
        <v>465.59187089264998</v>
      </c>
      <c r="BA106" s="938">
        <f t="shared" si="23"/>
        <v>409.29221446956205</v>
      </c>
      <c r="BB106" s="938">
        <f t="shared" si="24"/>
        <v>88.282160454838049</v>
      </c>
      <c r="BC106" s="530">
        <f t="shared" si="53"/>
        <v>6896.6303447470345</v>
      </c>
      <c r="BD106" s="724">
        <f t="shared" si="54"/>
        <v>0</v>
      </c>
      <c r="BE106" s="436">
        <f t="shared" si="55"/>
        <v>0.18391066082284532</v>
      </c>
      <c r="BF106" s="624">
        <f t="shared" si="56"/>
        <v>0.23324847249085384</v>
      </c>
      <c r="BG106" s="624">
        <f t="shared" si="57"/>
        <v>7.5477767182089692E-2</v>
      </c>
      <c r="BH106" s="624">
        <f t="shared" si="58"/>
        <v>0</v>
      </c>
      <c r="BI106" s="624">
        <f t="shared" si="59"/>
        <v>0</v>
      </c>
      <c r="BJ106" s="624">
        <f t="shared" si="60"/>
        <v>0</v>
      </c>
      <c r="BK106" s="624">
        <f t="shared" si="61"/>
        <v>0.5073630995042111</v>
      </c>
      <c r="BL106" s="624">
        <f t="shared" si="62"/>
        <v>1</v>
      </c>
      <c r="BM106" s="649">
        <f t="shared" si="84"/>
        <v>0.29028184578274857</v>
      </c>
      <c r="BN106" s="417">
        <f t="shared" si="63"/>
        <v>0.30317187715157518</v>
      </c>
      <c r="BO106" s="417">
        <f t="shared" si="63"/>
        <v>8.2805443243048754E-2</v>
      </c>
      <c r="BP106" s="417">
        <f t="shared" si="63"/>
        <v>0</v>
      </c>
      <c r="BQ106" s="417">
        <f t="shared" si="63"/>
        <v>0</v>
      </c>
      <c r="BR106" s="417">
        <f t="shared" si="63"/>
        <v>0</v>
      </c>
      <c r="BS106" s="417">
        <f t="shared" si="63"/>
        <v>0.32374083382262742</v>
      </c>
      <c r="BT106" s="525">
        <f t="shared" si="85"/>
        <v>0.99999999999999989</v>
      </c>
      <c r="BV106" s="527">
        <f t="shared" si="64"/>
        <v>89.669595248859622</v>
      </c>
      <c r="BW106" s="114">
        <f t="shared" si="65"/>
        <v>0.45074533683016904</v>
      </c>
      <c r="BX106" s="1695">
        <f t="shared" si="25"/>
        <v>46.479674028888766</v>
      </c>
      <c r="BY106" s="527">
        <f t="shared" si="66"/>
        <v>89.669595248859622</v>
      </c>
      <c r="BZ106" s="417">
        <f t="shared" si="67"/>
        <v>0.45074533683016904</v>
      </c>
      <c r="CA106" s="544">
        <f t="shared" si="26"/>
        <v>46.479674028888766</v>
      </c>
      <c r="CB106" s="649">
        <f t="shared" si="27"/>
        <v>0.15588583154405877</v>
      </c>
      <c r="CC106" s="525">
        <f t="shared" si="68"/>
        <v>0.23424757410658759</v>
      </c>
      <c r="CD106" s="417">
        <f t="shared" si="28"/>
        <v>0.15588583154405877</v>
      </c>
      <c r="CE106" s="525">
        <f t="shared" si="69"/>
        <v>0.23424757410658759</v>
      </c>
      <c r="CG106" s="527">
        <f t="shared" si="70"/>
        <v>1392.5106003500562</v>
      </c>
      <c r="CH106" s="528">
        <f t="shared" si="71"/>
        <v>539.00885927990748</v>
      </c>
      <c r="CI106" s="528">
        <f t="shared" si="72"/>
        <v>2229.752752798001</v>
      </c>
      <c r="CJ106" s="528">
        <f t="shared" si="73"/>
        <v>3171.4457639876014</v>
      </c>
      <c r="CK106" s="528">
        <f t="shared" si="74"/>
        <v>42.942853299797797</v>
      </c>
      <c r="CL106" s="528">
        <f t="shared" si="75"/>
        <v>7375.6608297153643</v>
      </c>
      <c r="CM106" s="646">
        <f t="shared" si="76"/>
        <v>0</v>
      </c>
    </row>
    <row r="107" spans="1:91" s="1" customFormat="1">
      <c r="A107" s="873">
        <f>'Input data'!A127</f>
        <v>2027</v>
      </c>
      <c r="B107" s="1553">
        <f>'Input data'!B127</f>
        <v>64.045537563425796</v>
      </c>
      <c r="C107" s="1552">
        <f>'Input data'!C127</f>
        <v>3472.5774012476563</v>
      </c>
      <c r="D107" s="1554">
        <f>'Input data'!D127</f>
        <v>45641833.264745638</v>
      </c>
      <c r="E107" s="1456">
        <f t="shared" si="29"/>
        <v>0.80122424242424228</v>
      </c>
      <c r="F107" s="1506">
        <f t="shared" si="30"/>
        <v>0.31313030303030298</v>
      </c>
      <c r="G107" s="1511">
        <f>B107*F107*'Input data'!$C$9</f>
        <v>613.81291267606582</v>
      </c>
      <c r="H107" s="1510">
        <f>'Input data'!I127</f>
        <v>424.26313389388866</v>
      </c>
      <c r="I107" s="1511">
        <f>'Input data'!K127</f>
        <v>27172.160478577796</v>
      </c>
      <c r="J107" s="1511">
        <f t="shared" si="77"/>
        <v>6538.5401545638715</v>
      </c>
      <c r="K107" s="1513">
        <f t="shared" si="78"/>
        <v>6088.8640948440307</v>
      </c>
      <c r="L107" s="1506">
        <f>($L$110-$L$97)/($A$110-$A$97)*L106+L106</f>
        <v>0.57999999999999996</v>
      </c>
      <c r="M107" s="1506">
        <f>($M$110-$M$97)/($A$110-$A$97)*M106+M106</f>
        <v>0.437</v>
      </c>
      <c r="N107" s="1506">
        <f>($N$110-$N$97)/($A$110-$A$97)*N106+N106</f>
        <v>0.71200000000000008</v>
      </c>
      <c r="O107" s="1506">
        <f>($L$110-$L$97)/($A$110-$A$97)*O106+O106</f>
        <v>0.8</v>
      </c>
      <c r="P107" s="1506">
        <f t="shared" si="35"/>
        <v>0.23600000000000002</v>
      </c>
      <c r="Q107" s="1510">
        <f t="shared" si="36"/>
        <v>0</v>
      </c>
      <c r="R107" s="1511">
        <f t="shared" si="37"/>
        <v>0</v>
      </c>
      <c r="S107" s="1511">
        <f t="shared" si="38"/>
        <v>0</v>
      </c>
      <c r="T107" s="1511">
        <f t="shared" si="39"/>
        <v>0</v>
      </c>
      <c r="U107" s="1513">
        <f t="shared" si="40"/>
        <v>0</v>
      </c>
      <c r="V107" s="1511">
        <f t="shared" si="10"/>
        <v>0</v>
      </c>
      <c r="W107" s="1456">
        <f>$C$27</f>
        <v>0.5</v>
      </c>
      <c r="X107" s="530">
        <f t="shared" si="41"/>
        <v>3033.4854703020706</v>
      </c>
      <c r="Y107" s="528">
        <f t="shared" si="79"/>
        <v>3033.4854703020706</v>
      </c>
      <c r="Z107" s="528">
        <f t="shared" si="80"/>
        <v>9593.9187791058321</v>
      </c>
      <c r="AA107" s="530">
        <f t="shared" si="81"/>
        <v>3055.3786245419606</v>
      </c>
      <c r="AB107" s="1091">
        <f t="shared" si="42"/>
        <v>0.31847034511029354</v>
      </c>
      <c r="AC107" s="135" t="str">
        <f t="shared" si="43"/>
        <v>Yes</v>
      </c>
      <c r="AD107" s="1091">
        <f t="shared" si="44"/>
        <v>0.31847034511029354</v>
      </c>
      <c r="AE107" s="649">
        <f t="shared" si="11"/>
        <v>0.16554621920854717</v>
      </c>
      <c r="AF107" s="530">
        <f t="shared" si="45"/>
        <v>354.0279761281858</v>
      </c>
      <c r="AG107" s="527">
        <f t="shared" si="46"/>
        <v>6538.5401545638715</v>
      </c>
      <c r="AH107" s="528">
        <f t="shared" si="82"/>
        <v>7448.2848904740404</v>
      </c>
      <c r="AI107" s="528">
        <f t="shared" si="83"/>
        <v>6437.6604656145792</v>
      </c>
      <c r="AJ107" s="528">
        <f t="shared" si="12"/>
        <v>2249.4265329688442</v>
      </c>
      <c r="AK107" s="528">
        <f t="shared" si="47"/>
        <v>22673.912043621334</v>
      </c>
      <c r="AL107" s="716">
        <f t="shared" si="13"/>
        <v>0</v>
      </c>
      <c r="AM107" s="649">
        <f t="shared" si="48"/>
        <v>0.28837282873747871</v>
      </c>
      <c r="AN107" s="417">
        <f t="shared" si="49"/>
        <v>0.32849580064280992</v>
      </c>
      <c r="AO107" s="417">
        <f t="shared" si="50"/>
        <v>0.2839236763920337</v>
      </c>
      <c r="AP107" s="417">
        <f t="shared" si="51"/>
        <v>9.9207694227677709E-2</v>
      </c>
      <c r="AQ107" s="525">
        <f t="shared" si="52"/>
        <v>1</v>
      </c>
      <c r="AR107" s="1086">
        <f t="shared" si="14"/>
        <v>1154.0919824490891</v>
      </c>
      <c r="AS107" s="938">
        <f t="shared" si="15"/>
        <v>1463.7008578828006</v>
      </c>
      <c r="AT107" s="938">
        <f t="shared" si="16"/>
        <v>507.73593596119815</v>
      </c>
      <c r="AU107" s="938">
        <f t="shared" si="17"/>
        <v>0</v>
      </c>
      <c r="AV107" s="938">
        <f t="shared" si="18"/>
        <v>0</v>
      </c>
      <c r="AW107" s="938">
        <f t="shared" si="19"/>
        <v>0</v>
      </c>
      <c r="AX107" s="938">
        <f t="shared" si="20"/>
        <v>2161.0956802844271</v>
      </c>
      <c r="AY107" s="938">
        <f t="shared" si="21"/>
        <v>312.44516244473925</v>
      </c>
      <c r="AZ107" s="938">
        <f t="shared" si="22"/>
        <v>454.13743078204311</v>
      </c>
      <c r="BA107" s="938">
        <f t="shared" si="23"/>
        <v>399.22285232758378</v>
      </c>
      <c r="BB107" s="938">
        <f t="shared" si="24"/>
        <v>86.110252431989224</v>
      </c>
      <c r="BC107" s="530">
        <f t="shared" si="53"/>
        <v>6538.5401545638706</v>
      </c>
      <c r="BD107" s="724">
        <f t="shared" si="54"/>
        <v>0</v>
      </c>
      <c r="BE107" s="436">
        <f t="shared" si="55"/>
        <v>0.17650606330581883</v>
      </c>
      <c r="BF107" s="624">
        <f t="shared" si="56"/>
        <v>0.22385743962452295</v>
      </c>
      <c r="BG107" s="624">
        <f t="shared" si="57"/>
        <v>7.7652797713079855E-2</v>
      </c>
      <c r="BH107" s="624">
        <f t="shared" si="58"/>
        <v>0</v>
      </c>
      <c r="BI107" s="624">
        <f t="shared" si="59"/>
        <v>0</v>
      </c>
      <c r="BJ107" s="624">
        <f t="shared" si="60"/>
        <v>0</v>
      </c>
      <c r="BK107" s="624">
        <f t="shared" si="61"/>
        <v>0.52198369935657829</v>
      </c>
      <c r="BL107" s="624">
        <f t="shared" si="62"/>
        <v>1</v>
      </c>
      <c r="BM107" s="649">
        <f t="shared" si="84"/>
        <v>0.29028184578274857</v>
      </c>
      <c r="BN107" s="417">
        <f t="shared" si="63"/>
        <v>0.30317187715157518</v>
      </c>
      <c r="BO107" s="417">
        <f t="shared" si="63"/>
        <v>8.2805443243048754E-2</v>
      </c>
      <c r="BP107" s="417">
        <f t="shared" si="63"/>
        <v>0</v>
      </c>
      <c r="BQ107" s="417">
        <f t="shared" si="63"/>
        <v>0</v>
      </c>
      <c r="BR107" s="417">
        <f t="shared" si="63"/>
        <v>0</v>
      </c>
      <c r="BS107" s="417">
        <f t="shared" si="63"/>
        <v>0.32374083382262742</v>
      </c>
      <c r="BT107" s="525">
        <f t="shared" si="85"/>
        <v>0.99999999999999989</v>
      </c>
      <c r="BV107" s="527">
        <f t="shared" si="64"/>
        <v>88.401400463402908</v>
      </c>
      <c r="BW107" s="114">
        <f t="shared" si="65"/>
        <v>0.47179359455982506</v>
      </c>
      <c r="BX107" s="1695">
        <f t="shared" si="25"/>
        <v>45.641833264745635</v>
      </c>
      <c r="BY107" s="527">
        <f t="shared" si="66"/>
        <v>88.401400463402908</v>
      </c>
      <c r="BZ107" s="417">
        <f t="shared" si="67"/>
        <v>0.47179359455982506</v>
      </c>
      <c r="CA107" s="544">
        <f t="shared" si="26"/>
        <v>45.641833264745635</v>
      </c>
      <c r="CB107" s="649">
        <f t="shared" si="27"/>
        <v>0.16554621920854717</v>
      </c>
      <c r="CC107" s="525">
        <f t="shared" si="68"/>
        <v>0.24934254852117821</v>
      </c>
      <c r="CD107" s="417">
        <f t="shared" si="28"/>
        <v>0.16554621920854717</v>
      </c>
      <c r="CE107" s="525">
        <f t="shared" si="69"/>
        <v>0.24934254852117821</v>
      </c>
      <c r="CG107" s="527">
        <f t="shared" si="70"/>
        <v>1406.221883553249</v>
      </c>
      <c r="CH107" s="528">
        <f t="shared" si="71"/>
        <v>544.31618197946807</v>
      </c>
      <c r="CI107" s="528">
        <f t="shared" si="72"/>
        <v>2251.7078973111029</v>
      </c>
      <c r="CJ107" s="528">
        <f t="shared" si="73"/>
        <v>3202.6732397588221</v>
      </c>
      <c r="CK107" s="528">
        <f t="shared" si="74"/>
        <v>43.365687871397228</v>
      </c>
      <c r="CL107" s="528">
        <f t="shared" si="75"/>
        <v>7448.2848904740395</v>
      </c>
      <c r="CM107" s="646">
        <f t="shared" si="76"/>
        <v>0</v>
      </c>
    </row>
    <row r="108" spans="1:91">
      <c r="A108" s="873">
        <f>'Input data'!A128</f>
        <v>2028</v>
      </c>
      <c r="B108" s="1553">
        <f>'Input data'!B128</f>
        <v>64.676158618096451</v>
      </c>
      <c r="C108" s="1552">
        <f>'Input data'!C128</f>
        <v>3555.7273448150845</v>
      </c>
      <c r="D108" s="1554">
        <f>'Input data'!D128</f>
        <v>44757313.865039073</v>
      </c>
      <c r="E108" s="1456">
        <f t="shared" si="29"/>
        <v>0.80986666666666651</v>
      </c>
      <c r="F108" s="1506">
        <f t="shared" si="30"/>
        <v>0.31548333333333328</v>
      </c>
      <c r="G108" s="1511">
        <f>B108*F108*'Input data'!$C$9</f>
        <v>624.5147284656291</v>
      </c>
      <c r="H108" s="1510">
        <f>'Input data'!I128</f>
        <v>424.26313389388866</v>
      </c>
      <c r="I108" s="1511">
        <f>'Input data'!K128</f>
        <v>27439.709743531836</v>
      </c>
      <c r="J108" s="1511">
        <f t="shared" si="77"/>
        <v>6199.0428971457768</v>
      </c>
      <c r="K108" s="1513">
        <f t="shared" si="78"/>
        <v>6552.6964314646102</v>
      </c>
      <c r="L108" s="1506">
        <f>($L$110-$L$97)/($A$110-$A$97)*L107+L107</f>
        <v>0.57999999999999996</v>
      </c>
      <c r="M108" s="1506">
        <f>($M$110-$M$97)/($A$110-$A$97)*M107+M107</f>
        <v>0.437</v>
      </c>
      <c r="N108" s="1506">
        <f>($N$110-$N$97)/($A$110-$A$97)*N107+N107</f>
        <v>0.71200000000000008</v>
      </c>
      <c r="O108" s="1506">
        <f>($L$110-$L$97)/($A$110-$A$97)*O107+O107</f>
        <v>0.8</v>
      </c>
      <c r="P108" s="1506">
        <f t="shared" si="35"/>
        <v>0.23600000000000002</v>
      </c>
      <c r="Q108" s="1510">
        <f t="shared" si="36"/>
        <v>0</v>
      </c>
      <c r="R108" s="1511">
        <f t="shared" si="37"/>
        <v>0</v>
      </c>
      <c r="S108" s="1511">
        <f t="shared" si="38"/>
        <v>0</v>
      </c>
      <c r="T108" s="1511">
        <f t="shared" si="39"/>
        <v>0</v>
      </c>
      <c r="U108" s="1513">
        <f t="shared" si="40"/>
        <v>0</v>
      </c>
      <c r="V108" s="1511">
        <f t="shared" si="10"/>
        <v>0</v>
      </c>
      <c r="W108" s="1456">
        <f>W107</f>
        <v>0.5</v>
      </c>
      <c r="X108" s="530">
        <f t="shared" si="41"/>
        <v>3033.4854703020706</v>
      </c>
      <c r="Y108" s="528">
        <f t="shared" si="79"/>
        <v>3033.4854703020706</v>
      </c>
      <c r="Z108" s="528">
        <f t="shared" si="80"/>
        <v>9718.2538583083169</v>
      </c>
      <c r="AA108" s="530">
        <f t="shared" si="81"/>
        <v>3519.2109611625401</v>
      </c>
      <c r="AB108" s="1091">
        <f t="shared" si="42"/>
        <v>0.3621237943021936</v>
      </c>
      <c r="AC108" s="135" t="str">
        <f t="shared" si="43"/>
        <v>Yes</v>
      </c>
      <c r="AD108" s="1091">
        <f t="shared" si="44"/>
        <v>0.3621237943021936</v>
      </c>
      <c r="AE108" s="649">
        <f t="shared" si="11"/>
        <v>0.18787758011779954</v>
      </c>
      <c r="AF108" s="530">
        <f t="shared" si="45"/>
        <v>344.55360296471088</v>
      </c>
      <c r="AG108" s="527">
        <f t="shared" si="46"/>
        <v>6199.0428971457768</v>
      </c>
      <c r="AH108" s="528">
        <f t="shared" si="82"/>
        <v>7521.6240402698641</v>
      </c>
      <c r="AI108" s="528">
        <f t="shared" si="83"/>
        <v>6437.6604656145792</v>
      </c>
      <c r="AJ108" s="528">
        <f t="shared" si="12"/>
        <v>2126.0760747520476</v>
      </c>
      <c r="AK108" s="528">
        <f t="shared" si="47"/>
        <v>22284.403477782267</v>
      </c>
      <c r="AL108" s="716">
        <f t="shared" si="13"/>
        <v>0</v>
      </c>
      <c r="AM108" s="649">
        <f t="shared" si="48"/>
        <v>0.27817854327248531</v>
      </c>
      <c r="AN108" s="417">
        <f t="shared" si="49"/>
        <v>0.33752862389917615</v>
      </c>
      <c r="AO108" s="417">
        <f t="shared" si="50"/>
        <v>0.28888637167393688</v>
      </c>
      <c r="AP108" s="417">
        <f t="shared" si="51"/>
        <v>9.5406461154401684E-2</v>
      </c>
      <c r="AQ108" s="525">
        <f t="shared" si="52"/>
        <v>1</v>
      </c>
      <c r="AR108" s="1086">
        <f t="shared" si="14"/>
        <v>1099.2054164401477</v>
      </c>
      <c r="AS108" s="938">
        <f t="shared" si="15"/>
        <v>1394.0898433577318</v>
      </c>
      <c r="AT108" s="938">
        <f t="shared" si="16"/>
        <v>479.89352393483699</v>
      </c>
      <c r="AU108" s="938">
        <f t="shared" si="17"/>
        <v>0</v>
      </c>
      <c r="AV108" s="938">
        <f t="shared" si="18"/>
        <v>0</v>
      </c>
      <c r="AW108" s="938">
        <f t="shared" si="19"/>
        <v>0</v>
      </c>
      <c r="AX108" s="938">
        <f t="shared" si="20"/>
        <v>2042.5889682374259</v>
      </c>
      <c r="AY108" s="938">
        <f t="shared" si="21"/>
        <v>295.31179383264521</v>
      </c>
      <c r="AZ108" s="938">
        <f t="shared" si="22"/>
        <v>429.23416794623495</v>
      </c>
      <c r="BA108" s="938">
        <f t="shared" si="23"/>
        <v>377.33090740585732</v>
      </c>
      <c r="BB108" s="938">
        <f t="shared" si="24"/>
        <v>81.388275990895551</v>
      </c>
      <c r="BC108" s="530">
        <f t="shared" si="53"/>
        <v>6199.042897145775</v>
      </c>
      <c r="BD108" s="724">
        <f t="shared" si="54"/>
        <v>0</v>
      </c>
      <c r="BE108" s="436">
        <f t="shared" si="55"/>
        <v>0.17731856912076779</v>
      </c>
      <c r="BF108" s="624">
        <f t="shared" si="56"/>
        <v>0.22488791681045028</v>
      </c>
      <c r="BG108" s="624">
        <f t="shared" si="57"/>
        <v>7.7414131809895093E-2</v>
      </c>
      <c r="BH108" s="624">
        <f t="shared" si="58"/>
        <v>0</v>
      </c>
      <c r="BI108" s="624">
        <f t="shared" si="59"/>
        <v>0</v>
      </c>
      <c r="BJ108" s="624">
        <f t="shared" si="60"/>
        <v>0</v>
      </c>
      <c r="BK108" s="624">
        <f t="shared" si="61"/>
        <v>0.52037938225888702</v>
      </c>
      <c r="BL108" s="624">
        <f t="shared" si="62"/>
        <v>1.0000000000000002</v>
      </c>
      <c r="BM108" s="649">
        <f t="shared" si="84"/>
        <v>0.29028184578274857</v>
      </c>
      <c r="BN108" s="417">
        <f t="shared" si="63"/>
        <v>0.30317187715157518</v>
      </c>
      <c r="BO108" s="417">
        <f t="shared" si="63"/>
        <v>8.2805443243048754E-2</v>
      </c>
      <c r="BP108" s="417">
        <f t="shared" si="63"/>
        <v>0</v>
      </c>
      <c r="BQ108" s="417">
        <f t="shared" si="63"/>
        <v>0</v>
      </c>
      <c r="BR108" s="417">
        <f t="shared" si="63"/>
        <v>0</v>
      </c>
      <c r="BS108" s="417">
        <f t="shared" si="63"/>
        <v>0.32374083382262742</v>
      </c>
      <c r="BT108" s="525">
        <f t="shared" si="85"/>
        <v>0.99999999999999989</v>
      </c>
      <c r="BV108" s="527">
        <f t="shared" si="64"/>
        <v>86.867056487076852</v>
      </c>
      <c r="BW108" s="114">
        <f t="shared" si="65"/>
        <v>0.49037403173060734</v>
      </c>
      <c r="BX108" s="1695">
        <f t="shared" si="25"/>
        <v>44.757313865039073</v>
      </c>
      <c r="BY108" s="527">
        <f t="shared" si="66"/>
        <v>86.867056487076852</v>
      </c>
      <c r="BZ108" s="417">
        <f t="shared" si="67"/>
        <v>0.49037403173060734</v>
      </c>
      <c r="CA108" s="544">
        <f t="shared" si="26"/>
        <v>44.757313865039073</v>
      </c>
      <c r="CB108" s="649">
        <f t="shared" si="27"/>
        <v>0.18787758011779954</v>
      </c>
      <c r="CC108" s="525">
        <f t="shared" si="68"/>
        <v>0.2634201562795454</v>
      </c>
      <c r="CD108" s="417">
        <f t="shared" si="28"/>
        <v>0.18787758011779954</v>
      </c>
      <c r="CE108" s="525">
        <f t="shared" si="69"/>
        <v>0.2634201562795454</v>
      </c>
      <c r="CG108" s="527">
        <f t="shared" si="70"/>
        <v>1420.0681741933902</v>
      </c>
      <c r="CH108" s="528">
        <f t="shared" si="71"/>
        <v>549.67576295596086</v>
      </c>
      <c r="CI108" s="528">
        <f t="shared" si="72"/>
        <v>2273.8792220127862</v>
      </c>
      <c r="CJ108" s="528">
        <f t="shared" si="73"/>
        <v>3234.2081952461122</v>
      </c>
      <c r="CK108" s="528">
        <f t="shared" si="74"/>
        <v>43.792685861614679</v>
      </c>
      <c r="CL108" s="528">
        <f t="shared" si="75"/>
        <v>7521.6240402698641</v>
      </c>
      <c r="CM108" s="646">
        <f t="shared" si="76"/>
        <v>0</v>
      </c>
    </row>
    <row r="109" spans="1:91">
      <c r="A109" s="873">
        <f>'Input data'!A129</f>
        <v>2029</v>
      </c>
      <c r="B109" s="1553">
        <f>'Input data'!B129</f>
        <v>65.31298905018393</v>
      </c>
      <c r="C109" s="1552">
        <f>'Input data'!C129</f>
        <v>3635.303730869829</v>
      </c>
      <c r="D109" s="1554">
        <f>'Input data'!D129</f>
        <v>43023314.860788628</v>
      </c>
      <c r="E109" s="1456">
        <f t="shared" si="29"/>
        <v>0.81850909090909074</v>
      </c>
      <c r="F109" s="1506">
        <f t="shared" si="30"/>
        <v>0.31783636363636358</v>
      </c>
      <c r="G109" s="1511">
        <f>B109*F109*'Input data'!$C$9</f>
        <v>635.36778328058904</v>
      </c>
      <c r="H109" s="1510">
        <f>'Input data'!I129</f>
        <v>424.26313389388866</v>
      </c>
      <c r="I109" s="1511">
        <f>'Input data'!K129</f>
        <v>27709.893418408268</v>
      </c>
      <c r="J109" s="1511">
        <f t="shared" si="77"/>
        <v>5877.1731812078651</v>
      </c>
      <c r="K109" s="1513">
        <f t="shared" si="78"/>
        <v>7000.1254854958279</v>
      </c>
      <c r="L109" s="1506">
        <f>($L$110-$L$97)/($A$110-$A$97)*L108+L108</f>
        <v>0.57999999999999996</v>
      </c>
      <c r="M109" s="1506">
        <f>($L$110-$L$97)/($A$110-$A$97)*M108+M108</f>
        <v>0.437</v>
      </c>
      <c r="N109" s="1506">
        <f>($N$110-$N$97)/($A$110-$A$97)*N108+N108</f>
        <v>0.71200000000000008</v>
      </c>
      <c r="O109" s="1506">
        <f>($L$110-$L$97)/($A$110-$A$97)*O108+O108</f>
        <v>0.8</v>
      </c>
      <c r="P109" s="1506">
        <f t="shared" si="35"/>
        <v>0.23600000000000002</v>
      </c>
      <c r="Q109" s="1510">
        <f t="shared" si="36"/>
        <v>0</v>
      </c>
      <c r="R109" s="1511">
        <f t="shared" si="37"/>
        <v>0</v>
      </c>
      <c r="S109" s="1511">
        <f t="shared" si="38"/>
        <v>0</v>
      </c>
      <c r="T109" s="1511">
        <f t="shared" si="39"/>
        <v>0</v>
      </c>
      <c r="U109" s="1513">
        <f t="shared" si="40"/>
        <v>0</v>
      </c>
      <c r="V109" s="1511">
        <f t="shared" si="10"/>
        <v>0</v>
      </c>
      <c r="W109" s="1456">
        <f t="shared" ref="W109:W130" si="86">W108</f>
        <v>0.5</v>
      </c>
      <c r="X109" s="530">
        <f t="shared" si="41"/>
        <v>3033.4854703020706</v>
      </c>
      <c r="Y109" s="528">
        <f t="shared" si="79"/>
        <v>3033.4854703020706</v>
      </c>
      <c r="Z109" s="528">
        <f t="shared" si="80"/>
        <v>9843.8131964016229</v>
      </c>
      <c r="AA109" s="530">
        <f t="shared" si="81"/>
        <v>3966.6400151937578</v>
      </c>
      <c r="AB109" s="1091">
        <f t="shared" si="42"/>
        <v>0.40295766854289267</v>
      </c>
      <c r="AC109" s="135" t="str">
        <f t="shared" si="43"/>
        <v>Yes</v>
      </c>
      <c r="AD109" s="1091">
        <f t="shared" si="44"/>
        <v>0.40295766854289267</v>
      </c>
      <c r="AE109" s="649">
        <f t="shared" si="11"/>
        <v>0.20894363003364869</v>
      </c>
      <c r="AF109" s="530">
        <f t="shared" si="45"/>
        <v>335.61605460864763</v>
      </c>
      <c r="AG109" s="527">
        <f t="shared" si="46"/>
        <v>5877.1731812078651</v>
      </c>
      <c r="AH109" s="528">
        <f t="shared" si="82"/>
        <v>7595.6853201898566</v>
      </c>
      <c r="AI109" s="528">
        <f t="shared" si="83"/>
        <v>6437.6604656145792</v>
      </c>
      <c r="AJ109" s="528">
        <f t="shared" si="12"/>
        <v>2009.5687327082351</v>
      </c>
      <c r="AK109" s="528">
        <f t="shared" si="47"/>
        <v>21920.087699720534</v>
      </c>
      <c r="AL109" s="716">
        <f t="shared" si="13"/>
        <v>0</v>
      </c>
      <c r="AM109" s="649">
        <f t="shared" si="48"/>
        <v>0.26811814175737969</v>
      </c>
      <c r="AN109" s="417">
        <f t="shared" si="49"/>
        <v>0.34651710450440837</v>
      </c>
      <c r="AO109" s="417">
        <f t="shared" si="50"/>
        <v>0.29368771483960143</v>
      </c>
      <c r="AP109" s="417">
        <f t="shared" si="51"/>
        <v>9.1677038898610591E-2</v>
      </c>
      <c r="AQ109" s="525">
        <f t="shared" si="52"/>
        <v>1.0000000000000002</v>
      </c>
      <c r="AR109" s="1086">
        <f t="shared" si="14"/>
        <v>1046.831777980605</v>
      </c>
      <c r="AS109" s="938">
        <f t="shared" si="15"/>
        <v>1327.6659008042118</v>
      </c>
      <c r="AT109" s="938">
        <f t="shared" si="16"/>
        <v>453.59572603303462</v>
      </c>
      <c r="AU109" s="938">
        <f t="shared" si="17"/>
        <v>0</v>
      </c>
      <c r="AV109" s="938">
        <f t="shared" si="18"/>
        <v>0</v>
      </c>
      <c r="AW109" s="938">
        <f t="shared" si="19"/>
        <v>0</v>
      </c>
      <c r="AX109" s="938">
        <f t="shared" si="20"/>
        <v>1930.6566557470978</v>
      </c>
      <c r="AY109" s="938">
        <f t="shared" si="21"/>
        <v>279.12893350030998</v>
      </c>
      <c r="AZ109" s="938">
        <f t="shared" si="22"/>
        <v>405.71246398856471</v>
      </c>
      <c r="BA109" s="938">
        <f t="shared" si="23"/>
        <v>356.6534624099329</v>
      </c>
      <c r="BB109" s="938">
        <f t="shared" si="24"/>
        <v>76.928260744106552</v>
      </c>
      <c r="BC109" s="530">
        <f t="shared" si="53"/>
        <v>5877.1731812078642</v>
      </c>
      <c r="BD109" s="724">
        <f t="shared" si="54"/>
        <v>0</v>
      </c>
      <c r="BE109" s="436">
        <f t="shared" si="55"/>
        <v>0.17811824591588135</v>
      </c>
      <c r="BF109" s="624">
        <f t="shared" si="56"/>
        <v>0.22590212332850684</v>
      </c>
      <c r="BG109" s="624">
        <f t="shared" si="57"/>
        <v>7.717923431002463E-2</v>
      </c>
      <c r="BH109" s="624">
        <f t="shared" si="58"/>
        <v>0</v>
      </c>
      <c r="BI109" s="624">
        <f t="shared" si="59"/>
        <v>0</v>
      </c>
      <c r="BJ109" s="624">
        <f t="shared" si="60"/>
        <v>0</v>
      </c>
      <c r="BK109" s="624">
        <f t="shared" si="61"/>
        <v>0.51880039644558706</v>
      </c>
      <c r="BL109" s="624">
        <f t="shared" si="62"/>
        <v>0.99999999999999989</v>
      </c>
      <c r="BM109" s="649">
        <f t="shared" si="84"/>
        <v>0.29028184578274857</v>
      </c>
      <c r="BN109" s="417">
        <f t="shared" si="63"/>
        <v>0.30317187715157518</v>
      </c>
      <c r="BO109" s="417">
        <f t="shared" si="63"/>
        <v>8.2805443243048754E-2</v>
      </c>
      <c r="BP109" s="417">
        <f t="shared" si="63"/>
        <v>0</v>
      </c>
      <c r="BQ109" s="417">
        <f t="shared" si="63"/>
        <v>0</v>
      </c>
      <c r="BR109" s="417">
        <f t="shared" si="63"/>
        <v>0</v>
      </c>
      <c r="BS109" s="417">
        <f t="shared" si="63"/>
        <v>0.32374083382262742</v>
      </c>
      <c r="BT109" s="525">
        <f t="shared" si="85"/>
        <v>0.99999999999999989</v>
      </c>
      <c r="BV109" s="527">
        <f t="shared" si="64"/>
        <v>85.327222271885603</v>
      </c>
      <c r="BW109" s="114">
        <f t="shared" si="65"/>
        <v>0.50811577608664127</v>
      </c>
      <c r="BX109" s="1695">
        <f t="shared" si="25"/>
        <v>43.023314860788631</v>
      </c>
      <c r="BY109" s="527">
        <f t="shared" si="66"/>
        <v>85.327222271885603</v>
      </c>
      <c r="BZ109" s="417">
        <f t="shared" si="67"/>
        <v>0.50811577608664127</v>
      </c>
      <c r="CA109" s="544">
        <f t="shared" si="26"/>
        <v>43.023314860788631</v>
      </c>
      <c r="CB109" s="649">
        <f t="shared" si="27"/>
        <v>0.20894363003364869</v>
      </c>
      <c r="CC109" s="525">
        <f t="shared" si="68"/>
        <v>0.27039131778212488</v>
      </c>
      <c r="CD109" s="417">
        <f t="shared" si="28"/>
        <v>0.20894363003364869</v>
      </c>
      <c r="CE109" s="525">
        <f t="shared" si="69"/>
        <v>0.27039131778212488</v>
      </c>
      <c r="CG109" s="527">
        <f t="shared" si="70"/>
        <v>1434.050801614188</v>
      </c>
      <c r="CH109" s="528">
        <f t="shared" si="71"/>
        <v>555.08811676779214</v>
      </c>
      <c r="CI109" s="528">
        <f t="shared" si="72"/>
        <v>2296.2688555100353</v>
      </c>
      <c r="CJ109" s="528">
        <f t="shared" si="73"/>
        <v>3266.0536580325047</v>
      </c>
      <c r="CK109" s="528">
        <f t="shared" si="74"/>
        <v>44.223888265335049</v>
      </c>
      <c r="CL109" s="528">
        <f t="shared" si="75"/>
        <v>7595.6853201898539</v>
      </c>
      <c r="CM109" s="646">
        <f t="shared" si="76"/>
        <v>0</v>
      </c>
    </row>
    <row r="110" spans="1:91" s="1" customFormat="1">
      <c r="A110" s="873">
        <f>'Input data'!A130</f>
        <v>2030</v>
      </c>
      <c r="B110" s="1553">
        <f>'Input data'!B130</f>
        <v>65.956090000000003</v>
      </c>
      <c r="C110" s="1552">
        <f>'Input data'!C130</f>
        <v>3717.2759118719223</v>
      </c>
      <c r="D110" s="1554">
        <f>'Input data'!D130</f>
        <v>41579903.969008513</v>
      </c>
      <c r="E110" s="1456">
        <f t="shared" si="29"/>
        <v>0.82715151515151497</v>
      </c>
      <c r="F110" s="1506">
        <f t="shared" si="30"/>
        <v>0.32018939393939388</v>
      </c>
      <c r="G110" s="1511">
        <f>B110*F110*'Input data'!$C$9</f>
        <v>646.37401788713851</v>
      </c>
      <c r="H110" s="1510">
        <f>'Input data'!I130</f>
        <v>424.26313389388866</v>
      </c>
      <c r="I110" s="1511">
        <f>'Input data'!K130</f>
        <v>27982.737442787373</v>
      </c>
      <c r="J110" s="1511">
        <f>J97*(1-$C$4)</f>
        <v>5572.0157409803969</v>
      </c>
      <c r="K110" s="1513">
        <f t="shared" si="78"/>
        <v>7432.0785773089146</v>
      </c>
      <c r="L110" s="1506">
        <f>C18</f>
        <v>0.57999999999999996</v>
      </c>
      <c r="M110" s="1506">
        <f>D18</f>
        <v>0.437</v>
      </c>
      <c r="N110" s="1506">
        <f>E18</f>
        <v>0.71200000000000008</v>
      </c>
      <c r="O110" s="1506">
        <f>F18</f>
        <v>0.8</v>
      </c>
      <c r="P110" s="1506">
        <f>G18</f>
        <v>0.23600000000000002</v>
      </c>
      <c r="Q110" s="1510">
        <f t="shared" si="36"/>
        <v>0</v>
      </c>
      <c r="R110" s="1511">
        <f t="shared" si="37"/>
        <v>0</v>
      </c>
      <c r="S110" s="1511">
        <f t="shared" si="38"/>
        <v>0</v>
      </c>
      <c r="T110" s="1511">
        <f t="shared" si="39"/>
        <v>0</v>
      </c>
      <c r="U110" s="1513">
        <f t="shared" si="40"/>
        <v>0</v>
      </c>
      <c r="V110" s="1511">
        <f t="shared" si="10"/>
        <v>0</v>
      </c>
      <c r="W110" s="1456">
        <f t="shared" si="86"/>
        <v>0.5</v>
      </c>
      <c r="X110" s="530">
        <f t="shared" si="41"/>
        <v>3033.4854703020706</v>
      </c>
      <c r="Y110" s="528">
        <f t="shared" si="79"/>
        <v>3033.4854703020706</v>
      </c>
      <c r="Z110" s="528">
        <f t="shared" si="80"/>
        <v>9970.6088479872415</v>
      </c>
      <c r="AA110" s="530">
        <f t="shared" si="81"/>
        <v>4398.5931070068445</v>
      </c>
      <c r="AB110" s="1091">
        <f t="shared" si="42"/>
        <v>0.4411559187676673</v>
      </c>
      <c r="AC110" s="135" t="str">
        <f t="shared" si="43"/>
        <v>Yes</v>
      </c>
      <c r="AD110" s="1091">
        <f t="shared" si="44"/>
        <v>0.4411559187676673</v>
      </c>
      <c r="AE110" s="649">
        <f t="shared" si="11"/>
        <v>0.22882200098597416</v>
      </c>
      <c r="AF110" s="530">
        <f t="shared" si="45"/>
        <v>327.18239465170882</v>
      </c>
      <c r="AG110" s="527">
        <f t="shared" si="46"/>
        <v>5572.0157409803969</v>
      </c>
      <c r="AH110" s="528">
        <f t="shared" si="82"/>
        <v>7670.4758406507226</v>
      </c>
      <c r="AI110" s="528">
        <f t="shared" si="83"/>
        <v>6437.6604656145792</v>
      </c>
      <c r="AJ110" s="528">
        <f t="shared" si="12"/>
        <v>1899.5194208179271</v>
      </c>
      <c r="AK110" s="528">
        <f t="shared" si="47"/>
        <v>21579.671468063625</v>
      </c>
      <c r="AL110" s="716">
        <f t="shared" si="13"/>
        <v>0</v>
      </c>
      <c r="AM110" s="649">
        <f t="shared" si="48"/>
        <v>0.25820669926447132</v>
      </c>
      <c r="AN110" s="417">
        <f t="shared" si="49"/>
        <v>0.35544914814863982</v>
      </c>
      <c r="AO110" s="417">
        <f t="shared" si="50"/>
        <v>0.29832059654577492</v>
      </c>
      <c r="AP110" s="417">
        <f t="shared" si="51"/>
        <v>8.802355604111399E-2</v>
      </c>
      <c r="AQ110" s="525">
        <f t="shared" si="52"/>
        <v>1</v>
      </c>
      <c r="AR110" s="1086">
        <f t="shared" si="14"/>
        <v>996.86346907006885</v>
      </c>
      <c r="AS110" s="938">
        <f t="shared" si="15"/>
        <v>1264.2925668485441</v>
      </c>
      <c r="AT110" s="938">
        <f t="shared" si="16"/>
        <v>428.75562143056737</v>
      </c>
      <c r="AU110" s="938">
        <f t="shared" si="17"/>
        <v>0</v>
      </c>
      <c r="AV110" s="938">
        <f t="shared" si="18"/>
        <v>0</v>
      </c>
      <c r="AW110" s="938">
        <f t="shared" si="19"/>
        <v>0</v>
      </c>
      <c r="AX110" s="938">
        <f t="shared" si="20"/>
        <v>1824.9287784153903</v>
      </c>
      <c r="AY110" s="938">
        <f t="shared" si="21"/>
        <v>263.8430930309537</v>
      </c>
      <c r="AZ110" s="938">
        <f t="shared" si="22"/>
        <v>383.49457377134803</v>
      </c>
      <c r="BA110" s="938">
        <f t="shared" si="23"/>
        <v>337.1221731921645</v>
      </c>
      <c r="BB110" s="938">
        <f t="shared" si="24"/>
        <v>72.715465221358798</v>
      </c>
      <c r="BC110" s="530">
        <f t="shared" si="53"/>
        <v>5572.0157409803942</v>
      </c>
      <c r="BD110" s="724">
        <f t="shared" si="54"/>
        <v>0</v>
      </c>
      <c r="BE110" s="436">
        <f t="shared" si="55"/>
        <v>0.17890535766768509</v>
      </c>
      <c r="BF110" s="624">
        <f t="shared" si="56"/>
        <v>0.22690039397234227</v>
      </c>
      <c r="BG110" s="624">
        <f t="shared" si="57"/>
        <v>7.6948027672859368E-2</v>
      </c>
      <c r="BH110" s="624">
        <f t="shared" si="58"/>
        <v>0</v>
      </c>
      <c r="BI110" s="624">
        <f t="shared" si="59"/>
        <v>0</v>
      </c>
      <c r="BJ110" s="624">
        <f t="shared" si="60"/>
        <v>0</v>
      </c>
      <c r="BK110" s="624">
        <f t="shared" si="61"/>
        <v>0.51724622068711357</v>
      </c>
      <c r="BL110" s="624">
        <f t="shared" si="62"/>
        <v>1.0000000000000002</v>
      </c>
      <c r="BM110" s="649">
        <f t="shared" si="84"/>
        <v>0.29028184578274857</v>
      </c>
      <c r="BN110" s="417">
        <f t="shared" si="63"/>
        <v>0.30317187715157518</v>
      </c>
      <c r="BO110" s="417">
        <f t="shared" si="63"/>
        <v>8.2805443243048754E-2</v>
      </c>
      <c r="BP110" s="417">
        <f t="shared" si="63"/>
        <v>0</v>
      </c>
      <c r="BQ110" s="417">
        <f t="shared" si="63"/>
        <v>0</v>
      </c>
      <c r="BR110" s="417">
        <f t="shared" si="63"/>
        <v>0</v>
      </c>
      <c r="BS110" s="417">
        <f t="shared" si="63"/>
        <v>0.32374083382262742</v>
      </c>
      <c r="BT110" s="525">
        <f t="shared" si="85"/>
        <v>0.99999999999999989</v>
      </c>
      <c r="BV110" s="527">
        <f t="shared" si="64"/>
        <v>83.991490455063186</v>
      </c>
      <c r="BW110" s="114">
        <f t="shared" si="65"/>
        <v>0.52623926901169349</v>
      </c>
      <c r="BX110" s="1695">
        <f t="shared" si="25"/>
        <v>41.579903969008512</v>
      </c>
      <c r="BY110" s="527">
        <f t="shared" si="66"/>
        <v>83.991490455063186</v>
      </c>
      <c r="BZ110" s="417">
        <f t="shared" si="67"/>
        <v>0.52623926901169349</v>
      </c>
      <c r="CA110" s="544">
        <f t="shared" si="26"/>
        <v>41.579903969008512</v>
      </c>
      <c r="CB110" s="649">
        <f t="shared" si="27"/>
        <v>0.22882200098597416</v>
      </c>
      <c r="CC110" s="525">
        <f t="shared" si="68"/>
        <v>0.27807349992019603</v>
      </c>
      <c r="CD110" s="417">
        <f t="shared" si="28"/>
        <v>0.22882200098597416</v>
      </c>
      <c r="CE110" s="525">
        <f t="shared" si="69"/>
        <v>0.27807349992019603</v>
      </c>
      <c r="CG110" s="527">
        <f t="shared" si="70"/>
        <v>1448.1711082486611</v>
      </c>
      <c r="CH110" s="528">
        <f t="shared" si="71"/>
        <v>560.55376303994024</v>
      </c>
      <c r="CI110" s="528">
        <f t="shared" si="72"/>
        <v>2318.8789473690513</v>
      </c>
      <c r="CJ110" s="528">
        <f t="shared" si="73"/>
        <v>3298.2126855119714</v>
      </c>
      <c r="CK110" s="528">
        <f t="shared" si="74"/>
        <v>44.65933648109722</v>
      </c>
      <c r="CL110" s="528">
        <f t="shared" si="75"/>
        <v>7670.4758406507208</v>
      </c>
      <c r="CM110" s="646">
        <f t="shared" si="76"/>
        <v>0</v>
      </c>
    </row>
    <row r="111" spans="1:91">
      <c r="A111" s="873">
        <f>'Input data'!A131</f>
        <v>2031</v>
      </c>
      <c r="B111" s="1553">
        <f>'Input data'!B131</f>
        <v>66.518977190687664</v>
      </c>
      <c r="C111" s="1552">
        <f>'Input data'!C131</f>
        <v>3813.477009093895</v>
      </c>
      <c r="D111" s="1554">
        <f>'Input data'!D131</f>
        <v>40172018.684421316</v>
      </c>
      <c r="E111" s="1456">
        <f t="shared" si="29"/>
        <v>0.8357939393939392</v>
      </c>
      <c r="F111" s="1506">
        <f t="shared" si="30"/>
        <v>0.32254242424242419</v>
      </c>
      <c r="G111" s="1511">
        <f>B111*F111*'Input data'!$C$9</f>
        <v>656.68100693696977</v>
      </c>
      <c r="H111" s="1510">
        <f>'Input data'!I131</f>
        <v>424.26313389388866</v>
      </c>
      <c r="I111" s="1511">
        <f>'Input data'!K131</f>
        <v>28221.549726337245</v>
      </c>
      <c r="J111" s="1511">
        <f t="shared" ref="J111:J116" si="87">($J$117-$J$107)/($A$117-$A$107)+J110</f>
        <v>5308.2028273926371</v>
      </c>
      <c r="K111" s="1513">
        <f t="shared" si="78"/>
        <v>7806.8719646976406</v>
      </c>
      <c r="L111" s="1506">
        <f>L110</f>
        <v>0.57999999999999996</v>
      </c>
      <c r="M111" s="1506">
        <f t="shared" ref="M111:P111" si="88">M110</f>
        <v>0.437</v>
      </c>
      <c r="N111" s="1506">
        <f t="shared" si="88"/>
        <v>0.71200000000000008</v>
      </c>
      <c r="O111" s="1506">
        <f t="shared" si="88"/>
        <v>0.8</v>
      </c>
      <c r="P111" s="1506">
        <f t="shared" si="88"/>
        <v>0.23600000000000002</v>
      </c>
      <c r="Q111" s="1510">
        <f t="shared" si="36"/>
        <v>0</v>
      </c>
      <c r="R111" s="1511">
        <f t="shared" si="37"/>
        <v>0</v>
      </c>
      <c r="S111" s="1511">
        <f t="shared" si="38"/>
        <v>0</v>
      </c>
      <c r="T111" s="1511">
        <f t="shared" si="39"/>
        <v>0</v>
      </c>
      <c r="U111" s="1513">
        <f t="shared" si="40"/>
        <v>0</v>
      </c>
      <c r="V111" s="1511">
        <f t="shared" si="10"/>
        <v>0</v>
      </c>
      <c r="W111" s="1456">
        <f t="shared" si="86"/>
        <v>0.5</v>
      </c>
      <c r="X111" s="530">
        <f t="shared" si="41"/>
        <v>3033.4854703020706</v>
      </c>
      <c r="Y111" s="528">
        <f t="shared" si="79"/>
        <v>3033.4854703020706</v>
      </c>
      <c r="Z111" s="528">
        <f t="shared" si="80"/>
        <v>10081.589321788208</v>
      </c>
      <c r="AA111" s="530">
        <f t="shared" si="81"/>
        <v>4773.3864943955705</v>
      </c>
      <c r="AB111" s="1091">
        <f t="shared" si="42"/>
        <v>0.47347559417832918</v>
      </c>
      <c r="AC111" s="135" t="str">
        <f t="shared" si="43"/>
        <v>Yes</v>
      </c>
      <c r="AD111" s="1091">
        <f t="shared" si="44"/>
        <v>0.47347559417832918</v>
      </c>
      <c r="AE111" s="649">
        <f t="shared" si="11"/>
        <v>0.24572749882361522</v>
      </c>
      <c r="AF111" s="530">
        <f t="shared" si="45"/>
        <v>320.01001515907478</v>
      </c>
      <c r="AG111" s="527">
        <f t="shared" si="46"/>
        <v>5308.2028273926371</v>
      </c>
      <c r="AH111" s="528">
        <f t="shared" si="82"/>
        <v>7735.9377653521624</v>
      </c>
      <c r="AI111" s="528">
        <f t="shared" si="83"/>
        <v>6437.6604656145792</v>
      </c>
      <c r="AJ111" s="528">
        <f t="shared" si="12"/>
        <v>1804.937840798731</v>
      </c>
      <c r="AK111" s="528">
        <f t="shared" si="47"/>
        <v>21286.73889915811</v>
      </c>
      <c r="AL111" s="716">
        <f t="shared" si="13"/>
        <v>0</v>
      </c>
      <c r="AM111" s="649">
        <f t="shared" si="48"/>
        <v>0.24936665275687561</v>
      </c>
      <c r="AN111" s="417">
        <f t="shared" si="49"/>
        <v>0.36341582437778286</v>
      </c>
      <c r="AO111" s="417">
        <f t="shared" si="50"/>
        <v>0.30242586692643597</v>
      </c>
      <c r="AP111" s="417">
        <f t="shared" si="51"/>
        <v>8.479165593890553E-2</v>
      </c>
      <c r="AQ111" s="525">
        <f t="shared" si="52"/>
        <v>1</v>
      </c>
      <c r="AR111" s="1086">
        <f t="shared" si="14"/>
        <v>953.23668393184289</v>
      </c>
      <c r="AS111" s="938">
        <f t="shared" si="15"/>
        <v>1208.9620006505363</v>
      </c>
      <c r="AT111" s="938">
        <f t="shared" si="16"/>
        <v>407.40686149024856</v>
      </c>
      <c r="AU111" s="938">
        <f t="shared" si="17"/>
        <v>0</v>
      </c>
      <c r="AV111" s="938">
        <f t="shared" si="18"/>
        <v>0</v>
      </c>
      <c r="AW111" s="938">
        <f t="shared" si="19"/>
        <v>0</v>
      </c>
      <c r="AX111" s="938">
        <f t="shared" si="20"/>
        <v>1734.0612435045307</v>
      </c>
      <c r="AY111" s="938">
        <f t="shared" si="21"/>
        <v>250.70571926023757</v>
      </c>
      <c r="AZ111" s="938">
        <f t="shared" si="22"/>
        <v>364.39946881029215</v>
      </c>
      <c r="BA111" s="938">
        <f t="shared" si="23"/>
        <v>320.33606010978809</v>
      </c>
      <c r="BB111" s="938">
        <f t="shared" si="24"/>
        <v>69.09478963515943</v>
      </c>
      <c r="BC111" s="530">
        <f t="shared" si="53"/>
        <v>5308.2028273926362</v>
      </c>
      <c r="BD111" s="724">
        <f t="shared" si="54"/>
        <v>0</v>
      </c>
      <c r="BE111" s="436">
        <f t="shared" si="55"/>
        <v>0.17957804457145587</v>
      </c>
      <c r="BF111" s="624">
        <f t="shared" si="56"/>
        <v>0.22775354295276104</v>
      </c>
      <c r="BG111" s="624">
        <f t="shared" si="57"/>
        <v>7.6750432253238687E-2</v>
      </c>
      <c r="BH111" s="624">
        <f t="shared" si="58"/>
        <v>0</v>
      </c>
      <c r="BI111" s="624">
        <f t="shared" si="59"/>
        <v>0</v>
      </c>
      <c r="BJ111" s="624">
        <f t="shared" si="60"/>
        <v>0</v>
      </c>
      <c r="BK111" s="624">
        <f t="shared" si="61"/>
        <v>0.51591798022254431</v>
      </c>
      <c r="BL111" s="624">
        <f t="shared" si="62"/>
        <v>1</v>
      </c>
      <c r="BM111" s="649">
        <f t="shared" si="84"/>
        <v>0.29028184578274857</v>
      </c>
      <c r="BN111" s="417">
        <f t="shared" si="63"/>
        <v>0.30317187715157518</v>
      </c>
      <c r="BO111" s="417">
        <f t="shared" si="63"/>
        <v>8.2805443243048754E-2</v>
      </c>
      <c r="BP111" s="417">
        <f t="shared" si="63"/>
        <v>0</v>
      </c>
      <c r="BQ111" s="417">
        <f t="shared" si="63"/>
        <v>0</v>
      </c>
      <c r="BR111" s="417">
        <f t="shared" si="63"/>
        <v>0</v>
      </c>
      <c r="BS111" s="417">
        <f t="shared" si="63"/>
        <v>0.32374083382262742</v>
      </c>
      <c r="BT111" s="525">
        <f t="shared" si="85"/>
        <v>0.99999999999999989</v>
      </c>
      <c r="BV111" s="527">
        <f t="shared" si="64"/>
        <v>82.7128751616263</v>
      </c>
      <c r="BW111" s="114">
        <f t="shared" si="65"/>
        <v>0.53660139717192534</v>
      </c>
      <c r="BX111" s="1695">
        <f t="shared" si="25"/>
        <v>40.172018684421317</v>
      </c>
      <c r="BY111" s="527">
        <f t="shared" si="66"/>
        <v>82.7128751616263</v>
      </c>
      <c r="BZ111" s="417">
        <f t="shared" si="67"/>
        <v>0.53660139717192534</v>
      </c>
      <c r="CA111" s="544">
        <f t="shared" si="26"/>
        <v>40.172018684421317</v>
      </c>
      <c r="CB111" s="649">
        <f t="shared" si="27"/>
        <v>0.24572749882361522</v>
      </c>
      <c r="CC111" s="525">
        <f t="shared" si="68"/>
        <v>0.28744228100760905</v>
      </c>
      <c r="CD111" s="417">
        <f t="shared" si="28"/>
        <v>0.24572749882361522</v>
      </c>
      <c r="CE111" s="525">
        <f t="shared" si="69"/>
        <v>0.28744228100760905</v>
      </c>
      <c r="CG111" s="527">
        <f t="shared" si="70"/>
        <v>1460.5301939184926</v>
      </c>
      <c r="CH111" s="528">
        <f t="shared" si="71"/>
        <v>565.33768114222528</v>
      </c>
      <c r="CI111" s="528">
        <f t="shared" si="72"/>
        <v>2338.6688902875799</v>
      </c>
      <c r="CJ111" s="528">
        <f t="shared" si="73"/>
        <v>3326.3605286124075</v>
      </c>
      <c r="CK111" s="528">
        <f t="shared" si="74"/>
        <v>45.040471391456826</v>
      </c>
      <c r="CL111" s="528">
        <f t="shared" si="75"/>
        <v>7735.9377653521615</v>
      </c>
      <c r="CM111" s="646">
        <f t="shared" si="76"/>
        <v>0</v>
      </c>
    </row>
    <row r="112" spans="1:91">
      <c r="A112" s="873">
        <f>'Input data'!A132</f>
        <v>2032</v>
      </c>
      <c r="B112" s="1553">
        <f>'Input data'!B132</f>
        <v>67.08666821358311</v>
      </c>
      <c r="C112" s="1552">
        <f>'Input data'!C132</f>
        <v>3916.9054384503629</v>
      </c>
      <c r="D112" s="1554">
        <f>'Input data'!D132</f>
        <v>39638613.148632608</v>
      </c>
      <c r="E112" s="1456">
        <f t="shared" si="29"/>
        <v>0.84443636363636343</v>
      </c>
      <c r="F112" s="1506">
        <f t="shared" si="30"/>
        <v>0.32489545454545449</v>
      </c>
      <c r="G112" s="1511">
        <f>B112*F112*'Input data'!$C$9</f>
        <v>667.11684340477314</v>
      </c>
      <c r="H112" s="1510">
        <f>'Input data'!I132</f>
        <v>424.26313389388866</v>
      </c>
      <c r="I112" s="1511">
        <f>'Input data'!K132</f>
        <v>28462.400098794296</v>
      </c>
      <c r="J112" s="1511">
        <f t="shared" si="87"/>
        <v>5044.3899138048773</v>
      </c>
      <c r="K112" s="1513">
        <f t="shared" si="78"/>
        <v>8182.6124896004212</v>
      </c>
      <c r="L112" s="1506">
        <f t="shared" ref="L112:L130" si="89">L111</f>
        <v>0.57999999999999996</v>
      </c>
      <c r="M112" s="1506">
        <f t="shared" ref="M112:M130" si="90">M111</f>
        <v>0.437</v>
      </c>
      <c r="N112" s="1506">
        <f t="shared" ref="N112:N130" si="91">N111</f>
        <v>0.71200000000000008</v>
      </c>
      <c r="O112" s="1506">
        <f t="shared" ref="O112:P130" si="92">O111</f>
        <v>0.8</v>
      </c>
      <c r="P112" s="1506">
        <f t="shared" si="92"/>
        <v>0.23600000000000002</v>
      </c>
      <c r="Q112" s="1510">
        <f t="shared" si="36"/>
        <v>0</v>
      </c>
      <c r="R112" s="1511">
        <f t="shared" si="37"/>
        <v>0</v>
      </c>
      <c r="S112" s="1511">
        <f t="shared" si="38"/>
        <v>0</v>
      </c>
      <c r="T112" s="1511">
        <f t="shared" si="39"/>
        <v>0</v>
      </c>
      <c r="U112" s="1513">
        <f t="shared" si="40"/>
        <v>0</v>
      </c>
      <c r="V112" s="1511">
        <f t="shared" si="10"/>
        <v>0</v>
      </c>
      <c r="W112" s="1456">
        <f t="shared" si="86"/>
        <v>0.5</v>
      </c>
      <c r="X112" s="530">
        <f t="shared" si="41"/>
        <v>3033.4854703020706</v>
      </c>
      <c r="Y112" s="528">
        <f t="shared" si="79"/>
        <v>3033.4854703020706</v>
      </c>
      <c r="Z112" s="528">
        <f t="shared" si="80"/>
        <v>10193.516933103228</v>
      </c>
      <c r="AA112" s="530">
        <f t="shared" si="81"/>
        <v>5149.1270192983511</v>
      </c>
      <c r="AB112" s="1091">
        <f t="shared" si="42"/>
        <v>0.50513743716623172</v>
      </c>
      <c r="AC112" s="135" t="str">
        <f t="shared" si="43"/>
        <v>Yes</v>
      </c>
      <c r="AD112" s="1091">
        <f t="shared" si="44"/>
        <v>0.50513743716623172</v>
      </c>
      <c r="AE112" s="649">
        <f t="shared" si="11"/>
        <v>0.26236415346842734</v>
      </c>
      <c r="AF112" s="530">
        <f t="shared" si="45"/>
        <v>312.95169592195651</v>
      </c>
      <c r="AG112" s="527">
        <f t="shared" si="46"/>
        <v>5044.3899138048773</v>
      </c>
      <c r="AH112" s="528">
        <f t="shared" si="82"/>
        <v>7801.9583599033831</v>
      </c>
      <c r="AI112" s="528">
        <f t="shared" si="83"/>
        <v>6437.6604656145792</v>
      </c>
      <c r="AJ112" s="528">
        <f t="shared" si="12"/>
        <v>1710.8778518716094</v>
      </c>
      <c r="AK112" s="528">
        <f t="shared" si="47"/>
        <v>20994.886591194449</v>
      </c>
      <c r="AL112" s="716">
        <f t="shared" si="13"/>
        <v>0</v>
      </c>
      <c r="AM112" s="649">
        <f t="shared" si="48"/>
        <v>0.24026754761897906</v>
      </c>
      <c r="AN112" s="417">
        <f t="shared" si="49"/>
        <v>0.3716123126464343</v>
      </c>
      <c r="AO112" s="417">
        <f t="shared" si="50"/>
        <v>0.30662992332212097</v>
      </c>
      <c r="AP112" s="417">
        <f t="shared" si="51"/>
        <v>8.1490216412465677E-2</v>
      </c>
      <c r="AQ112" s="525">
        <f t="shared" si="52"/>
        <v>1</v>
      </c>
      <c r="AR112" s="1086">
        <f t="shared" si="14"/>
        <v>909.20909451017747</v>
      </c>
      <c r="AS112" s="938">
        <f t="shared" si="15"/>
        <v>1153.123106188893</v>
      </c>
      <c r="AT112" s="938">
        <f t="shared" si="16"/>
        <v>386.17583401971342</v>
      </c>
      <c r="AU112" s="938">
        <f t="shared" si="17"/>
        <v>0</v>
      </c>
      <c r="AV112" s="938">
        <f t="shared" si="18"/>
        <v>0</v>
      </c>
      <c r="AW112" s="938">
        <f t="shared" si="19"/>
        <v>0</v>
      </c>
      <c r="AX112" s="938">
        <f t="shared" si="20"/>
        <v>1643.6948177605789</v>
      </c>
      <c r="AY112" s="938">
        <f t="shared" si="21"/>
        <v>237.64079444978057</v>
      </c>
      <c r="AZ112" s="938">
        <f t="shared" si="22"/>
        <v>345.40966803899391</v>
      </c>
      <c r="BA112" s="938">
        <f t="shared" si="23"/>
        <v>303.64251776954279</v>
      </c>
      <c r="BB112" s="938">
        <f t="shared" si="24"/>
        <v>65.494081067196291</v>
      </c>
      <c r="BC112" s="530">
        <f t="shared" si="53"/>
        <v>5044.3899138048755</v>
      </c>
      <c r="BD112" s="724">
        <f t="shared" si="54"/>
        <v>0</v>
      </c>
      <c r="BE112" s="436">
        <f t="shared" si="55"/>
        <v>0.18024163675808727</v>
      </c>
      <c r="BF112" s="624">
        <f t="shared" si="56"/>
        <v>0.22859515737139297</v>
      </c>
      <c r="BG112" s="624">
        <f t="shared" si="57"/>
        <v>7.6555508320812815E-2</v>
      </c>
      <c r="BH112" s="624">
        <f t="shared" si="58"/>
        <v>0</v>
      </c>
      <c r="BI112" s="624">
        <f t="shared" si="59"/>
        <v>0</v>
      </c>
      <c r="BJ112" s="624">
        <f t="shared" si="60"/>
        <v>0</v>
      </c>
      <c r="BK112" s="624">
        <f t="shared" si="61"/>
        <v>0.51460769754970714</v>
      </c>
      <c r="BL112" s="624">
        <f t="shared" si="62"/>
        <v>1.0000000000000002</v>
      </c>
      <c r="BM112" s="649">
        <f t="shared" si="84"/>
        <v>0.29028184578274857</v>
      </c>
      <c r="BN112" s="417">
        <f t="shared" si="63"/>
        <v>0.30317187715157518</v>
      </c>
      <c r="BO112" s="417">
        <f t="shared" si="63"/>
        <v>8.2805443243048754E-2</v>
      </c>
      <c r="BP112" s="417">
        <f t="shared" si="63"/>
        <v>0</v>
      </c>
      <c r="BQ112" s="417">
        <f t="shared" si="63"/>
        <v>0</v>
      </c>
      <c r="BR112" s="417">
        <f t="shared" si="63"/>
        <v>0</v>
      </c>
      <c r="BS112" s="417">
        <f t="shared" si="63"/>
        <v>0.32374083382262742</v>
      </c>
      <c r="BT112" s="525">
        <f t="shared" si="85"/>
        <v>0.99999999999999989</v>
      </c>
      <c r="BV112" s="527">
        <f t="shared" si="64"/>
        <v>81.689430706585838</v>
      </c>
      <c r="BW112" s="114">
        <f t="shared" si="65"/>
        <v>0.54818874482218549</v>
      </c>
      <c r="BX112" s="1695">
        <f t="shared" si="25"/>
        <v>39.638613148632608</v>
      </c>
      <c r="BY112" s="527">
        <f t="shared" si="66"/>
        <v>81.689430706585838</v>
      </c>
      <c r="BZ112" s="417">
        <f t="shared" si="67"/>
        <v>0.54818874482218549</v>
      </c>
      <c r="CA112" s="544">
        <f t="shared" si="26"/>
        <v>39.638613148632608</v>
      </c>
      <c r="CB112" s="649">
        <f t="shared" si="27"/>
        <v>0.26236415346842734</v>
      </c>
      <c r="CC112" s="525">
        <f t="shared" si="68"/>
        <v>0.30172134476474588</v>
      </c>
      <c r="CD112" s="417">
        <f t="shared" si="28"/>
        <v>0.26236415346842734</v>
      </c>
      <c r="CE112" s="525">
        <f t="shared" si="69"/>
        <v>0.30172134476474588</v>
      </c>
      <c r="CG112" s="527">
        <f t="shared" si="70"/>
        <v>1472.9947553830873</v>
      </c>
      <c r="CH112" s="528">
        <f t="shared" si="71"/>
        <v>570.16242650126708</v>
      </c>
      <c r="CI112" s="528">
        <f t="shared" si="72"/>
        <v>2358.6277259554108</v>
      </c>
      <c r="CJ112" s="528">
        <f t="shared" si="73"/>
        <v>3354.7485930529324</v>
      </c>
      <c r="CK112" s="528">
        <f t="shared" si="74"/>
        <v>45.424859010686319</v>
      </c>
      <c r="CL112" s="528">
        <f t="shared" si="75"/>
        <v>7801.958359903384</v>
      </c>
      <c r="CM112" s="646">
        <f t="shared" si="76"/>
        <v>0</v>
      </c>
    </row>
    <row r="113" spans="1:91">
      <c r="A113" s="873">
        <f>'Input data'!A133</f>
        <v>2033</v>
      </c>
      <c r="B113" s="1553">
        <f>'Input data'!B133</f>
        <v>67.659204065895452</v>
      </c>
      <c r="C113" s="1552">
        <f>'Input data'!C133</f>
        <v>4023.8304695138613</v>
      </c>
      <c r="D113" s="1554">
        <f>'Input data'!D133</f>
        <v>38783300.848650038</v>
      </c>
      <c r="E113" s="1456">
        <f t="shared" si="29"/>
        <v>0.85307878787878766</v>
      </c>
      <c r="F113" s="1506">
        <f t="shared" si="30"/>
        <v>0.32724848484848479</v>
      </c>
      <c r="G113" s="1511">
        <f>B113*F113*'Input data'!$C$9</f>
        <v>677.68297583118044</v>
      </c>
      <c r="H113" s="1510">
        <f>'Input data'!I133</f>
        <v>424.26313389388866</v>
      </c>
      <c r="I113" s="1511">
        <f>'Input data'!K133</f>
        <v>28705.305953762938</v>
      </c>
      <c r="J113" s="1511">
        <f t="shared" si="87"/>
        <v>4780.5770002171175</v>
      </c>
      <c r="K113" s="1513">
        <f t="shared" si="78"/>
        <v>8559.3082351461071</v>
      </c>
      <c r="L113" s="1506">
        <f t="shared" si="89"/>
        <v>0.57999999999999996</v>
      </c>
      <c r="M113" s="1506">
        <f t="shared" si="90"/>
        <v>0.437</v>
      </c>
      <c r="N113" s="1506">
        <f t="shared" si="91"/>
        <v>0.71200000000000008</v>
      </c>
      <c r="O113" s="1506">
        <f t="shared" si="92"/>
        <v>0.8</v>
      </c>
      <c r="P113" s="1506">
        <f t="shared" si="92"/>
        <v>0.23600000000000002</v>
      </c>
      <c r="Q113" s="1510">
        <f t="shared" si="36"/>
        <v>0</v>
      </c>
      <c r="R113" s="1511">
        <f t="shared" si="37"/>
        <v>0</v>
      </c>
      <c r="S113" s="1511">
        <f t="shared" si="38"/>
        <v>0</v>
      </c>
      <c r="T113" s="1511">
        <f t="shared" si="39"/>
        <v>0</v>
      </c>
      <c r="U113" s="1513">
        <f t="shared" si="40"/>
        <v>0</v>
      </c>
      <c r="V113" s="1511">
        <f t="shared" si="10"/>
        <v>0</v>
      </c>
      <c r="W113" s="1456">
        <f t="shared" si="86"/>
        <v>0.5</v>
      </c>
      <c r="X113" s="530">
        <f t="shared" si="41"/>
        <v>3033.4854703020706</v>
      </c>
      <c r="Y113" s="528">
        <f t="shared" si="79"/>
        <v>3033.4854703020706</v>
      </c>
      <c r="Z113" s="528">
        <f t="shared" si="80"/>
        <v>10306.399765061155</v>
      </c>
      <c r="AA113" s="530">
        <f t="shared" si="81"/>
        <v>5525.822764844037</v>
      </c>
      <c r="AB113" s="1091">
        <f t="shared" si="42"/>
        <v>0.53615451474885112</v>
      </c>
      <c r="AC113" s="135" t="str">
        <f t="shared" si="43"/>
        <v>Yes</v>
      </c>
      <c r="AD113" s="1091">
        <f t="shared" si="44"/>
        <v>0.53615451474885112</v>
      </c>
      <c r="AE113" s="649">
        <f t="shared" si="11"/>
        <v>0.27873582031809607</v>
      </c>
      <c r="AF113" s="530">
        <f t="shared" si="45"/>
        <v>306.00580123724939</v>
      </c>
      <c r="AG113" s="527">
        <f t="shared" si="46"/>
        <v>4780.5770002171175</v>
      </c>
      <c r="AH113" s="528">
        <f t="shared" si="82"/>
        <v>7868.5423921446545</v>
      </c>
      <c r="AI113" s="528">
        <f t="shared" si="83"/>
        <v>6437.6604656145792</v>
      </c>
      <c r="AJ113" s="528">
        <f t="shared" si="12"/>
        <v>1617.3290932825464</v>
      </c>
      <c r="AK113" s="528">
        <f t="shared" si="47"/>
        <v>20704.108951258899</v>
      </c>
      <c r="AL113" s="716">
        <f t="shared" si="13"/>
        <v>0</v>
      </c>
      <c r="AM113" s="649">
        <f t="shared" si="48"/>
        <v>0.23089991515555844</v>
      </c>
      <c r="AN113" s="417">
        <f t="shared" si="49"/>
        <v>0.38004738144822281</v>
      </c>
      <c r="AO113" s="417">
        <f t="shared" si="50"/>
        <v>0.31093636923810442</v>
      </c>
      <c r="AP113" s="417">
        <f t="shared" si="51"/>
        <v>7.8116334158114337E-2</v>
      </c>
      <c r="AQ113" s="525">
        <f t="shared" si="52"/>
        <v>1</v>
      </c>
      <c r="AR113" s="1086">
        <f t="shared" si="14"/>
        <v>864.78866228035815</v>
      </c>
      <c r="AS113" s="938">
        <f t="shared" si="15"/>
        <v>1096.7859807681471</v>
      </c>
      <c r="AT113" s="938">
        <f t="shared" si="16"/>
        <v>365.06020041085003</v>
      </c>
      <c r="AU113" s="938">
        <f t="shared" si="17"/>
        <v>0</v>
      </c>
      <c r="AV113" s="938">
        <f t="shared" si="18"/>
        <v>0</v>
      </c>
      <c r="AW113" s="938">
        <f t="shared" si="19"/>
        <v>0</v>
      </c>
      <c r="AX113" s="938">
        <f t="shared" si="20"/>
        <v>1553.8195472773198</v>
      </c>
      <c r="AY113" s="938">
        <f t="shared" si="21"/>
        <v>224.64687949169274</v>
      </c>
      <c r="AZ113" s="938">
        <f t="shared" si="22"/>
        <v>326.52307972156382</v>
      </c>
      <c r="BA113" s="938">
        <f t="shared" si="23"/>
        <v>287.03970736953426</v>
      </c>
      <c r="BB113" s="938">
        <f t="shared" si="24"/>
        <v>61.912942897650645</v>
      </c>
      <c r="BC113" s="530">
        <f t="shared" si="53"/>
        <v>4780.5770002171157</v>
      </c>
      <c r="BD113" s="724">
        <f t="shared" si="54"/>
        <v>0</v>
      </c>
      <c r="BE113" s="436">
        <f t="shared" si="55"/>
        <v>0.18089629394968071</v>
      </c>
      <c r="BF113" s="624">
        <f t="shared" si="56"/>
        <v>0.22942543979907346</v>
      </c>
      <c r="BG113" s="624">
        <f t="shared" si="57"/>
        <v>7.6363208958724102E-2</v>
      </c>
      <c r="BH113" s="624">
        <f t="shared" si="58"/>
        <v>0</v>
      </c>
      <c r="BI113" s="624">
        <f t="shared" si="59"/>
        <v>0</v>
      </c>
      <c r="BJ113" s="624">
        <f t="shared" si="60"/>
        <v>0</v>
      </c>
      <c r="BK113" s="624">
        <f t="shared" si="61"/>
        <v>0.51331505729252191</v>
      </c>
      <c r="BL113" s="624">
        <f t="shared" si="62"/>
        <v>1.0000000000000002</v>
      </c>
      <c r="BM113" s="649">
        <f t="shared" si="84"/>
        <v>0.29028184578274857</v>
      </c>
      <c r="BN113" s="417">
        <f t="shared" si="63"/>
        <v>0.30317187715157518</v>
      </c>
      <c r="BO113" s="417">
        <f t="shared" si="63"/>
        <v>8.2805443243048754E-2</v>
      </c>
      <c r="BP113" s="417">
        <f t="shared" si="63"/>
        <v>0</v>
      </c>
      <c r="BQ113" s="417">
        <f t="shared" si="63"/>
        <v>0</v>
      </c>
      <c r="BR113" s="417">
        <f t="shared" si="63"/>
        <v>0</v>
      </c>
      <c r="BS113" s="417">
        <f t="shared" si="63"/>
        <v>0.32374083382262742</v>
      </c>
      <c r="BT113" s="525">
        <f t="shared" si="85"/>
        <v>0.99999999999999989</v>
      </c>
      <c r="BV113" s="527">
        <f t="shared" si="64"/>
        <v>80.940508363506183</v>
      </c>
      <c r="BW113" s="114">
        <f t="shared" si="65"/>
        <v>0.55761066488085442</v>
      </c>
      <c r="BX113" s="1695">
        <f t="shared" si="25"/>
        <v>38.783300848650036</v>
      </c>
      <c r="BY113" s="527">
        <f t="shared" si="66"/>
        <v>80.940508363506183</v>
      </c>
      <c r="BZ113" s="417">
        <f t="shared" si="67"/>
        <v>0.55761066488085442</v>
      </c>
      <c r="CA113" s="544">
        <f t="shared" si="26"/>
        <v>38.783300848650036</v>
      </c>
      <c r="CB113" s="649">
        <f t="shared" si="27"/>
        <v>0.27873582031809607</v>
      </c>
      <c r="CC113" s="525">
        <f t="shared" si="68"/>
        <v>0.31044629548126956</v>
      </c>
      <c r="CD113" s="417">
        <f t="shared" si="28"/>
        <v>0.27873582031809607</v>
      </c>
      <c r="CE113" s="525">
        <f t="shared" si="69"/>
        <v>0.31044629548126956</v>
      </c>
      <c r="CG113" s="527">
        <f t="shared" si="70"/>
        <v>1485.5656928015312</v>
      </c>
      <c r="CH113" s="528">
        <f t="shared" si="71"/>
        <v>575.02834754796584</v>
      </c>
      <c r="CI113" s="528">
        <f t="shared" si="72"/>
        <v>2378.756895749149</v>
      </c>
      <c r="CJ113" s="528">
        <f t="shared" si="73"/>
        <v>3383.3789289477218</v>
      </c>
      <c r="CK113" s="528">
        <f t="shared" si="74"/>
        <v>45.81252709828685</v>
      </c>
      <c r="CL113" s="528">
        <f t="shared" si="75"/>
        <v>7868.5423921446545</v>
      </c>
      <c r="CM113" s="646">
        <f t="shared" si="76"/>
        <v>0</v>
      </c>
    </row>
    <row r="114" spans="1:91">
      <c r="A114" s="873">
        <f>'Input data'!A134</f>
        <v>2034</v>
      </c>
      <c r="B114" s="1553">
        <f>'Input data'!B134</f>
        <v>68.236626094715163</v>
      </c>
      <c r="C114" s="1552">
        <f>'Input data'!C134</f>
        <v>4047.8499716455863</v>
      </c>
      <c r="D114" s="1554">
        <f>'Input data'!D134</f>
        <v>38249557.30478432</v>
      </c>
      <c r="E114" s="1456">
        <f t="shared" si="29"/>
        <v>0.86172121212121189</v>
      </c>
      <c r="F114" s="1506">
        <f t="shared" si="30"/>
        <v>0.32960151515151509</v>
      </c>
      <c r="G114" s="1511">
        <f>B114*F114*'Input data'!$C$9</f>
        <v>688.38086809685626</v>
      </c>
      <c r="H114" s="1510">
        <f>'Input data'!I134</f>
        <v>424.26313389388866</v>
      </c>
      <c r="I114" s="1511">
        <f>'Input data'!K134</f>
        <v>28950.284833289355</v>
      </c>
      <c r="J114" s="1511">
        <f t="shared" si="87"/>
        <v>4516.7640866293577</v>
      </c>
      <c r="K114" s="1513">
        <f t="shared" si="78"/>
        <v>8936.9673534471767</v>
      </c>
      <c r="L114" s="1506">
        <f t="shared" si="89"/>
        <v>0.57999999999999996</v>
      </c>
      <c r="M114" s="1506">
        <f t="shared" si="90"/>
        <v>0.437</v>
      </c>
      <c r="N114" s="1506">
        <f t="shared" si="91"/>
        <v>0.71200000000000008</v>
      </c>
      <c r="O114" s="1506">
        <f t="shared" si="92"/>
        <v>0.8</v>
      </c>
      <c r="P114" s="1506">
        <f t="shared" si="92"/>
        <v>0.23600000000000002</v>
      </c>
      <c r="Q114" s="1510">
        <f t="shared" si="36"/>
        <v>0</v>
      </c>
      <c r="R114" s="1511">
        <f t="shared" si="37"/>
        <v>0</v>
      </c>
      <c r="S114" s="1511">
        <f t="shared" si="38"/>
        <v>0</v>
      </c>
      <c r="T114" s="1511">
        <f t="shared" si="39"/>
        <v>0</v>
      </c>
      <c r="U114" s="1513">
        <f t="shared" si="40"/>
        <v>0</v>
      </c>
      <c r="V114" s="1511">
        <f t="shared" si="10"/>
        <v>0</v>
      </c>
      <c r="W114" s="1456">
        <f t="shared" si="86"/>
        <v>0.5</v>
      </c>
      <c r="X114" s="530">
        <f t="shared" si="41"/>
        <v>3033.4854703020706</v>
      </c>
      <c r="Y114" s="528">
        <f t="shared" si="79"/>
        <v>3033.4854703020706</v>
      </c>
      <c r="Z114" s="528">
        <f t="shared" si="80"/>
        <v>10420.245969774463</v>
      </c>
      <c r="AA114" s="530">
        <f t="shared" si="81"/>
        <v>5903.4818831451057</v>
      </c>
      <c r="AB114" s="1091">
        <f t="shared" si="42"/>
        <v>0.56653959035795021</v>
      </c>
      <c r="AC114" s="135" t="str">
        <f t="shared" si="43"/>
        <v>Yes</v>
      </c>
      <c r="AD114" s="1091">
        <f t="shared" si="44"/>
        <v>0.56653959035795021</v>
      </c>
      <c r="AE114" s="649">
        <f t="shared" si="11"/>
        <v>0.29484629303664733</v>
      </c>
      <c r="AF114" s="530">
        <f t="shared" si="45"/>
        <v>299.17072159316484</v>
      </c>
      <c r="AG114" s="527">
        <f t="shared" si="46"/>
        <v>4516.7640866293577</v>
      </c>
      <c r="AH114" s="528">
        <f t="shared" si="82"/>
        <v>7935.6946706062963</v>
      </c>
      <c r="AI114" s="528">
        <f t="shared" si="83"/>
        <v>6437.6604656145792</v>
      </c>
      <c r="AJ114" s="528">
        <f t="shared" si="12"/>
        <v>1524.2814449886839</v>
      </c>
      <c r="AK114" s="528">
        <f t="shared" si="47"/>
        <v>20414.400667838916</v>
      </c>
      <c r="AL114" s="716">
        <f t="shared" si="13"/>
        <v>0</v>
      </c>
      <c r="AM114" s="649">
        <f t="shared" si="48"/>
        <v>0.22125381783777373</v>
      </c>
      <c r="AN114" s="417">
        <f t="shared" si="49"/>
        <v>0.38873023018051578</v>
      </c>
      <c r="AO114" s="417">
        <f t="shared" si="50"/>
        <v>0.3153489818467482</v>
      </c>
      <c r="AP114" s="417">
        <f t="shared" si="51"/>
        <v>7.466697013496236E-2</v>
      </c>
      <c r="AQ114" s="525">
        <f t="shared" si="52"/>
        <v>1</v>
      </c>
      <c r="AR114" s="1086">
        <f t="shared" si="14"/>
        <v>819.98316374890089</v>
      </c>
      <c r="AS114" s="938">
        <f t="shared" si="15"/>
        <v>1039.9604871023907</v>
      </c>
      <c r="AT114" s="938">
        <f t="shared" si="16"/>
        <v>344.05767638837415</v>
      </c>
      <c r="AU114" s="938">
        <f t="shared" si="17"/>
        <v>0</v>
      </c>
      <c r="AV114" s="938">
        <f t="shared" si="18"/>
        <v>0</v>
      </c>
      <c r="AW114" s="938">
        <f t="shared" si="19"/>
        <v>0</v>
      </c>
      <c r="AX114" s="938">
        <f t="shared" si="20"/>
        <v>1464.4257094074096</v>
      </c>
      <c r="AY114" s="938">
        <f t="shared" si="21"/>
        <v>211.72256871284435</v>
      </c>
      <c r="AZ114" s="938">
        <f t="shared" si="22"/>
        <v>307.73766071936387</v>
      </c>
      <c r="BA114" s="938">
        <f t="shared" si="23"/>
        <v>270.52583282870961</v>
      </c>
      <c r="BB114" s="938">
        <f t="shared" si="24"/>
        <v>58.35098772136287</v>
      </c>
      <c r="BC114" s="530">
        <f t="shared" si="53"/>
        <v>4516.7640866293568</v>
      </c>
      <c r="BD114" s="724">
        <f t="shared" si="54"/>
        <v>0</v>
      </c>
      <c r="BE114" s="436">
        <f t="shared" si="55"/>
        <v>0.18154217223260266</v>
      </c>
      <c r="BF114" s="624">
        <f t="shared" si="56"/>
        <v>0.23024458819554225</v>
      </c>
      <c r="BG114" s="624">
        <f t="shared" si="57"/>
        <v>7.6173488318077687E-2</v>
      </c>
      <c r="BH114" s="624">
        <f t="shared" si="58"/>
        <v>0</v>
      </c>
      <c r="BI114" s="624">
        <f t="shared" si="59"/>
        <v>0</v>
      </c>
      <c r="BJ114" s="624">
        <f t="shared" si="60"/>
        <v>0</v>
      </c>
      <c r="BK114" s="624">
        <f t="shared" si="61"/>
        <v>0.51203975125377732</v>
      </c>
      <c r="BL114" s="624">
        <f t="shared" si="62"/>
        <v>0.99999999999999989</v>
      </c>
      <c r="BM114" s="649">
        <f t="shared" si="84"/>
        <v>0.29028184578274857</v>
      </c>
      <c r="BN114" s="417">
        <f t="shared" si="84"/>
        <v>0.30317187715157518</v>
      </c>
      <c r="BO114" s="417">
        <f t="shared" si="84"/>
        <v>8.2805443243048754E-2</v>
      </c>
      <c r="BP114" s="417">
        <f t="shared" si="84"/>
        <v>0</v>
      </c>
      <c r="BQ114" s="417">
        <f t="shared" si="84"/>
        <v>0</v>
      </c>
      <c r="BR114" s="417">
        <f t="shared" si="84"/>
        <v>0</v>
      </c>
      <c r="BS114" s="417">
        <f t="shared" si="84"/>
        <v>0.32374083382262742</v>
      </c>
      <c r="BT114" s="525">
        <f t="shared" si="85"/>
        <v>0.99999999999999989</v>
      </c>
      <c r="BV114" s="527">
        <f t="shared" si="64"/>
        <v>80.240628361242258</v>
      </c>
      <c r="BW114" s="114">
        <f t="shared" si="65"/>
        <v>0.5623612296209447</v>
      </c>
      <c r="BX114" s="1695">
        <f t="shared" si="25"/>
        <v>38.249557304784318</v>
      </c>
      <c r="BY114" s="527">
        <f t="shared" si="66"/>
        <v>80.240628361242258</v>
      </c>
      <c r="BZ114" s="417">
        <f t="shared" si="67"/>
        <v>0.5623612296209447</v>
      </c>
      <c r="CA114" s="544">
        <f t="shared" si="26"/>
        <v>38.249557304784318</v>
      </c>
      <c r="CB114" s="649">
        <f t="shared" si="27"/>
        <v>0.29484629303664733</v>
      </c>
      <c r="CC114" s="525">
        <f t="shared" si="68"/>
        <v>0.31322500466537995</v>
      </c>
      <c r="CD114" s="417">
        <f t="shared" si="28"/>
        <v>0.29484629303664733</v>
      </c>
      <c r="CE114" s="525">
        <f t="shared" si="69"/>
        <v>0.31322500466537995</v>
      </c>
      <c r="CG114" s="527">
        <f t="shared" si="70"/>
        <v>1498.2439140151146</v>
      </c>
      <c r="CH114" s="528">
        <f t="shared" si="71"/>
        <v>579.93579568682685</v>
      </c>
      <c r="CI114" s="528">
        <f t="shared" si="72"/>
        <v>2399.0578533465009</v>
      </c>
      <c r="CJ114" s="528">
        <f t="shared" si="73"/>
        <v>3412.2536039071865</v>
      </c>
      <c r="CK114" s="528">
        <f t="shared" si="74"/>
        <v>46.203503650666732</v>
      </c>
      <c r="CL114" s="528">
        <f t="shared" si="75"/>
        <v>7935.6946706062954</v>
      </c>
      <c r="CM114" s="646">
        <f t="shared" si="76"/>
        <v>0</v>
      </c>
    </row>
    <row r="115" spans="1:91">
      <c r="A115" s="873">
        <f>'Input data'!A135</f>
        <v>2035</v>
      </c>
      <c r="B115" s="1553">
        <f>'Input data'!B135</f>
        <v>68.818976000000006</v>
      </c>
      <c r="C115" s="1552">
        <f>'Input data'!C135</f>
        <v>0</v>
      </c>
      <c r="D115" s="1554">
        <f>'Input data'!D135</f>
        <v>38181094.662935674</v>
      </c>
      <c r="E115" s="1456">
        <f t="shared" si="29"/>
        <v>0.87036363636363612</v>
      </c>
      <c r="F115" s="1506">
        <f t="shared" si="30"/>
        <v>0.33195454545454539</v>
      </c>
      <c r="G115" s="1511">
        <f>B115*F115*'Input data'!$C$9</f>
        <v>699.21199957882664</v>
      </c>
      <c r="H115" s="1510">
        <f>'Input data'!I135</f>
        <v>424.26313389388866</v>
      </c>
      <c r="I115" s="1511">
        <f>'Input data'!K135</f>
        <v>29197.354429128314</v>
      </c>
      <c r="J115" s="1511">
        <f t="shared" si="87"/>
        <v>4252.9511730415979</v>
      </c>
      <c r="K115" s="1513">
        <f t="shared" si="78"/>
        <v>9315.5980661884496</v>
      </c>
      <c r="L115" s="1506">
        <f t="shared" si="89"/>
        <v>0.57999999999999996</v>
      </c>
      <c r="M115" s="1506">
        <f t="shared" si="90"/>
        <v>0.437</v>
      </c>
      <c r="N115" s="1506">
        <f t="shared" si="91"/>
        <v>0.71200000000000008</v>
      </c>
      <c r="O115" s="1506">
        <f t="shared" si="92"/>
        <v>0.8</v>
      </c>
      <c r="P115" s="1506">
        <f t="shared" si="92"/>
        <v>0.23600000000000002</v>
      </c>
      <c r="Q115" s="1510">
        <f t="shared" si="36"/>
        <v>0</v>
      </c>
      <c r="R115" s="1511">
        <f t="shared" si="37"/>
        <v>0</v>
      </c>
      <c r="S115" s="1511">
        <f t="shared" si="38"/>
        <v>0</v>
      </c>
      <c r="T115" s="1511">
        <f t="shared" si="39"/>
        <v>0</v>
      </c>
      <c r="U115" s="1513">
        <f t="shared" si="40"/>
        <v>0</v>
      </c>
      <c r="V115" s="1511">
        <f t="shared" si="10"/>
        <v>0</v>
      </c>
      <c r="W115" s="1456">
        <f t="shared" si="86"/>
        <v>0.5</v>
      </c>
      <c r="X115" s="530">
        <f t="shared" si="41"/>
        <v>3033.4854703020706</v>
      </c>
      <c r="Y115" s="528">
        <f t="shared" si="79"/>
        <v>3033.4854703020706</v>
      </c>
      <c r="Z115" s="528">
        <f t="shared" si="80"/>
        <v>10535.063768927977</v>
      </c>
      <c r="AA115" s="530">
        <f t="shared" si="81"/>
        <v>6282.1125958863795</v>
      </c>
      <c r="AB115" s="1091">
        <f t="shared" si="42"/>
        <v>0.59630513242974248</v>
      </c>
      <c r="AC115" s="135" t="str">
        <f t="shared" si="43"/>
        <v>Yes</v>
      </c>
      <c r="AD115" s="1091">
        <f t="shared" si="44"/>
        <v>0.59630513242974248</v>
      </c>
      <c r="AE115" s="649">
        <f t="shared" si="11"/>
        <v>0.31069930485615582</v>
      </c>
      <c r="AF115" s="530">
        <f t="shared" si="45"/>
        <v>292.44487311696332</v>
      </c>
      <c r="AG115" s="527">
        <f t="shared" si="46"/>
        <v>4252.9511730415979</v>
      </c>
      <c r="AH115" s="528">
        <f t="shared" si="82"/>
        <v>8003.4200448559322</v>
      </c>
      <c r="AI115" s="528">
        <f t="shared" si="83"/>
        <v>6437.6604656145792</v>
      </c>
      <c r="AJ115" s="528">
        <f t="shared" si="12"/>
        <v>1431.7250208472356</v>
      </c>
      <c r="AK115" s="528">
        <f t="shared" si="47"/>
        <v>20125.756704359344</v>
      </c>
      <c r="AL115" s="716">
        <f t="shared" si="13"/>
        <v>0</v>
      </c>
      <c r="AM115" s="649">
        <f t="shared" si="48"/>
        <v>0.21131882072888153</v>
      </c>
      <c r="AN115" s="417">
        <f t="shared" si="49"/>
        <v>0.39767051556984934</v>
      </c>
      <c r="AO115" s="417">
        <f t="shared" si="50"/>
        <v>0.3198717225981445</v>
      </c>
      <c r="AP115" s="417">
        <f t="shared" si="51"/>
        <v>7.1138941103124659E-2</v>
      </c>
      <c r="AQ115" s="525">
        <f t="shared" si="52"/>
        <v>1</v>
      </c>
      <c r="AR115" s="1086">
        <f t="shared" si="14"/>
        <v>774.80019568736827</v>
      </c>
      <c r="AS115" s="938">
        <f t="shared" si="15"/>
        <v>982.65625995317077</v>
      </c>
      <c r="AT115" s="938">
        <f t="shared" si="16"/>
        <v>323.16603047244564</v>
      </c>
      <c r="AU115" s="938">
        <f t="shared" si="17"/>
        <v>0</v>
      </c>
      <c r="AV115" s="938">
        <f t="shared" si="18"/>
        <v>0</v>
      </c>
      <c r="AW115" s="938">
        <f t="shared" si="19"/>
        <v>0</v>
      </c>
      <c r="AX115" s="938">
        <f t="shared" si="20"/>
        <v>1375.5038062187505</v>
      </c>
      <c r="AY115" s="938">
        <f t="shared" si="21"/>
        <v>198.86648892880652</v>
      </c>
      <c r="AZ115" s="938">
        <f t="shared" si="22"/>
        <v>289.05141511591495</v>
      </c>
      <c r="BA115" s="938">
        <f t="shared" si="23"/>
        <v>254.09913957804258</v>
      </c>
      <c r="BB115" s="938">
        <f t="shared" si="24"/>
        <v>54.80783708709729</v>
      </c>
      <c r="BC115" s="530">
        <f t="shared" si="53"/>
        <v>4252.9511730415961</v>
      </c>
      <c r="BD115" s="724">
        <f t="shared" si="54"/>
        <v>0</v>
      </c>
      <c r="BE115" s="436">
        <f t="shared" si="55"/>
        <v>0.18217942416048291</v>
      </c>
      <c r="BF115" s="624">
        <f t="shared" si="56"/>
        <v>0.23105279604007339</v>
      </c>
      <c r="BG115" s="624">
        <f t="shared" si="57"/>
        <v>7.5986301587686933E-2</v>
      </c>
      <c r="BH115" s="624">
        <f t="shared" si="58"/>
        <v>0</v>
      </c>
      <c r="BI115" s="624">
        <f t="shared" si="59"/>
        <v>0</v>
      </c>
      <c r="BJ115" s="624">
        <f t="shared" si="60"/>
        <v>0</v>
      </c>
      <c r="BK115" s="624">
        <f t="shared" si="61"/>
        <v>0.51078147821175679</v>
      </c>
      <c r="BL115" s="624">
        <f t="shared" si="62"/>
        <v>1</v>
      </c>
      <c r="BM115" s="649">
        <f t="shared" ref="BM115:BS130" si="93">BM114</f>
        <v>0.29028184578274857</v>
      </c>
      <c r="BN115" s="417">
        <f t="shared" si="93"/>
        <v>0.30317187715157518</v>
      </c>
      <c r="BO115" s="417">
        <f t="shared" si="93"/>
        <v>8.2805443243048754E-2</v>
      </c>
      <c r="BP115" s="417">
        <f t="shared" si="93"/>
        <v>0</v>
      </c>
      <c r="BQ115" s="417">
        <f t="shared" si="93"/>
        <v>0</v>
      </c>
      <c r="BR115" s="417">
        <f t="shared" si="93"/>
        <v>0</v>
      </c>
      <c r="BS115" s="417">
        <f t="shared" si="93"/>
        <v>0.32374083382262742</v>
      </c>
      <c r="BT115" s="525">
        <f t="shared" si="85"/>
        <v>0.99999999999999989</v>
      </c>
      <c r="BV115" s="527">
        <f t="shared" si="64"/>
        <v>58.306851367295017</v>
      </c>
      <c r="BW115" s="114">
        <f t="shared" si="65"/>
        <v>0.41609074911414473</v>
      </c>
      <c r="BX115" s="1695">
        <f t="shared" si="25"/>
        <v>38.181094662935671</v>
      </c>
      <c r="BY115" s="527">
        <f t="shared" si="66"/>
        <v>58.306851367295017</v>
      </c>
      <c r="BZ115" s="417">
        <f t="shared" si="67"/>
        <v>0.41609074911414473</v>
      </c>
      <c r="CA115" s="544">
        <f t="shared" si="26"/>
        <v>38.181094662935671</v>
      </c>
      <c r="CB115" s="649">
        <f t="shared" si="27"/>
        <v>0.31069930485615582</v>
      </c>
      <c r="CC115" s="525">
        <f t="shared" si="68"/>
        <v>0</v>
      </c>
      <c r="CD115" s="417">
        <f t="shared" si="28"/>
        <v>0.31069930485615582</v>
      </c>
      <c r="CE115" s="525">
        <f t="shared" si="69"/>
        <v>0</v>
      </c>
      <c r="CG115" s="527">
        <f t="shared" si="70"/>
        <v>1511.0303346128921</v>
      </c>
      <c r="CH115" s="528">
        <f t="shared" si="71"/>
        <v>584.88512532133632</v>
      </c>
      <c r="CI115" s="528">
        <f t="shared" si="72"/>
        <v>2419.532064831254</v>
      </c>
      <c r="CJ115" s="528">
        <f t="shared" si="73"/>
        <v>3441.3747031872863</v>
      </c>
      <c r="CK115" s="528">
        <f t="shared" si="74"/>
        <v>46.597816903163221</v>
      </c>
      <c r="CL115" s="528">
        <f t="shared" si="75"/>
        <v>8003.4200448559322</v>
      </c>
      <c r="CM115" s="646">
        <f t="shared" si="76"/>
        <v>0</v>
      </c>
    </row>
    <row r="116" spans="1:91">
      <c r="A116" s="873">
        <f>'Input data'!A136</f>
        <v>2036</v>
      </c>
      <c r="B116" s="1553">
        <f>'Input data'!B136</f>
        <v>69.322810489383542</v>
      </c>
      <c r="C116" s="1552">
        <f>'Input data'!C136</f>
        <v>0</v>
      </c>
      <c r="D116" s="1554">
        <f>'Input data'!D136</f>
        <v>32537026.437175773</v>
      </c>
      <c r="E116" s="1456">
        <f t="shared" si="29"/>
        <v>0.87900606060606035</v>
      </c>
      <c r="F116" s="1506">
        <f t="shared" si="30"/>
        <v>0.33430757575757569</v>
      </c>
      <c r="G116" s="1511">
        <f>B116*F116*'Input data'!$C$9</f>
        <v>709.32362801394981</v>
      </c>
      <c r="H116" s="1510">
        <f>'Input data'!I136</f>
        <v>424.26313389388866</v>
      </c>
      <c r="I116" s="1511">
        <f>'Input data'!K136</f>
        <v>29411.112828557998</v>
      </c>
      <c r="J116" s="1511">
        <f t="shared" si="87"/>
        <v>3989.1382594538386</v>
      </c>
      <c r="K116" s="1513">
        <f t="shared" si="78"/>
        <v>9678.7484514297066</v>
      </c>
      <c r="L116" s="1506">
        <f t="shared" si="89"/>
        <v>0.57999999999999996</v>
      </c>
      <c r="M116" s="1506">
        <f t="shared" si="90"/>
        <v>0.437</v>
      </c>
      <c r="N116" s="1506">
        <f t="shared" si="91"/>
        <v>0.71200000000000008</v>
      </c>
      <c r="O116" s="1506">
        <f t="shared" si="92"/>
        <v>0.8</v>
      </c>
      <c r="P116" s="1506">
        <f t="shared" si="92"/>
        <v>0.23600000000000002</v>
      </c>
      <c r="Q116" s="1510">
        <f t="shared" si="36"/>
        <v>0</v>
      </c>
      <c r="R116" s="1511">
        <f t="shared" si="37"/>
        <v>0</v>
      </c>
      <c r="S116" s="1511">
        <f t="shared" si="38"/>
        <v>0</v>
      </c>
      <c r="T116" s="1511">
        <f t="shared" si="39"/>
        <v>0</v>
      </c>
      <c r="U116" s="1513">
        <f t="shared" si="40"/>
        <v>0</v>
      </c>
      <c r="V116" s="1511">
        <f t="shared" si="10"/>
        <v>0</v>
      </c>
      <c r="W116" s="1456">
        <f t="shared" si="86"/>
        <v>0.5</v>
      </c>
      <c r="X116" s="530">
        <f t="shared" si="41"/>
        <v>3033.4854703020706</v>
      </c>
      <c r="Y116" s="528">
        <f t="shared" si="79"/>
        <v>3033.4854703020706</v>
      </c>
      <c r="Z116" s="528">
        <f t="shared" si="80"/>
        <v>10634.401240581476</v>
      </c>
      <c r="AA116" s="530">
        <f t="shared" si="81"/>
        <v>6645.2629811276365</v>
      </c>
      <c r="AB116" s="1091">
        <f t="shared" si="42"/>
        <v>0.62488360470817461</v>
      </c>
      <c r="AC116" s="135" t="str">
        <f t="shared" si="43"/>
        <v>Yes</v>
      </c>
      <c r="AD116" s="1091">
        <f t="shared" si="44"/>
        <v>0.62488360470817461</v>
      </c>
      <c r="AE116" s="649">
        <f t="shared" si="11"/>
        <v>0.32580167937132221</v>
      </c>
      <c r="AF116" s="530">
        <f t="shared" si="45"/>
        <v>286.03749237591961</v>
      </c>
      <c r="AG116" s="527">
        <f t="shared" si="46"/>
        <v>3989.1382594538386</v>
      </c>
      <c r="AH116" s="528">
        <f t="shared" si="82"/>
        <v>8062.0143350648113</v>
      </c>
      <c r="AI116" s="528">
        <f t="shared" si="83"/>
        <v>6437.6604656145792</v>
      </c>
      <c r="AJ116" s="528">
        <f t="shared" si="12"/>
        <v>1340.1098167011321</v>
      </c>
      <c r="AK116" s="528">
        <f t="shared" si="47"/>
        <v>19828.922876834364</v>
      </c>
      <c r="AL116" s="716">
        <f t="shared" si="13"/>
        <v>0</v>
      </c>
      <c r="AM116" s="649">
        <f t="shared" si="48"/>
        <v>0.20117775858184658</v>
      </c>
      <c r="AN116" s="417">
        <f t="shared" si="49"/>
        <v>0.40657853102467112</v>
      </c>
      <c r="AO116" s="417">
        <f t="shared" si="50"/>
        <v>0.32466011924104748</v>
      </c>
      <c r="AP116" s="417">
        <f t="shared" si="51"/>
        <v>6.7583591152434661E-2</v>
      </c>
      <c r="AQ116" s="525">
        <f t="shared" si="52"/>
        <v>0.99999999999999989</v>
      </c>
      <c r="AR116" s="1086">
        <f t="shared" si="14"/>
        <v>728.89396948066099</v>
      </c>
      <c r="AS116" s="938">
        <f t="shared" si="15"/>
        <v>924.43474580805946</v>
      </c>
      <c r="AT116" s="938">
        <f t="shared" si="16"/>
        <v>302.48683480029143</v>
      </c>
      <c r="AU116" s="938">
        <f t="shared" si="17"/>
        <v>0</v>
      </c>
      <c r="AV116" s="938">
        <f t="shared" si="18"/>
        <v>0</v>
      </c>
      <c r="AW116" s="938">
        <f t="shared" si="19"/>
        <v>0</v>
      </c>
      <c r="AX116" s="938">
        <f t="shared" si="20"/>
        <v>1287.4861630431762</v>
      </c>
      <c r="AY116" s="938">
        <f t="shared" si="21"/>
        <v>186.14114452555648</v>
      </c>
      <c r="AZ116" s="938">
        <f t="shared" si="22"/>
        <v>270.55519271358941</v>
      </c>
      <c r="BA116" s="938">
        <f t="shared" si="23"/>
        <v>237.83949180572398</v>
      </c>
      <c r="BB116" s="938">
        <f t="shared" si="24"/>
        <v>51.300717276779636</v>
      </c>
      <c r="BC116" s="530">
        <f t="shared" si="53"/>
        <v>3989.1382594538381</v>
      </c>
      <c r="BD116" s="724">
        <f t="shared" si="54"/>
        <v>0</v>
      </c>
      <c r="BE116" s="436">
        <f t="shared" si="55"/>
        <v>0.18271965574350774</v>
      </c>
      <c r="BF116" s="624">
        <f t="shared" si="56"/>
        <v>0.23173795583977225</v>
      </c>
      <c r="BG116" s="624">
        <f t="shared" si="57"/>
        <v>7.5827613666543003E-2</v>
      </c>
      <c r="BH116" s="624">
        <f t="shared" si="58"/>
        <v>0</v>
      </c>
      <c r="BI116" s="624">
        <f t="shared" si="59"/>
        <v>0</v>
      </c>
      <c r="BJ116" s="624">
        <f t="shared" si="60"/>
        <v>0</v>
      </c>
      <c r="BK116" s="624">
        <f t="shared" si="61"/>
        <v>0.5097147747501769</v>
      </c>
      <c r="BL116" s="624">
        <f t="shared" si="62"/>
        <v>0.99999999999999989</v>
      </c>
      <c r="BM116" s="649">
        <f t="shared" si="93"/>
        <v>0.29028184578274857</v>
      </c>
      <c r="BN116" s="417">
        <f t="shared" si="93"/>
        <v>0.30317187715157518</v>
      </c>
      <c r="BO116" s="417">
        <f t="shared" si="93"/>
        <v>8.2805443243048754E-2</v>
      </c>
      <c r="BP116" s="417">
        <f t="shared" si="93"/>
        <v>0</v>
      </c>
      <c r="BQ116" s="417">
        <f t="shared" si="93"/>
        <v>0</v>
      </c>
      <c r="BR116" s="417">
        <f t="shared" si="93"/>
        <v>0</v>
      </c>
      <c r="BS116" s="417">
        <f t="shared" si="93"/>
        <v>0.32374083382262742</v>
      </c>
      <c r="BT116" s="525">
        <f t="shared" si="85"/>
        <v>0.99999999999999989</v>
      </c>
      <c r="BV116" s="527">
        <f t="shared" si="64"/>
        <v>53.117866314010143</v>
      </c>
      <c r="BW116" s="114">
        <f t="shared" si="65"/>
        <v>0.43486511239483194</v>
      </c>
      <c r="BX116" s="1695">
        <f t="shared" si="25"/>
        <v>32.537026437175776</v>
      </c>
      <c r="BY116" s="527">
        <f t="shared" si="66"/>
        <v>53.117866314010143</v>
      </c>
      <c r="BZ116" s="417">
        <f t="shared" si="67"/>
        <v>0.43486511239483194</v>
      </c>
      <c r="CA116" s="544">
        <f t="shared" si="26"/>
        <v>32.537026437175776</v>
      </c>
      <c r="CB116" s="649">
        <f t="shared" si="27"/>
        <v>0.32580167937132221</v>
      </c>
      <c r="CC116" s="525">
        <f t="shared" si="68"/>
        <v>-2.310957952632342E-2</v>
      </c>
      <c r="CD116" s="417">
        <f t="shared" si="28"/>
        <v>0.32580167937132221</v>
      </c>
      <c r="CE116" s="525">
        <f t="shared" si="69"/>
        <v>-2.310957952632342E-2</v>
      </c>
      <c r="CG116" s="527">
        <f t="shared" si="70"/>
        <v>1522.0928240792091</v>
      </c>
      <c r="CH116" s="528">
        <f t="shared" si="71"/>
        <v>589.16716082364167</v>
      </c>
      <c r="CI116" s="528">
        <f t="shared" si="72"/>
        <v>2437.2458375911297</v>
      </c>
      <c r="CJ116" s="528">
        <f t="shared" si="73"/>
        <v>3466.5695457603251</v>
      </c>
      <c r="CK116" s="528">
        <f t="shared" si="74"/>
        <v>46.938966810505526</v>
      </c>
      <c r="CL116" s="528">
        <f t="shared" si="75"/>
        <v>8062.0143350648113</v>
      </c>
      <c r="CM116" s="646">
        <f t="shared" si="76"/>
        <v>0</v>
      </c>
    </row>
    <row r="117" spans="1:91" s="1" customFormat="1">
      <c r="A117" s="873">
        <f>'Input data'!A137</f>
        <v>2037</v>
      </c>
      <c r="B117" s="1553">
        <f>'Input data'!B137</f>
        <v>69.830333629884052</v>
      </c>
      <c r="C117" s="1552">
        <f>'Input data'!C137</f>
        <v>0</v>
      </c>
      <c r="D117" s="1554">
        <f>'Input data'!D137</f>
        <v>27502394.556130182</v>
      </c>
      <c r="E117" s="1456">
        <f t="shared" si="29"/>
        <v>0.88764848484848458</v>
      </c>
      <c r="F117" s="1506">
        <f t="shared" si="30"/>
        <v>0.33666060606060599</v>
      </c>
      <c r="G117" s="1511">
        <f>B117*F117*'Input data'!$C$9</f>
        <v>719.54583678051574</v>
      </c>
      <c r="H117" s="1510">
        <f>'Input data'!I137</f>
        <v>424.26313389388866</v>
      </c>
      <c r="I117" s="1511">
        <f>'Input data'!K137</f>
        <v>29626.436186670413</v>
      </c>
      <c r="J117" s="1511">
        <f>J97*(1-$C$5)</f>
        <v>3900.4110186862777</v>
      </c>
      <c r="K117" s="1513">
        <f t="shared" si="78"/>
        <v>9867.5404290211609</v>
      </c>
      <c r="L117" s="1506">
        <f t="shared" si="89"/>
        <v>0.57999999999999996</v>
      </c>
      <c r="M117" s="1506">
        <f t="shared" si="90"/>
        <v>0.437</v>
      </c>
      <c r="N117" s="1506">
        <f t="shared" si="91"/>
        <v>0.71200000000000008</v>
      </c>
      <c r="O117" s="1506">
        <f t="shared" si="92"/>
        <v>0.8</v>
      </c>
      <c r="P117" s="1506">
        <f>P116</f>
        <v>0.23600000000000002</v>
      </c>
      <c r="Q117" s="1510">
        <f t="shared" si="36"/>
        <v>0</v>
      </c>
      <c r="R117" s="1511">
        <f t="shared" si="37"/>
        <v>0</v>
      </c>
      <c r="S117" s="1511">
        <f t="shared" si="38"/>
        <v>0</v>
      </c>
      <c r="T117" s="1511">
        <f t="shared" si="39"/>
        <v>0</v>
      </c>
      <c r="U117" s="1513">
        <f t="shared" si="40"/>
        <v>0</v>
      </c>
      <c r="V117" s="1511">
        <f t="shared" si="10"/>
        <v>0</v>
      </c>
      <c r="W117" s="1456">
        <f t="shared" si="86"/>
        <v>0.5</v>
      </c>
      <c r="X117" s="530">
        <f t="shared" si="41"/>
        <v>3033.4854703020706</v>
      </c>
      <c r="Y117" s="528">
        <f t="shared" si="79"/>
        <v>3033.4854703020706</v>
      </c>
      <c r="Z117" s="528">
        <f t="shared" si="80"/>
        <v>10734.465977405369</v>
      </c>
      <c r="AA117" s="530">
        <f t="shared" si="81"/>
        <v>6834.0549587190908</v>
      </c>
      <c r="AB117" s="1091">
        <f t="shared" si="42"/>
        <v>0.63664601230316187</v>
      </c>
      <c r="AC117" s="135" t="str">
        <f t="shared" si="43"/>
        <v>Yes</v>
      </c>
      <c r="AD117" s="1091">
        <f t="shared" si="44"/>
        <v>0.63664601230316187</v>
      </c>
      <c r="AE117" s="649">
        <f t="shared" si="11"/>
        <v>0.33280193124638935</v>
      </c>
      <c r="AF117" s="530">
        <f t="shared" si="45"/>
        <v>283.06754357735701</v>
      </c>
      <c r="AG117" s="527">
        <f t="shared" si="46"/>
        <v>3900.4110186862777</v>
      </c>
      <c r="AH117" s="528">
        <f t="shared" si="82"/>
        <v>8121.0376032388403</v>
      </c>
      <c r="AI117" s="528">
        <f t="shared" si="83"/>
        <v>6437.6604656145792</v>
      </c>
      <c r="AJ117" s="528">
        <f t="shared" si="12"/>
        <v>1307.5919202588843</v>
      </c>
      <c r="AK117" s="528">
        <f t="shared" si="47"/>
        <v>19766.701007798583</v>
      </c>
      <c r="AL117" s="716">
        <f t="shared" si="13"/>
        <v>0</v>
      </c>
      <c r="AM117" s="649">
        <f t="shared" si="48"/>
        <v>0.19732230568709686</v>
      </c>
      <c r="AN117" s="417">
        <f t="shared" si="49"/>
        <v>0.41084435890616428</v>
      </c>
      <c r="AO117" s="417">
        <f t="shared" si="50"/>
        <v>0.32568208843118129</v>
      </c>
      <c r="AP117" s="417">
        <f t="shared" si="51"/>
        <v>6.6151246975557451E-2</v>
      </c>
      <c r="AQ117" s="525">
        <f t="shared" si="52"/>
        <v>0.99999999999999978</v>
      </c>
      <c r="AR117" s="1086">
        <f t="shared" si="14"/>
        <v>714.76488212602555</v>
      </c>
      <c r="AS117" s="938">
        <f t="shared" si="15"/>
        <v>906.51524060692793</v>
      </c>
      <c r="AT117" s="938">
        <f t="shared" si="16"/>
        <v>295.14696201778139</v>
      </c>
      <c r="AU117" s="938">
        <f t="shared" si="17"/>
        <v>0</v>
      </c>
      <c r="AV117" s="938">
        <f t="shared" si="18"/>
        <v>0</v>
      </c>
      <c r="AW117" s="938">
        <f t="shared" si="19"/>
        <v>0</v>
      </c>
      <c r="AX117" s="938">
        <f t="shared" si="20"/>
        <v>1256.2451847301268</v>
      </c>
      <c r="AY117" s="938">
        <f t="shared" si="21"/>
        <v>181.62441135496931</v>
      </c>
      <c r="AZ117" s="938">
        <f t="shared" si="22"/>
        <v>263.9901443653651</v>
      </c>
      <c r="BA117" s="938">
        <f t="shared" si="23"/>
        <v>232.06829315615823</v>
      </c>
      <c r="BB117" s="938">
        <f t="shared" si="24"/>
        <v>50.055900328922448</v>
      </c>
      <c r="BC117" s="530">
        <f t="shared" si="53"/>
        <v>3900.4110186862763</v>
      </c>
      <c r="BD117" s="724">
        <f t="shared" si="54"/>
        <v>0</v>
      </c>
      <c r="BE117" s="436">
        <f t="shared" si="55"/>
        <v>0.18325373369670417</v>
      </c>
      <c r="BF117" s="624">
        <f t="shared" si="56"/>
        <v>0.23241531117206654</v>
      </c>
      <c r="BG117" s="624">
        <f t="shared" si="57"/>
        <v>7.5670733315995969E-2</v>
      </c>
      <c r="BH117" s="624">
        <f t="shared" si="58"/>
        <v>0</v>
      </c>
      <c r="BI117" s="624">
        <f t="shared" si="59"/>
        <v>0</v>
      </c>
      <c r="BJ117" s="624">
        <f t="shared" si="60"/>
        <v>0</v>
      </c>
      <c r="BK117" s="624">
        <f t="shared" si="61"/>
        <v>0.5086602218152334</v>
      </c>
      <c r="BL117" s="624">
        <f t="shared" si="62"/>
        <v>1</v>
      </c>
      <c r="BM117" s="649">
        <f t="shared" si="93"/>
        <v>0.29028184578274857</v>
      </c>
      <c r="BN117" s="417">
        <f t="shared" si="93"/>
        <v>0.30317187715157518</v>
      </c>
      <c r="BO117" s="417">
        <f t="shared" si="93"/>
        <v>8.2805443243048754E-2</v>
      </c>
      <c r="BP117" s="417">
        <f t="shared" si="93"/>
        <v>0</v>
      </c>
      <c r="BQ117" s="417">
        <f t="shared" si="93"/>
        <v>0</v>
      </c>
      <c r="BR117" s="417">
        <f t="shared" si="93"/>
        <v>0</v>
      </c>
      <c r="BS117" s="417">
        <f t="shared" si="93"/>
        <v>0.32374083382262742</v>
      </c>
      <c r="BT117" s="525">
        <f t="shared" si="85"/>
        <v>0.99999999999999989</v>
      </c>
      <c r="BV117" s="527">
        <f t="shared" si="64"/>
        <v>48.021012563928778</v>
      </c>
      <c r="BW117" s="114">
        <f t="shared" si="65"/>
        <v>0.46060432130398071</v>
      </c>
      <c r="BX117" s="1695">
        <f t="shared" si="25"/>
        <v>27.502394556130181</v>
      </c>
      <c r="BY117" s="527">
        <f t="shared" si="66"/>
        <v>48.021012563928778</v>
      </c>
      <c r="BZ117" s="417">
        <f t="shared" si="67"/>
        <v>0.46060432130398071</v>
      </c>
      <c r="CA117" s="544">
        <f t="shared" si="26"/>
        <v>27.502394556130181</v>
      </c>
      <c r="CB117" s="649">
        <f t="shared" si="27"/>
        <v>0.33280193124638935</v>
      </c>
      <c r="CC117" s="525">
        <f t="shared" si="68"/>
        <v>-2.7340055734616175E-2</v>
      </c>
      <c r="CD117" s="417">
        <f t="shared" si="28"/>
        <v>0.33280193124638935</v>
      </c>
      <c r="CE117" s="525">
        <f t="shared" si="69"/>
        <v>-2.7340055734616175E-2</v>
      </c>
      <c r="CG117" s="527">
        <f t="shared" si="70"/>
        <v>1533.2363037615319</v>
      </c>
      <c r="CH117" s="528">
        <f t="shared" si="71"/>
        <v>593.48054577774383</v>
      </c>
      <c r="CI117" s="528">
        <f t="shared" si="72"/>
        <v>2455.0892956525345</v>
      </c>
      <c r="CJ117" s="528">
        <f t="shared" si="73"/>
        <v>3491.9488437173395</v>
      </c>
      <c r="CK117" s="528">
        <f t="shared" si="74"/>
        <v>47.28261432968921</v>
      </c>
      <c r="CL117" s="528">
        <f t="shared" si="75"/>
        <v>8121.0376032388385</v>
      </c>
      <c r="CM117" s="646">
        <f t="shared" si="76"/>
        <v>0</v>
      </c>
    </row>
    <row r="118" spans="1:91">
      <c r="A118" s="873">
        <f>'Input data'!A138</f>
        <v>2038</v>
      </c>
      <c r="B118" s="1553">
        <f>'Input data'!B138</f>
        <v>70.341572426693446</v>
      </c>
      <c r="C118" s="1552">
        <f>'Input data'!C138</f>
        <v>0</v>
      </c>
      <c r="D118" s="1554">
        <f>'Input data'!D138</f>
        <v>25672806.243326273</v>
      </c>
      <c r="E118" s="1456">
        <f t="shared" si="29"/>
        <v>0.89629090909090881</v>
      </c>
      <c r="F118" s="1506">
        <f t="shared" si="30"/>
        <v>0.33901363636363629</v>
      </c>
      <c r="G118" s="1511">
        <f>B118*F118*'Input data'!$C$9</f>
        <v>729.87970305381032</v>
      </c>
      <c r="H118" s="1510">
        <f>'Input data'!I138</f>
        <v>424.26313389388866</v>
      </c>
      <c r="I118" s="1511">
        <f>'Input data'!K138</f>
        <v>29843.335960772907</v>
      </c>
      <c r="J118" s="1511">
        <f t="shared" ref="J118:J126" si="94">($J$127-$J$117)/($A$127-$A$117)+J117</f>
        <v>3733.2505464568658</v>
      </c>
      <c r="K118" s="1513">
        <f t="shared" si="78"/>
        <v>10135.498227666953</v>
      </c>
      <c r="L118" s="1506">
        <f t="shared" si="89"/>
        <v>0.57999999999999996</v>
      </c>
      <c r="M118" s="1506">
        <f t="shared" si="90"/>
        <v>0.437</v>
      </c>
      <c r="N118" s="1506">
        <f t="shared" si="91"/>
        <v>0.71200000000000008</v>
      </c>
      <c r="O118" s="1506">
        <f t="shared" si="92"/>
        <v>0.8</v>
      </c>
      <c r="P118" s="1506">
        <f t="shared" si="92"/>
        <v>0.23600000000000002</v>
      </c>
      <c r="Q118" s="1510">
        <f t="shared" si="36"/>
        <v>0</v>
      </c>
      <c r="R118" s="1511">
        <f t="shared" si="37"/>
        <v>0</v>
      </c>
      <c r="S118" s="1511">
        <f t="shared" si="38"/>
        <v>0</v>
      </c>
      <c r="T118" s="1511">
        <f t="shared" si="39"/>
        <v>0</v>
      </c>
      <c r="U118" s="1513">
        <f t="shared" si="40"/>
        <v>0</v>
      </c>
      <c r="V118" s="1511">
        <f t="shared" si="10"/>
        <v>0</v>
      </c>
      <c r="W118" s="1456">
        <f t="shared" si="86"/>
        <v>0.5</v>
      </c>
      <c r="X118" s="530">
        <f t="shared" si="41"/>
        <v>3033.4854703020706</v>
      </c>
      <c r="Y118" s="528">
        <f t="shared" si="79"/>
        <v>3033.4854703020706</v>
      </c>
      <c r="Z118" s="528">
        <f t="shared" si="80"/>
        <v>10835.263303821748</v>
      </c>
      <c r="AA118" s="530">
        <f t="shared" si="81"/>
        <v>7102.0127573648824</v>
      </c>
      <c r="AB118" s="1091">
        <f t="shared" si="42"/>
        <v>0.65545363857100769</v>
      </c>
      <c r="AC118" s="135" t="str">
        <f t="shared" si="43"/>
        <v>Yes</v>
      </c>
      <c r="AD118" s="1091">
        <f t="shared" si="44"/>
        <v>0.65545363857100769</v>
      </c>
      <c r="AE118" s="649">
        <f t="shared" si="11"/>
        <v>0.3432238595609628</v>
      </c>
      <c r="AF118" s="530">
        <f t="shared" si="45"/>
        <v>278.64590360939866</v>
      </c>
      <c r="AG118" s="527">
        <f t="shared" si="46"/>
        <v>3733.2505464568658</v>
      </c>
      <c r="AH118" s="528">
        <f t="shared" si="82"/>
        <v>8180.4929899928129</v>
      </c>
      <c r="AI118" s="528">
        <f t="shared" si="83"/>
        <v>6437.6604656145792</v>
      </c>
      <c r="AJ118" s="528">
        <f t="shared" si="12"/>
        <v>1248.9870080777011</v>
      </c>
      <c r="AK118" s="528">
        <f t="shared" si="47"/>
        <v>19600.391010141957</v>
      </c>
      <c r="AL118" s="716">
        <f t="shared" si="13"/>
        <v>0</v>
      </c>
      <c r="AM118" s="649">
        <f t="shared" si="48"/>
        <v>0.19046816691183077</v>
      </c>
      <c r="AN118" s="417">
        <f t="shared" si="49"/>
        <v>0.41736376512896745</v>
      </c>
      <c r="AO118" s="417">
        <f t="shared" si="50"/>
        <v>0.32844551224939844</v>
      </c>
      <c r="AP118" s="417">
        <f t="shared" si="51"/>
        <v>6.3722555709803425E-2</v>
      </c>
      <c r="AQ118" s="525">
        <f t="shared" si="52"/>
        <v>1</v>
      </c>
      <c r="AR118" s="1086">
        <f t="shared" si="14"/>
        <v>686.10331338185881</v>
      </c>
      <c r="AS118" s="938">
        <f t="shared" si="15"/>
        <v>870.16461743555999</v>
      </c>
      <c r="AT118" s="938">
        <f t="shared" si="16"/>
        <v>281.9187816339728</v>
      </c>
      <c r="AU118" s="938">
        <f t="shared" si="17"/>
        <v>0</v>
      </c>
      <c r="AV118" s="938">
        <f t="shared" si="18"/>
        <v>0</v>
      </c>
      <c r="AW118" s="938">
        <f t="shared" si="19"/>
        <v>0</v>
      </c>
      <c r="AX118" s="938">
        <f t="shared" si="20"/>
        <v>1199.9415799215506</v>
      </c>
      <c r="AY118" s="938">
        <f t="shared" si="21"/>
        <v>173.48419382035058</v>
      </c>
      <c r="AZ118" s="938">
        <f t="shared" si="22"/>
        <v>252.15838019832503</v>
      </c>
      <c r="BA118" s="938">
        <f t="shared" si="23"/>
        <v>221.6672332155606</v>
      </c>
      <c r="BB118" s="938">
        <f t="shared" si="24"/>
        <v>47.81244684968577</v>
      </c>
      <c r="BC118" s="530">
        <f t="shared" si="53"/>
        <v>3733.2505464568644</v>
      </c>
      <c r="BD118" s="724">
        <f t="shared" si="54"/>
        <v>0</v>
      </c>
      <c r="BE118" s="436">
        <f t="shared" si="55"/>
        <v>0.18378174859788676</v>
      </c>
      <c r="BF118" s="624">
        <f t="shared" si="56"/>
        <v>0.2330849769141296</v>
      </c>
      <c r="BG118" s="624">
        <f t="shared" si="57"/>
        <v>7.5515633929668854E-2</v>
      </c>
      <c r="BH118" s="624">
        <f t="shared" si="58"/>
        <v>0</v>
      </c>
      <c r="BI118" s="624">
        <f t="shared" si="59"/>
        <v>0</v>
      </c>
      <c r="BJ118" s="624">
        <f t="shared" si="60"/>
        <v>0</v>
      </c>
      <c r="BK118" s="624">
        <f t="shared" si="61"/>
        <v>0.50761764055831471</v>
      </c>
      <c r="BL118" s="624">
        <f t="shared" si="62"/>
        <v>1</v>
      </c>
      <c r="BM118" s="649">
        <f t="shared" si="93"/>
        <v>0.29028184578274857</v>
      </c>
      <c r="BN118" s="417">
        <f t="shared" si="93"/>
        <v>0.30317187715157518</v>
      </c>
      <c r="BO118" s="417">
        <f t="shared" si="93"/>
        <v>8.2805443243048754E-2</v>
      </c>
      <c r="BP118" s="417">
        <f t="shared" si="93"/>
        <v>0</v>
      </c>
      <c r="BQ118" s="417">
        <f t="shared" si="93"/>
        <v>0</v>
      </c>
      <c r="BR118" s="417">
        <f t="shared" si="93"/>
        <v>0</v>
      </c>
      <c r="BS118" s="417">
        <f t="shared" si="93"/>
        <v>0.32374083382262742</v>
      </c>
      <c r="BT118" s="525">
        <f t="shared" si="85"/>
        <v>0.99999999999999989</v>
      </c>
      <c r="BV118" s="527">
        <f t="shared" si="64"/>
        <v>46.025114253468232</v>
      </c>
      <c r="BW118" s="114">
        <f t="shared" si="65"/>
        <v>0.47264670745952791</v>
      </c>
      <c r="BX118" s="1695">
        <f t="shared" si="25"/>
        <v>25.672806243326274</v>
      </c>
      <c r="BY118" s="527">
        <f t="shared" si="66"/>
        <v>46.025114253468232</v>
      </c>
      <c r="BZ118" s="417">
        <f t="shared" si="67"/>
        <v>0.47264670745952791</v>
      </c>
      <c r="CA118" s="544">
        <f t="shared" si="26"/>
        <v>25.672806243326274</v>
      </c>
      <c r="CB118" s="649">
        <f t="shared" si="27"/>
        <v>0.3432238595609628</v>
      </c>
      <c r="CC118" s="525">
        <f t="shared" si="68"/>
        <v>-2.9288461606937322E-2</v>
      </c>
      <c r="CD118" s="417">
        <f t="shared" si="28"/>
        <v>0.3432238595609628</v>
      </c>
      <c r="CE118" s="525">
        <f t="shared" si="69"/>
        <v>-2.9288461606937322E-2</v>
      </c>
      <c r="CG118" s="527">
        <f t="shared" si="70"/>
        <v>1544.4613666019029</v>
      </c>
      <c r="CH118" s="528">
        <f t="shared" si="71"/>
        <v>597.82550969788394</v>
      </c>
      <c r="CI118" s="528">
        <f t="shared" si="72"/>
        <v>2473.0633884618505</v>
      </c>
      <c r="CJ118" s="528">
        <f t="shared" si="73"/>
        <v>3517.513947485053</v>
      </c>
      <c r="CK118" s="528">
        <f t="shared" si="74"/>
        <v>47.628777746121287</v>
      </c>
      <c r="CL118" s="528">
        <f t="shared" si="75"/>
        <v>8180.4929899928111</v>
      </c>
      <c r="CM118" s="646">
        <f t="shared" si="76"/>
        <v>0</v>
      </c>
    </row>
    <row r="119" spans="1:91">
      <c r="A119" s="873">
        <f>'Input data'!A139</f>
        <v>2039</v>
      </c>
      <c r="B119" s="1553">
        <f>'Input data'!B139</f>
        <v>70.856554082712819</v>
      </c>
      <c r="C119" s="1552">
        <f>'Input data'!C139</f>
        <v>0</v>
      </c>
      <c r="D119" s="1554">
        <f>'Input data'!D139</f>
        <v>23843217.930522356</v>
      </c>
      <c r="E119" s="1456">
        <f t="shared" si="29"/>
        <v>0.90493333333333303</v>
      </c>
      <c r="F119" s="1506">
        <f t="shared" si="30"/>
        <v>0.3413666666666666</v>
      </c>
      <c r="G119" s="1511">
        <f>B119*F119*'Input data'!$C$9</f>
        <v>740.32631385442471</v>
      </c>
      <c r="H119" s="1510">
        <f>'Input data'!I139</f>
        <v>424.26313389388866</v>
      </c>
      <c r="I119" s="1511">
        <f>'Input data'!K139</f>
        <v>30061.823692053553</v>
      </c>
      <c r="J119" s="1511">
        <f t="shared" si="94"/>
        <v>3566.0900742274539</v>
      </c>
      <c r="K119" s="1513">
        <f t="shared" si="78"/>
        <v>10404.19397930824</v>
      </c>
      <c r="L119" s="1506">
        <f t="shared" si="89"/>
        <v>0.57999999999999996</v>
      </c>
      <c r="M119" s="1506">
        <f t="shared" si="90"/>
        <v>0.437</v>
      </c>
      <c r="N119" s="1506">
        <f t="shared" si="91"/>
        <v>0.71200000000000008</v>
      </c>
      <c r="O119" s="1506">
        <f t="shared" si="92"/>
        <v>0.8</v>
      </c>
      <c r="P119" s="1506">
        <f t="shared" si="92"/>
        <v>0.23600000000000002</v>
      </c>
      <c r="Q119" s="1510">
        <f t="shared" si="36"/>
        <v>0</v>
      </c>
      <c r="R119" s="1511">
        <f t="shared" si="37"/>
        <v>0</v>
      </c>
      <c r="S119" s="1511">
        <f t="shared" si="38"/>
        <v>0</v>
      </c>
      <c r="T119" s="1511">
        <f t="shared" si="39"/>
        <v>0</v>
      </c>
      <c r="U119" s="1513">
        <f t="shared" si="40"/>
        <v>0</v>
      </c>
      <c r="V119" s="1511">
        <f t="shared" si="10"/>
        <v>0</v>
      </c>
      <c r="W119" s="1456">
        <f t="shared" si="86"/>
        <v>0.5</v>
      </c>
      <c r="X119" s="530">
        <f t="shared" si="41"/>
        <v>3033.4854703020706</v>
      </c>
      <c r="Y119" s="528">
        <f t="shared" si="79"/>
        <v>3033.4854703020706</v>
      </c>
      <c r="Z119" s="528">
        <f t="shared" si="80"/>
        <v>10936.798583233624</v>
      </c>
      <c r="AA119" s="530">
        <f t="shared" si="81"/>
        <v>7370.7085090061701</v>
      </c>
      <c r="AB119" s="1091">
        <f t="shared" si="42"/>
        <v>0.67393656863221785</v>
      </c>
      <c r="AC119" s="135" t="str">
        <f t="shared" si="43"/>
        <v>Yes</v>
      </c>
      <c r="AD119" s="1091">
        <f t="shared" si="44"/>
        <v>0.67393656863221785</v>
      </c>
      <c r="AE119" s="649">
        <f t="shared" si="11"/>
        <v>0.35350649570399229</v>
      </c>
      <c r="AF119" s="530">
        <f t="shared" si="45"/>
        <v>274.28336017466643</v>
      </c>
      <c r="AG119" s="527">
        <f t="shared" si="46"/>
        <v>3566.0900742274539</v>
      </c>
      <c r="AH119" s="528">
        <f t="shared" si="82"/>
        <v>8240.3836589344519</v>
      </c>
      <c r="AI119" s="528">
        <f t="shared" si="83"/>
        <v>6437.6604656145792</v>
      </c>
      <c r="AJ119" s="528">
        <f t="shared" si="12"/>
        <v>1190.6395454279671</v>
      </c>
      <c r="AK119" s="528">
        <f t="shared" si="47"/>
        <v>19434.773744204449</v>
      </c>
      <c r="AL119" s="716">
        <f t="shared" si="13"/>
        <v>0</v>
      </c>
      <c r="AM119" s="649">
        <f t="shared" si="48"/>
        <v>0.18349017699734635</v>
      </c>
      <c r="AN119" s="417">
        <f t="shared" si="49"/>
        <v>0.4240020371418925</v>
      </c>
      <c r="AO119" s="417">
        <f t="shared" si="50"/>
        <v>0.33124442560255291</v>
      </c>
      <c r="AP119" s="417">
        <f t="shared" si="51"/>
        <v>6.1263360258208409E-2</v>
      </c>
      <c r="AQ119" s="525">
        <f t="shared" si="52"/>
        <v>1.0000000000000002</v>
      </c>
      <c r="AR119" s="1086">
        <f t="shared" si="14"/>
        <v>657.2439136613923</v>
      </c>
      <c r="AS119" s="938">
        <f t="shared" si="15"/>
        <v>833.56309106572155</v>
      </c>
      <c r="AT119" s="938">
        <f t="shared" si="16"/>
        <v>268.7487122295172</v>
      </c>
      <c r="AU119" s="938">
        <f t="shared" si="17"/>
        <v>0</v>
      </c>
      <c r="AV119" s="938">
        <f t="shared" si="18"/>
        <v>0</v>
      </c>
      <c r="AW119" s="938">
        <f t="shared" si="19"/>
        <v>0</v>
      </c>
      <c r="AX119" s="938">
        <f t="shared" si="20"/>
        <v>1143.8853150736941</v>
      </c>
      <c r="AY119" s="938">
        <f t="shared" si="21"/>
        <v>165.37973600470738</v>
      </c>
      <c r="AZ119" s="938">
        <f t="shared" si="22"/>
        <v>240.37859259822551</v>
      </c>
      <c r="BA119" s="938">
        <f t="shared" si="23"/>
        <v>211.3118648033456</v>
      </c>
      <c r="BB119" s="938">
        <f t="shared" si="24"/>
        <v>45.578848790849214</v>
      </c>
      <c r="BC119" s="530">
        <f t="shared" si="53"/>
        <v>3566.090074227453</v>
      </c>
      <c r="BD119" s="724">
        <f t="shared" si="54"/>
        <v>0</v>
      </c>
      <c r="BE119" s="436">
        <f t="shared" si="55"/>
        <v>0.18430378929892163</v>
      </c>
      <c r="BF119" s="624">
        <f t="shared" si="56"/>
        <v>0.23374706575416554</v>
      </c>
      <c r="BG119" s="624">
        <f t="shared" si="57"/>
        <v>7.5362289408165917E-2</v>
      </c>
      <c r="BH119" s="624">
        <f t="shared" si="58"/>
        <v>0</v>
      </c>
      <c r="BI119" s="624">
        <f t="shared" si="59"/>
        <v>0</v>
      </c>
      <c r="BJ119" s="624">
        <f t="shared" si="60"/>
        <v>0</v>
      </c>
      <c r="BK119" s="624">
        <f t="shared" si="61"/>
        <v>0.50658685553874683</v>
      </c>
      <c r="BL119" s="624">
        <f t="shared" si="62"/>
        <v>0.99999999999999989</v>
      </c>
      <c r="BM119" s="649">
        <f t="shared" si="93"/>
        <v>0.29028184578274857</v>
      </c>
      <c r="BN119" s="417">
        <f t="shared" si="93"/>
        <v>0.30317187715157518</v>
      </c>
      <c r="BO119" s="417">
        <f t="shared" si="93"/>
        <v>8.2805443243048754E-2</v>
      </c>
      <c r="BP119" s="417">
        <f t="shared" si="93"/>
        <v>0</v>
      </c>
      <c r="BQ119" s="417">
        <f t="shared" si="93"/>
        <v>0</v>
      </c>
      <c r="BR119" s="417">
        <f t="shared" si="93"/>
        <v>0</v>
      </c>
      <c r="BS119" s="417">
        <f t="shared" si="93"/>
        <v>0.32374083382262742</v>
      </c>
      <c r="BT119" s="525">
        <f t="shared" si="85"/>
        <v>0.99999999999999989</v>
      </c>
      <c r="BV119" s="527">
        <f t="shared" si="64"/>
        <v>44.029908674726798</v>
      </c>
      <c r="BW119" s="114">
        <f t="shared" si="65"/>
        <v>0.48578897617289196</v>
      </c>
      <c r="BX119" s="1695">
        <f t="shared" si="25"/>
        <v>23.843217930522357</v>
      </c>
      <c r="BY119" s="527">
        <f t="shared" si="66"/>
        <v>44.029908674726798</v>
      </c>
      <c r="BZ119" s="417">
        <f t="shared" si="67"/>
        <v>0.48578897617289196</v>
      </c>
      <c r="CA119" s="544">
        <f t="shared" si="26"/>
        <v>23.843217930522357</v>
      </c>
      <c r="CB119" s="649">
        <f t="shared" si="27"/>
        <v>0.35350649570399229</v>
      </c>
      <c r="CC119" s="525">
        <f t="shared" si="68"/>
        <v>-3.1535885893885673E-2</v>
      </c>
      <c r="CD119" s="417">
        <f t="shared" si="28"/>
        <v>0.35350649570399229</v>
      </c>
      <c r="CE119" s="525">
        <f t="shared" si="69"/>
        <v>-3.1535885893885673E-2</v>
      </c>
      <c r="CG119" s="527">
        <f t="shared" si="70"/>
        <v>1555.7686098833849</v>
      </c>
      <c r="CH119" s="528">
        <f t="shared" si="71"/>
        <v>602.20228377861258</v>
      </c>
      <c r="CI119" s="528">
        <f t="shared" si="72"/>
        <v>2491.1690724165023</v>
      </c>
      <c r="CJ119" s="528">
        <f t="shared" si="73"/>
        <v>3543.2662173768713</v>
      </c>
      <c r="CK119" s="528">
        <f t="shared" si="74"/>
        <v>47.977475479079111</v>
      </c>
      <c r="CL119" s="528">
        <f t="shared" si="75"/>
        <v>8240.3836589344501</v>
      </c>
      <c r="CM119" s="646">
        <f t="shared" si="76"/>
        <v>0</v>
      </c>
    </row>
    <row r="120" spans="1:91">
      <c r="A120" s="873">
        <f>'Input data'!A140</f>
        <v>2040</v>
      </c>
      <c r="B120" s="1553">
        <f>'Input data'!B140</f>
        <v>71.375305999999995</v>
      </c>
      <c r="C120" s="1552">
        <f>'Input data'!C140</f>
        <v>0</v>
      </c>
      <c r="D120" s="1554">
        <f>'Input data'!D140</f>
        <v>22013629.617718432</v>
      </c>
      <c r="E120" s="1456">
        <f t="shared" si="29"/>
        <v>0.91357575757575726</v>
      </c>
      <c r="F120" s="1506">
        <f t="shared" si="30"/>
        <v>0.3437196969696969</v>
      </c>
      <c r="G120" s="1511">
        <f>B120*F120*'Input data'!$C$9</f>
        <v>750.88676613467851</v>
      </c>
      <c r="H120" s="1510">
        <f>'Input data'!I140</f>
        <v>424.26313389388866</v>
      </c>
      <c r="I120" s="1511">
        <f>'Input data'!K140</f>
        <v>30281.911006195274</v>
      </c>
      <c r="J120" s="1511">
        <f t="shared" si="94"/>
        <v>3398.929601998042</v>
      </c>
      <c r="K120" s="1513">
        <f t="shared" si="78"/>
        <v>10673.633086614351</v>
      </c>
      <c r="L120" s="1506">
        <f t="shared" si="89"/>
        <v>0.57999999999999996</v>
      </c>
      <c r="M120" s="1506">
        <f t="shared" si="90"/>
        <v>0.437</v>
      </c>
      <c r="N120" s="1506">
        <f t="shared" si="91"/>
        <v>0.71200000000000008</v>
      </c>
      <c r="O120" s="1506">
        <f t="shared" si="92"/>
        <v>0.8</v>
      </c>
      <c r="P120" s="1506">
        <f t="shared" si="92"/>
        <v>0.23600000000000002</v>
      </c>
      <c r="Q120" s="1510">
        <f t="shared" si="36"/>
        <v>0</v>
      </c>
      <c r="R120" s="1511">
        <f t="shared" si="37"/>
        <v>0</v>
      </c>
      <c r="S120" s="1511">
        <f t="shared" si="38"/>
        <v>0</v>
      </c>
      <c r="T120" s="1511">
        <f t="shared" si="39"/>
        <v>0</v>
      </c>
      <c r="U120" s="1513">
        <f t="shared" si="40"/>
        <v>0</v>
      </c>
      <c r="V120" s="1511">
        <f t="shared" si="10"/>
        <v>0</v>
      </c>
      <c r="W120" s="1456">
        <f t="shared" si="86"/>
        <v>0.5</v>
      </c>
      <c r="X120" s="530">
        <f t="shared" si="41"/>
        <v>3033.4854703020706</v>
      </c>
      <c r="Y120" s="528">
        <f t="shared" si="79"/>
        <v>3033.4854703020706</v>
      </c>
      <c r="Z120" s="528">
        <f t="shared" si="80"/>
        <v>11039.077218310322</v>
      </c>
      <c r="AA120" s="530">
        <f t="shared" si="81"/>
        <v>7640.1476163122798</v>
      </c>
      <c r="AB120" s="1091">
        <f t="shared" si="42"/>
        <v>0.69210020595197053</v>
      </c>
      <c r="AC120" s="135" t="str">
        <f t="shared" si="43"/>
        <v>Yes</v>
      </c>
      <c r="AD120" s="1091">
        <f t="shared" si="44"/>
        <v>0.69210020595197053</v>
      </c>
      <c r="AE120" s="649">
        <f t="shared" si="11"/>
        <v>0.36365151761921655</v>
      </c>
      <c r="AF120" s="530">
        <f t="shared" si="45"/>
        <v>269.97920138349122</v>
      </c>
      <c r="AG120" s="527">
        <f t="shared" si="46"/>
        <v>3398.929601998042</v>
      </c>
      <c r="AH120" s="528">
        <f t="shared" si="82"/>
        <v>8300.7127968327495</v>
      </c>
      <c r="AI120" s="528">
        <f t="shared" si="83"/>
        <v>6437.6604656145792</v>
      </c>
      <c r="AJ120" s="528">
        <f t="shared" si="12"/>
        <v>1132.5452479369364</v>
      </c>
      <c r="AK120" s="528">
        <f t="shared" si="47"/>
        <v>19269.848112382308</v>
      </c>
      <c r="AL120" s="716">
        <f t="shared" si="13"/>
        <v>0</v>
      </c>
      <c r="AM120" s="649">
        <f t="shared" si="48"/>
        <v>0.17638590518074596</v>
      </c>
      <c r="AN120" s="417">
        <f t="shared" si="49"/>
        <v>0.43076171376249328</v>
      </c>
      <c r="AO120" s="417">
        <f t="shared" si="50"/>
        <v>0.33407946072381883</v>
      </c>
      <c r="AP120" s="417">
        <f t="shared" si="51"/>
        <v>5.8772920332941909E-2</v>
      </c>
      <c r="AQ120" s="525">
        <f t="shared" si="52"/>
        <v>1</v>
      </c>
      <c r="AR120" s="1086">
        <f t="shared" si="14"/>
        <v>628.18997518907975</v>
      </c>
      <c r="AS120" s="938">
        <f t="shared" si="15"/>
        <v>796.71483692868696</v>
      </c>
      <c r="AT120" s="938">
        <f t="shared" si="16"/>
        <v>255.63578674459976</v>
      </c>
      <c r="AU120" s="938">
        <f t="shared" si="17"/>
        <v>0</v>
      </c>
      <c r="AV120" s="938">
        <f t="shared" si="18"/>
        <v>0</v>
      </c>
      <c r="AW120" s="938">
        <f t="shared" si="19"/>
        <v>0</v>
      </c>
      <c r="AX120" s="938">
        <f t="shared" si="20"/>
        <v>1088.0722740532683</v>
      </c>
      <c r="AY120" s="938">
        <f t="shared" si="21"/>
        <v>157.31044280901386</v>
      </c>
      <c r="AZ120" s="938">
        <f t="shared" si="22"/>
        <v>228.64991659170408</v>
      </c>
      <c r="BA120" s="938">
        <f t="shared" si="23"/>
        <v>201.00142753926374</v>
      </c>
      <c r="BB120" s="938">
        <f t="shared" si="24"/>
        <v>43.35494214242479</v>
      </c>
      <c r="BC120" s="530">
        <f t="shared" si="53"/>
        <v>3398.9296019980407</v>
      </c>
      <c r="BD120" s="724">
        <f t="shared" si="54"/>
        <v>0</v>
      </c>
      <c r="BE120" s="436">
        <f t="shared" si="55"/>
        <v>0.18481994296669221</v>
      </c>
      <c r="BF120" s="624">
        <f t="shared" si="56"/>
        <v>0.23440168824336427</v>
      </c>
      <c r="BG120" s="624">
        <f t="shared" si="57"/>
        <v>7.5210674147039053E-2</v>
      </c>
      <c r="BH120" s="624">
        <f t="shared" si="58"/>
        <v>0</v>
      </c>
      <c r="BI120" s="624">
        <f t="shared" si="59"/>
        <v>0</v>
      </c>
      <c r="BJ120" s="624">
        <f t="shared" si="60"/>
        <v>0</v>
      </c>
      <c r="BK120" s="624">
        <f t="shared" si="61"/>
        <v>0.50556769464290463</v>
      </c>
      <c r="BL120" s="624">
        <f t="shared" si="62"/>
        <v>1.0000000000000002</v>
      </c>
      <c r="BM120" s="649">
        <f t="shared" si="93"/>
        <v>0.29028184578274857</v>
      </c>
      <c r="BN120" s="417">
        <f t="shared" si="93"/>
        <v>0.30317187715157518</v>
      </c>
      <c r="BO120" s="417">
        <f t="shared" si="93"/>
        <v>8.2805443243048754E-2</v>
      </c>
      <c r="BP120" s="417">
        <f t="shared" si="93"/>
        <v>0</v>
      </c>
      <c r="BQ120" s="417">
        <f t="shared" si="93"/>
        <v>0</v>
      </c>
      <c r="BR120" s="417">
        <f t="shared" si="93"/>
        <v>0</v>
      </c>
      <c r="BS120" s="417">
        <f t="shared" si="93"/>
        <v>0.32374083382262742</v>
      </c>
      <c r="BT120" s="525">
        <f t="shared" si="85"/>
        <v>0.99999999999999989</v>
      </c>
      <c r="BV120" s="527">
        <f t="shared" si="64"/>
        <v>42.035394730100741</v>
      </c>
      <c r="BW120" s="114">
        <f t="shared" si="65"/>
        <v>0.50018708207519103</v>
      </c>
      <c r="BX120" s="1695">
        <f t="shared" si="25"/>
        <v>22.013629617718433</v>
      </c>
      <c r="BY120" s="527">
        <f t="shared" si="66"/>
        <v>42.035394730100741</v>
      </c>
      <c r="BZ120" s="417">
        <f t="shared" si="67"/>
        <v>0.50018708207519103</v>
      </c>
      <c r="CA120" s="544">
        <f t="shared" si="26"/>
        <v>22.013629617718433</v>
      </c>
      <c r="CB120" s="649">
        <f t="shared" si="27"/>
        <v>0.36365151761921655</v>
      </c>
      <c r="CC120" s="525">
        <f t="shared" si="68"/>
        <v>-3.4156884305657442E-2</v>
      </c>
      <c r="CD120" s="417">
        <f t="shared" si="28"/>
        <v>0.36365151761921655</v>
      </c>
      <c r="CE120" s="525">
        <f t="shared" si="69"/>
        <v>-3.4156884305657442E-2</v>
      </c>
      <c r="CG120" s="527">
        <f t="shared" si="70"/>
        <v>1567.1586352618433</v>
      </c>
      <c r="CH120" s="528">
        <f t="shared" si="71"/>
        <v>606.61110090709167</v>
      </c>
      <c r="CI120" s="528">
        <f t="shared" si="72"/>
        <v>2509.4073109158521</v>
      </c>
      <c r="CJ120" s="528">
        <f t="shared" si="73"/>
        <v>3569.2070236652708</v>
      </c>
      <c r="CK120" s="528">
        <f t="shared" si="74"/>
        <v>48.328726082690423</v>
      </c>
      <c r="CL120" s="528">
        <f t="shared" si="75"/>
        <v>8300.7127968327495</v>
      </c>
      <c r="CM120" s="646">
        <f t="shared" si="76"/>
        <v>0</v>
      </c>
    </row>
    <row r="121" spans="1:91">
      <c r="A121" s="873">
        <f>'Input data'!A141</f>
        <v>2041</v>
      </c>
      <c r="B121" s="1553">
        <f>'Input data'!B141</f>
        <v>71.818612994947316</v>
      </c>
      <c r="C121" s="1552">
        <f>'Input data'!C141</f>
        <v>0</v>
      </c>
      <c r="D121" s="1554">
        <f>'Input data'!D141</f>
        <v>20405559.977125086</v>
      </c>
      <c r="E121" s="1456">
        <f t="shared" si="29"/>
        <v>0.92221818181818149</v>
      </c>
      <c r="F121" s="1506">
        <f t="shared" si="30"/>
        <v>0.3460727272727272</v>
      </c>
      <c r="G121" s="1511">
        <f>B121*F121*'Input data'!$C$9</f>
        <v>760.72280514389797</v>
      </c>
      <c r="H121" s="1510">
        <f>'Input data'!I141</f>
        <v>424.26313389388866</v>
      </c>
      <c r="I121" s="1511">
        <f>'Input data'!K141</f>
        <v>30469.989821148705</v>
      </c>
      <c r="J121" s="1511">
        <f t="shared" si="94"/>
        <v>3231.7691297686301</v>
      </c>
      <c r="K121" s="1513">
        <f t="shared" si="78"/>
        <v>10928.197253851338</v>
      </c>
      <c r="L121" s="1506">
        <f t="shared" si="89"/>
        <v>0.57999999999999996</v>
      </c>
      <c r="M121" s="1506">
        <f t="shared" si="90"/>
        <v>0.437</v>
      </c>
      <c r="N121" s="1506">
        <f t="shared" si="91"/>
        <v>0.71200000000000008</v>
      </c>
      <c r="O121" s="1506">
        <f t="shared" si="92"/>
        <v>0.8</v>
      </c>
      <c r="P121" s="1506">
        <f t="shared" si="92"/>
        <v>0.23600000000000002</v>
      </c>
      <c r="Q121" s="1510">
        <f t="shared" si="36"/>
        <v>0</v>
      </c>
      <c r="R121" s="1511">
        <f t="shared" si="37"/>
        <v>0</v>
      </c>
      <c r="S121" s="1511">
        <f t="shared" si="38"/>
        <v>0</v>
      </c>
      <c r="T121" s="1511">
        <f t="shared" si="39"/>
        <v>0</v>
      </c>
      <c r="U121" s="1513">
        <f t="shared" si="40"/>
        <v>0</v>
      </c>
      <c r="V121" s="1511">
        <f t="shared" si="10"/>
        <v>0</v>
      </c>
      <c r="W121" s="1456">
        <f t="shared" si="86"/>
        <v>0.5</v>
      </c>
      <c r="X121" s="530">
        <f t="shared" si="41"/>
        <v>3033.4854703020706</v>
      </c>
      <c r="Y121" s="528">
        <f t="shared" si="79"/>
        <v>3033.4854703020706</v>
      </c>
      <c r="Z121" s="528">
        <f t="shared" si="80"/>
        <v>11126.480913317899</v>
      </c>
      <c r="AA121" s="530">
        <f t="shared" si="81"/>
        <v>7894.7117835492681</v>
      </c>
      <c r="AB121" s="1091">
        <f t="shared" si="42"/>
        <v>0.70954256292298601</v>
      </c>
      <c r="AC121" s="135" t="str">
        <f t="shared" si="43"/>
        <v>Yes</v>
      </c>
      <c r="AD121" s="1091">
        <f t="shared" si="44"/>
        <v>0.70954256292298601</v>
      </c>
      <c r="AE121" s="649">
        <f t="shared" si="11"/>
        <v>0.37326134680596657</v>
      </c>
      <c r="AF121" s="530">
        <f t="shared" si="45"/>
        <v>265.90210513653562</v>
      </c>
      <c r="AG121" s="527">
        <f t="shared" si="46"/>
        <v>3231.7691297686301</v>
      </c>
      <c r="AH121" s="528">
        <f t="shared" si="82"/>
        <v>8352.2679389695077</v>
      </c>
      <c r="AI121" s="528">
        <f t="shared" si="83"/>
        <v>6437.6604656145792</v>
      </c>
      <c r="AJ121" s="528">
        <f t="shared" si="12"/>
        <v>1075.0228489899325</v>
      </c>
      <c r="AK121" s="528">
        <f t="shared" si="47"/>
        <v>19096.720383342647</v>
      </c>
      <c r="AL121" s="716">
        <f t="shared" si="13"/>
        <v>0</v>
      </c>
      <c r="AM121" s="649">
        <f t="shared" si="48"/>
        <v>0.16923163060959834</v>
      </c>
      <c r="AN121" s="417">
        <f t="shared" si="49"/>
        <v>0.43736661433524876</v>
      </c>
      <c r="AO121" s="417">
        <f t="shared" si="50"/>
        <v>0.33710817021910783</v>
      </c>
      <c r="AP121" s="417">
        <f t="shared" si="51"/>
        <v>5.6293584836045178E-2</v>
      </c>
      <c r="AQ121" s="525">
        <f t="shared" si="52"/>
        <v>1</v>
      </c>
      <c r="AR121" s="1086">
        <f t="shared" si="14"/>
        <v>598.6965748670118</v>
      </c>
      <c r="AS121" s="938">
        <f t="shared" si="15"/>
        <v>759.30922627564189</v>
      </c>
      <c r="AT121" s="938">
        <f t="shared" si="16"/>
        <v>242.65194902417261</v>
      </c>
      <c r="AU121" s="938">
        <f t="shared" si="17"/>
        <v>0</v>
      </c>
      <c r="AV121" s="938">
        <f t="shared" si="18"/>
        <v>0</v>
      </c>
      <c r="AW121" s="938">
        <f t="shared" si="19"/>
        <v>0</v>
      </c>
      <c r="AX121" s="938">
        <f t="shared" si="20"/>
        <v>1032.8086741703689</v>
      </c>
      <c r="AY121" s="938">
        <f t="shared" si="21"/>
        <v>149.32058627456325</v>
      </c>
      <c r="AZ121" s="938">
        <f t="shared" si="22"/>
        <v>217.03670136224994</v>
      </c>
      <c r="BA121" s="938">
        <f t="shared" si="23"/>
        <v>190.79248946381597</v>
      </c>
      <c r="BB121" s="938">
        <f t="shared" si="24"/>
        <v>41.152928330805594</v>
      </c>
      <c r="BC121" s="530">
        <f t="shared" si="53"/>
        <v>3231.7691297686297</v>
      </c>
      <c r="BD121" s="724">
        <f t="shared" si="54"/>
        <v>0</v>
      </c>
      <c r="BE121" s="436">
        <f t="shared" si="55"/>
        <v>0.18525351002095683</v>
      </c>
      <c r="BF121" s="624">
        <f t="shared" si="56"/>
        <v>0.23495156856393473</v>
      </c>
      <c r="BG121" s="624">
        <f t="shared" si="57"/>
        <v>7.5083317923005433E-2</v>
      </c>
      <c r="BH121" s="624">
        <f t="shared" si="58"/>
        <v>0</v>
      </c>
      <c r="BI121" s="624">
        <f t="shared" si="59"/>
        <v>0</v>
      </c>
      <c r="BJ121" s="624">
        <f t="shared" si="60"/>
        <v>0</v>
      </c>
      <c r="BK121" s="624">
        <f t="shared" si="61"/>
        <v>0.50471160349210298</v>
      </c>
      <c r="BL121" s="624">
        <f t="shared" si="62"/>
        <v>1</v>
      </c>
      <c r="BM121" s="649">
        <f t="shared" si="93"/>
        <v>0.29028184578274857</v>
      </c>
      <c r="BN121" s="417">
        <f t="shared" si="93"/>
        <v>0.30317187715157518</v>
      </c>
      <c r="BO121" s="417">
        <f t="shared" si="93"/>
        <v>8.2805443243048754E-2</v>
      </c>
      <c r="BP121" s="417">
        <f t="shared" si="93"/>
        <v>0</v>
      </c>
      <c r="BQ121" s="417">
        <f t="shared" si="93"/>
        <v>0</v>
      </c>
      <c r="BR121" s="417">
        <f t="shared" si="93"/>
        <v>0</v>
      </c>
      <c r="BS121" s="417">
        <f t="shared" si="93"/>
        <v>0.32374083382262742</v>
      </c>
      <c r="BT121" s="525">
        <f t="shared" si="85"/>
        <v>0.99999999999999989</v>
      </c>
      <c r="BV121" s="527">
        <f t="shared" si="64"/>
        <v>40.254197360467735</v>
      </c>
      <c r="BW121" s="114">
        <f t="shared" si="65"/>
        <v>0.51418191409092184</v>
      </c>
      <c r="BX121" s="1695">
        <f t="shared" si="25"/>
        <v>20.405559977125087</v>
      </c>
      <c r="BY121" s="527">
        <f t="shared" si="66"/>
        <v>40.254197360467735</v>
      </c>
      <c r="BZ121" s="417">
        <f t="shared" si="67"/>
        <v>0.51418191409092184</v>
      </c>
      <c r="CA121" s="544">
        <f t="shared" si="26"/>
        <v>20.405559977125087</v>
      </c>
      <c r="CB121" s="649">
        <f t="shared" si="27"/>
        <v>0.37326134680596657</v>
      </c>
      <c r="CC121" s="525">
        <f t="shared" si="68"/>
        <v>-3.6848633452985835E-2</v>
      </c>
      <c r="CD121" s="417">
        <f t="shared" si="28"/>
        <v>0.37326134680596657</v>
      </c>
      <c r="CE121" s="525">
        <f t="shared" si="69"/>
        <v>-3.6848633452985835E-2</v>
      </c>
      <c r="CG121" s="527">
        <f t="shared" si="70"/>
        <v>1576.8921470902012</v>
      </c>
      <c r="CH121" s="528">
        <f t="shared" si="71"/>
        <v>610.37871970013487</v>
      </c>
      <c r="CI121" s="528">
        <f t="shared" si="72"/>
        <v>2524.9930628578604</v>
      </c>
      <c r="CJ121" s="528">
        <f t="shared" si="73"/>
        <v>3591.3751169271886</v>
      </c>
      <c r="CK121" s="528">
        <f t="shared" si="74"/>
        <v>48.628892394122417</v>
      </c>
      <c r="CL121" s="528">
        <f t="shared" si="75"/>
        <v>8352.2679389695077</v>
      </c>
      <c r="CM121" s="646">
        <f t="shared" si="76"/>
        <v>0</v>
      </c>
    </row>
    <row r="122" spans="1:91">
      <c r="A122" s="873">
        <f>'Input data'!A142</f>
        <v>2042</v>
      </c>
      <c r="B122" s="1553">
        <f>'Input data'!B142</f>
        <v>72.264673338395411</v>
      </c>
      <c r="C122" s="1552">
        <f>'Input data'!C142</f>
        <v>0</v>
      </c>
      <c r="D122" s="1554">
        <f>'Input data'!D142</f>
        <v>18797490.33653174</v>
      </c>
      <c r="E122" s="1456">
        <f t="shared" si="29"/>
        <v>0.93086060606060572</v>
      </c>
      <c r="F122" s="1506">
        <f t="shared" si="30"/>
        <v>0.3484257575757575</v>
      </c>
      <c r="G122" s="1511">
        <f>B122*F122*'Input data'!$C$9</f>
        <v>770.6520601014862</v>
      </c>
      <c r="H122" s="1510">
        <f>'Input data'!I142</f>
        <v>424.26313389388866</v>
      </c>
      <c r="I122" s="1511">
        <f>'Input data'!K142</f>
        <v>30659.23678036578</v>
      </c>
      <c r="J122" s="1511">
        <f t="shared" si="94"/>
        <v>3064.6086575392183</v>
      </c>
      <c r="K122" s="1513">
        <f t="shared" si="78"/>
        <v>11183.304279277698</v>
      </c>
      <c r="L122" s="1506">
        <f t="shared" si="89"/>
        <v>0.57999999999999996</v>
      </c>
      <c r="M122" s="1506">
        <f t="shared" si="90"/>
        <v>0.437</v>
      </c>
      <c r="N122" s="1506">
        <f t="shared" si="91"/>
        <v>0.71200000000000008</v>
      </c>
      <c r="O122" s="1506">
        <f t="shared" si="92"/>
        <v>0.8</v>
      </c>
      <c r="P122" s="1506">
        <f t="shared" si="92"/>
        <v>0.23600000000000002</v>
      </c>
      <c r="Q122" s="1510">
        <f t="shared" si="36"/>
        <v>0</v>
      </c>
      <c r="R122" s="1511">
        <f t="shared" si="37"/>
        <v>0</v>
      </c>
      <c r="S122" s="1511">
        <f t="shared" si="38"/>
        <v>0</v>
      </c>
      <c r="T122" s="1511">
        <f t="shared" si="39"/>
        <v>0</v>
      </c>
      <c r="U122" s="1513">
        <f t="shared" si="40"/>
        <v>0</v>
      </c>
      <c r="V122" s="1511">
        <f t="shared" si="10"/>
        <v>0</v>
      </c>
      <c r="W122" s="1456">
        <f t="shared" si="86"/>
        <v>0.5</v>
      </c>
      <c r="X122" s="530">
        <f t="shared" si="41"/>
        <v>3033.4854703020706</v>
      </c>
      <c r="Y122" s="528">
        <f t="shared" si="79"/>
        <v>3033.4854703020706</v>
      </c>
      <c r="Z122" s="528">
        <f t="shared" si="80"/>
        <v>11214.427466514846</v>
      </c>
      <c r="AA122" s="530">
        <f t="shared" si="81"/>
        <v>8149.8188089756277</v>
      </c>
      <c r="AB122" s="1091">
        <f t="shared" si="42"/>
        <v>0.7267262491384574</v>
      </c>
      <c r="AC122" s="135" t="str">
        <f t="shared" si="43"/>
        <v>Yes</v>
      </c>
      <c r="AD122" s="1091">
        <f t="shared" si="44"/>
        <v>0.7267262491384574</v>
      </c>
      <c r="AE122" s="649">
        <f t="shared" si="11"/>
        <v>0.38275965270757828</v>
      </c>
      <c r="AF122" s="530">
        <f t="shared" si="45"/>
        <v>261.87232410803506</v>
      </c>
      <c r="AG122" s="527">
        <f t="shared" si="46"/>
        <v>3064.6086575392183</v>
      </c>
      <c r="AH122" s="528">
        <f t="shared" si="82"/>
        <v>8404.1432864604067</v>
      </c>
      <c r="AI122" s="528">
        <f t="shared" si="83"/>
        <v>6437.6604656145792</v>
      </c>
      <c r="AJ122" s="528">
        <f t="shared" si="12"/>
        <v>1017.70554841936</v>
      </c>
      <c r="AK122" s="528">
        <f t="shared" si="47"/>
        <v>18924.117958033563</v>
      </c>
      <c r="AL122" s="716">
        <f t="shared" si="13"/>
        <v>0</v>
      </c>
      <c r="AM122" s="649">
        <f t="shared" si="48"/>
        <v>0.16194195493472113</v>
      </c>
      <c r="AN122" s="417">
        <f t="shared" si="49"/>
        <v>0.44409696161784523</v>
      </c>
      <c r="AO122" s="417">
        <f t="shared" si="50"/>
        <v>0.34018285448710694</v>
      </c>
      <c r="AP122" s="417">
        <f t="shared" si="51"/>
        <v>5.3778228960326746E-2</v>
      </c>
      <c r="AQ122" s="525">
        <f t="shared" si="52"/>
        <v>1</v>
      </c>
      <c r="AR122" s="1086">
        <f t="shared" si="14"/>
        <v>569.04557157002819</v>
      </c>
      <c r="AS122" s="938">
        <f t="shared" si="15"/>
        <v>721.70373241302821</v>
      </c>
      <c r="AT122" s="938">
        <f t="shared" si="16"/>
        <v>229.71440568793415</v>
      </c>
      <c r="AU122" s="938">
        <f t="shared" si="17"/>
        <v>0</v>
      </c>
      <c r="AV122" s="938">
        <f t="shared" si="18"/>
        <v>0</v>
      </c>
      <c r="AW122" s="938">
        <f t="shared" si="19"/>
        <v>0</v>
      </c>
      <c r="AX122" s="938">
        <f t="shared" si="20"/>
        <v>977.74211882697432</v>
      </c>
      <c r="AY122" s="938">
        <f t="shared" si="21"/>
        <v>141.3592178879147</v>
      </c>
      <c r="AZ122" s="938">
        <f t="shared" si="22"/>
        <v>205.46489350857124</v>
      </c>
      <c r="BA122" s="938">
        <f t="shared" si="23"/>
        <v>180.6199517587055</v>
      </c>
      <c r="BB122" s="938">
        <f t="shared" si="24"/>
        <v>38.958765886061016</v>
      </c>
      <c r="BC122" s="530">
        <f t="shared" si="53"/>
        <v>3064.6086575392173</v>
      </c>
      <c r="BD122" s="724">
        <f t="shared" si="54"/>
        <v>0</v>
      </c>
      <c r="BE122" s="436">
        <f t="shared" si="55"/>
        <v>0.18568294851289546</v>
      </c>
      <c r="BF122" s="624">
        <f t="shared" si="56"/>
        <v>0.23549621275054844</v>
      </c>
      <c r="BG122" s="624">
        <f t="shared" si="57"/>
        <v>7.4957174425131154E-2</v>
      </c>
      <c r="BH122" s="624">
        <f t="shared" si="58"/>
        <v>0</v>
      </c>
      <c r="BI122" s="624">
        <f t="shared" si="59"/>
        <v>0</v>
      </c>
      <c r="BJ122" s="624">
        <f t="shared" si="60"/>
        <v>0</v>
      </c>
      <c r="BK122" s="624">
        <f t="shared" si="61"/>
        <v>0.50386366431142482</v>
      </c>
      <c r="BL122" s="624">
        <f t="shared" si="62"/>
        <v>0.99999999999999989</v>
      </c>
      <c r="BM122" s="649">
        <f t="shared" si="93"/>
        <v>0.29028184578274857</v>
      </c>
      <c r="BN122" s="417">
        <f t="shared" si="93"/>
        <v>0.30317187715157518</v>
      </c>
      <c r="BO122" s="417">
        <f t="shared" si="93"/>
        <v>8.2805443243048754E-2</v>
      </c>
      <c r="BP122" s="417">
        <f t="shared" si="93"/>
        <v>0</v>
      </c>
      <c r="BQ122" s="417">
        <f t="shared" si="93"/>
        <v>0</v>
      </c>
      <c r="BR122" s="417">
        <f t="shared" si="93"/>
        <v>0</v>
      </c>
      <c r="BS122" s="417">
        <f t="shared" si="93"/>
        <v>0.32374083382262742</v>
      </c>
      <c r="BT122" s="525">
        <f t="shared" si="85"/>
        <v>0.99999999999999989</v>
      </c>
      <c r="BV122" s="527">
        <f t="shared" si="64"/>
        <v>38.473525294565306</v>
      </c>
      <c r="BW122" s="114">
        <f t="shared" si="65"/>
        <v>0.52947901737193426</v>
      </c>
      <c r="BX122" s="1695">
        <f t="shared" si="25"/>
        <v>18.797490336531741</v>
      </c>
      <c r="BY122" s="527">
        <f t="shared" si="66"/>
        <v>38.473525294565306</v>
      </c>
      <c r="BZ122" s="417">
        <f t="shared" si="67"/>
        <v>0.52947901737193426</v>
      </c>
      <c r="CA122" s="544">
        <f t="shared" si="26"/>
        <v>18.797490336531741</v>
      </c>
      <c r="CB122" s="649">
        <f t="shared" si="27"/>
        <v>0.38275965270757828</v>
      </c>
      <c r="CC122" s="525">
        <f t="shared" si="68"/>
        <v>-4.0000924939362692E-2</v>
      </c>
      <c r="CD122" s="417">
        <f t="shared" si="28"/>
        <v>0.38275965270757828</v>
      </c>
      <c r="CE122" s="525">
        <f t="shared" si="69"/>
        <v>-4.0000924939362692E-2</v>
      </c>
      <c r="CG122" s="527">
        <f t="shared" si="70"/>
        <v>1586.6861130744951</v>
      </c>
      <c r="CH122" s="528">
        <f t="shared" si="71"/>
        <v>614.16973890795509</v>
      </c>
      <c r="CI122" s="528">
        <f t="shared" si="72"/>
        <v>2540.6756168066772</v>
      </c>
      <c r="CJ122" s="528">
        <f t="shared" si="73"/>
        <v>3613.6808946539204</v>
      </c>
      <c r="CK122" s="528">
        <f t="shared" si="74"/>
        <v>48.930923017358609</v>
      </c>
      <c r="CL122" s="528">
        <f t="shared" si="75"/>
        <v>8404.1432864604067</v>
      </c>
      <c r="CM122" s="646">
        <f t="shared" si="76"/>
        <v>0</v>
      </c>
    </row>
    <row r="123" spans="1:91">
      <c r="A123" s="873">
        <f>'Input data'!A143</f>
        <v>2043</v>
      </c>
      <c r="B123" s="1553">
        <f>'Input data'!B143</f>
        <v>72.713504131197794</v>
      </c>
      <c r="C123" s="1552">
        <f>'Input data'!C143</f>
        <v>0</v>
      </c>
      <c r="D123" s="1554">
        <f>'Input data'!D143</f>
        <v>17189420.695938386</v>
      </c>
      <c r="E123" s="1456">
        <f t="shared" si="29"/>
        <v>0.93950303030302995</v>
      </c>
      <c r="F123" s="1506">
        <f t="shared" si="30"/>
        <v>0.3507787878787878</v>
      </c>
      <c r="G123" s="1511">
        <f>B123*F123*'Input data'!$C$9</f>
        <v>780.67530949126035</v>
      </c>
      <c r="H123" s="1510">
        <f>'Input data'!I143</f>
        <v>424.26313389388866</v>
      </c>
      <c r="I123" s="1511">
        <f>'Input data'!K143</f>
        <v>30849.659139108197</v>
      </c>
      <c r="J123" s="1511">
        <f t="shared" si="94"/>
        <v>2897.4481853098064</v>
      </c>
      <c r="K123" s="1513">
        <f t="shared" si="78"/>
        <v>11438.957534547382</v>
      </c>
      <c r="L123" s="1506">
        <f t="shared" si="89"/>
        <v>0.57999999999999996</v>
      </c>
      <c r="M123" s="1506">
        <f t="shared" si="90"/>
        <v>0.437</v>
      </c>
      <c r="N123" s="1506">
        <f t="shared" si="91"/>
        <v>0.71200000000000008</v>
      </c>
      <c r="O123" s="1506">
        <f t="shared" si="92"/>
        <v>0.8</v>
      </c>
      <c r="P123" s="1506">
        <f t="shared" si="92"/>
        <v>0.23600000000000002</v>
      </c>
      <c r="Q123" s="1510">
        <f t="shared" si="36"/>
        <v>0</v>
      </c>
      <c r="R123" s="1511">
        <f t="shared" si="37"/>
        <v>0</v>
      </c>
      <c r="S123" s="1511">
        <f t="shared" si="38"/>
        <v>0</v>
      </c>
      <c r="T123" s="1511">
        <f t="shared" si="39"/>
        <v>0</v>
      </c>
      <c r="U123" s="1513">
        <f t="shared" si="40"/>
        <v>0</v>
      </c>
      <c r="V123" s="1511">
        <f t="shared" si="10"/>
        <v>0</v>
      </c>
      <c r="W123" s="1456">
        <f t="shared" si="86"/>
        <v>0.5</v>
      </c>
      <c r="X123" s="530">
        <f t="shared" si="41"/>
        <v>3033.4854703020706</v>
      </c>
      <c r="Y123" s="528">
        <f t="shared" si="79"/>
        <v>3033.4854703020706</v>
      </c>
      <c r="Z123" s="528">
        <f t="shared" si="80"/>
        <v>11302.920249555118</v>
      </c>
      <c r="AA123" s="530">
        <f t="shared" si="81"/>
        <v>8405.4720642453121</v>
      </c>
      <c r="AB123" s="1091">
        <f t="shared" si="42"/>
        <v>0.74365490321637462</v>
      </c>
      <c r="AC123" s="135" t="str">
        <f t="shared" si="43"/>
        <v>Yes</v>
      </c>
      <c r="AD123" s="1091">
        <f t="shared" si="44"/>
        <v>0.74365490321637462</v>
      </c>
      <c r="AE123" s="649">
        <f t="shared" si="11"/>
        <v>0.39214758076794598</v>
      </c>
      <c r="AF123" s="530">
        <f t="shared" si="45"/>
        <v>257.8893723283731</v>
      </c>
      <c r="AG123" s="527">
        <f t="shared" si="46"/>
        <v>2897.4481853098064</v>
      </c>
      <c r="AH123" s="528">
        <f t="shared" si="82"/>
        <v>8456.3408280783351</v>
      </c>
      <c r="AI123" s="528">
        <f t="shared" si="83"/>
        <v>6437.6604656145792</v>
      </c>
      <c r="AJ123" s="528">
        <f t="shared" si="12"/>
        <v>960.59046118844435</v>
      </c>
      <c r="AK123" s="528">
        <f t="shared" si="47"/>
        <v>18752.039940191164</v>
      </c>
      <c r="AL123" s="716">
        <f t="shared" si="13"/>
        <v>0</v>
      </c>
      <c r="AM123" s="649">
        <f t="shared" si="48"/>
        <v>0.15451375927904881</v>
      </c>
      <c r="AN123" s="417">
        <f t="shared" si="49"/>
        <v>0.45095578161359912</v>
      </c>
      <c r="AO123" s="417">
        <f t="shared" si="50"/>
        <v>0.34330454106045127</v>
      </c>
      <c r="AP123" s="417">
        <f t="shared" si="51"/>
        <v>5.1225918046900867E-2</v>
      </c>
      <c r="AQ123" s="525">
        <f t="shared" si="52"/>
        <v>1</v>
      </c>
      <c r="AR123" s="1086">
        <f t="shared" si="14"/>
        <v>539.23918223609951</v>
      </c>
      <c r="AS123" s="938">
        <f t="shared" si="15"/>
        <v>683.90116701795614</v>
      </c>
      <c r="AT123" s="938">
        <f t="shared" si="16"/>
        <v>216.8225055313105</v>
      </c>
      <c r="AU123" s="938">
        <f t="shared" si="17"/>
        <v>0</v>
      </c>
      <c r="AV123" s="938">
        <f t="shared" si="18"/>
        <v>0</v>
      </c>
      <c r="AW123" s="938">
        <f t="shared" si="19"/>
        <v>0</v>
      </c>
      <c r="AX123" s="938">
        <f t="shared" si="20"/>
        <v>922.86983627641121</v>
      </c>
      <c r="AY123" s="938">
        <f t="shared" si="21"/>
        <v>133.42593691769505</v>
      </c>
      <c r="AZ123" s="938">
        <f t="shared" si="22"/>
        <v>193.93391056968571</v>
      </c>
      <c r="BA123" s="938">
        <f t="shared" si="23"/>
        <v>170.48330239449143</v>
      </c>
      <c r="BB123" s="938">
        <f t="shared" si="24"/>
        <v>36.772344366155643</v>
      </c>
      <c r="BC123" s="530">
        <f t="shared" si="53"/>
        <v>2897.4481853098059</v>
      </c>
      <c r="BD123" s="724">
        <f t="shared" si="54"/>
        <v>0</v>
      </c>
      <c r="BE123" s="436">
        <f t="shared" si="55"/>
        <v>0.1861083090182826</v>
      </c>
      <c r="BF123" s="624">
        <f t="shared" si="56"/>
        <v>0.2360356849469703</v>
      </c>
      <c r="BG123" s="624">
        <f t="shared" si="57"/>
        <v>7.4832228797260453E-2</v>
      </c>
      <c r="BH123" s="624">
        <f t="shared" si="58"/>
        <v>0</v>
      </c>
      <c r="BI123" s="624">
        <f t="shared" si="59"/>
        <v>0</v>
      </c>
      <c r="BJ123" s="624">
        <f t="shared" si="60"/>
        <v>0</v>
      </c>
      <c r="BK123" s="624">
        <f t="shared" si="61"/>
        <v>0.50302377723748637</v>
      </c>
      <c r="BL123" s="624">
        <f t="shared" si="62"/>
        <v>0.99999999999999978</v>
      </c>
      <c r="BM123" s="649">
        <f t="shared" si="93"/>
        <v>0.29028184578274857</v>
      </c>
      <c r="BN123" s="417">
        <f t="shared" si="93"/>
        <v>0.30317187715157518</v>
      </c>
      <c r="BO123" s="417">
        <f t="shared" si="93"/>
        <v>8.2805443243048754E-2</v>
      </c>
      <c r="BP123" s="417">
        <f t="shared" si="93"/>
        <v>0</v>
      </c>
      <c r="BQ123" s="417">
        <f t="shared" si="93"/>
        <v>0</v>
      </c>
      <c r="BR123" s="417">
        <f t="shared" si="93"/>
        <v>0</v>
      </c>
      <c r="BS123" s="417">
        <f t="shared" si="93"/>
        <v>0.32374083382262742</v>
      </c>
      <c r="BT123" s="525">
        <f t="shared" si="85"/>
        <v>0.99999999999999989</v>
      </c>
      <c r="BV123" s="527">
        <f t="shared" si="64"/>
        <v>36.69337763612954</v>
      </c>
      <c r="BW123" s="114">
        <f t="shared" si="65"/>
        <v>0.54626731539515305</v>
      </c>
      <c r="BX123" s="1695">
        <f t="shared" si="25"/>
        <v>17.189420695938384</v>
      </c>
      <c r="BY123" s="527">
        <f t="shared" si="66"/>
        <v>36.69337763612954</v>
      </c>
      <c r="BZ123" s="417">
        <f t="shared" si="67"/>
        <v>0.54626731539515305</v>
      </c>
      <c r="CA123" s="544">
        <f t="shared" si="26"/>
        <v>17.189420695938384</v>
      </c>
      <c r="CB123" s="649">
        <f t="shared" si="27"/>
        <v>0.39214758076794598</v>
      </c>
      <c r="CC123" s="525">
        <f t="shared" si="68"/>
        <v>-4.3743009918750131E-2</v>
      </c>
      <c r="CD123" s="417">
        <f t="shared" si="28"/>
        <v>0.39214758076794598</v>
      </c>
      <c r="CE123" s="525">
        <f t="shared" si="69"/>
        <v>-4.3743009918750131E-2</v>
      </c>
      <c r="CG123" s="527">
        <f t="shared" si="70"/>
        <v>1596.5409086912262</v>
      </c>
      <c r="CH123" s="528">
        <f t="shared" si="71"/>
        <v>617.98430386887946</v>
      </c>
      <c r="CI123" s="528">
        <f t="shared" si="72"/>
        <v>2556.4555739927446</v>
      </c>
      <c r="CJ123" s="528">
        <f t="shared" si="73"/>
        <v>3636.1252119939754</v>
      </c>
      <c r="CK123" s="528">
        <f t="shared" si="74"/>
        <v>49.23482953150824</v>
      </c>
      <c r="CL123" s="528">
        <f t="shared" si="75"/>
        <v>8456.3408280783333</v>
      </c>
      <c r="CM123" s="646">
        <f t="shared" si="76"/>
        <v>0</v>
      </c>
    </row>
    <row r="124" spans="1:91">
      <c r="A124" s="873">
        <f>'Input data'!A144</f>
        <v>2044</v>
      </c>
      <c r="B124" s="1553">
        <f>'Input data'!B144</f>
        <v>73.165122580420132</v>
      </c>
      <c r="C124" s="1552">
        <f>'Input data'!C144</f>
        <v>0</v>
      </c>
      <c r="D124" s="1554">
        <f>'Input data'!D144</f>
        <v>15581351.055345042</v>
      </c>
      <c r="E124" s="1456">
        <f t="shared" si="29"/>
        <v>0.94814545454545418</v>
      </c>
      <c r="F124" s="1506">
        <f t="shared" si="30"/>
        <v>0.3531318181818181</v>
      </c>
      <c r="G124" s="1511">
        <f>B124*F124*'Input data'!$C$9</f>
        <v>790.79333787138808</v>
      </c>
      <c r="H124" s="1510">
        <f>'Input data'!I144</f>
        <v>424.26313389388866</v>
      </c>
      <c r="I124" s="1511">
        <f>'Input data'!K144</f>
        <v>31041.264197699562</v>
      </c>
      <c r="J124" s="1511">
        <f t="shared" si="94"/>
        <v>2730.2877130803945</v>
      </c>
      <c r="K124" s="1513">
        <f t="shared" si="78"/>
        <v>11695.160412255453</v>
      </c>
      <c r="L124" s="1506">
        <f t="shared" si="89"/>
        <v>0.57999999999999996</v>
      </c>
      <c r="M124" s="1506">
        <f t="shared" si="90"/>
        <v>0.437</v>
      </c>
      <c r="N124" s="1506">
        <f t="shared" si="91"/>
        <v>0.71200000000000008</v>
      </c>
      <c r="O124" s="1506">
        <f t="shared" si="92"/>
        <v>0.8</v>
      </c>
      <c r="P124" s="1506">
        <f t="shared" si="92"/>
        <v>0.23600000000000002</v>
      </c>
      <c r="Q124" s="1510">
        <f t="shared" si="36"/>
        <v>0</v>
      </c>
      <c r="R124" s="1511">
        <f t="shared" si="37"/>
        <v>0</v>
      </c>
      <c r="S124" s="1511">
        <f t="shared" si="38"/>
        <v>0</v>
      </c>
      <c r="T124" s="1511">
        <f t="shared" si="39"/>
        <v>0</v>
      </c>
      <c r="U124" s="1513">
        <f t="shared" si="40"/>
        <v>0</v>
      </c>
      <c r="V124" s="1511">
        <f t="shared" si="10"/>
        <v>0</v>
      </c>
      <c r="W124" s="1456">
        <f t="shared" si="86"/>
        <v>0.5</v>
      </c>
      <c r="X124" s="530">
        <f t="shared" si="41"/>
        <v>3033.4854703020706</v>
      </c>
      <c r="Y124" s="528">
        <f t="shared" si="79"/>
        <v>3033.4854703020706</v>
      </c>
      <c r="Z124" s="528">
        <f t="shared" si="80"/>
        <v>11391.962655033776</v>
      </c>
      <c r="AA124" s="530">
        <f t="shared" si="81"/>
        <v>8661.6749419533808</v>
      </c>
      <c r="AB124" s="1091">
        <f t="shared" si="42"/>
        <v>0.76033210468136847</v>
      </c>
      <c r="AC124" s="135" t="str">
        <f t="shared" si="43"/>
        <v>Yes</v>
      </c>
      <c r="AD124" s="1091">
        <f t="shared" si="44"/>
        <v>0.76033210468136847</v>
      </c>
      <c r="AE124" s="649">
        <f t="shared" si="11"/>
        <v>0.40142626362055789</v>
      </c>
      <c r="AF124" s="530">
        <f t="shared" si="45"/>
        <v>253.95276926291643</v>
      </c>
      <c r="AG124" s="527">
        <f t="shared" si="46"/>
        <v>2730.2877130803945</v>
      </c>
      <c r="AH124" s="528">
        <f t="shared" si="82"/>
        <v>8508.8625649483038</v>
      </c>
      <c r="AI124" s="528">
        <f t="shared" si="83"/>
        <v>6437.6604656145792</v>
      </c>
      <c r="AJ124" s="528">
        <f t="shared" si="12"/>
        <v>903.67474911515569</v>
      </c>
      <c r="AK124" s="528">
        <f t="shared" si="47"/>
        <v>18580.485492758431</v>
      </c>
      <c r="AL124" s="716">
        <f t="shared" si="13"/>
        <v>0</v>
      </c>
      <c r="AM124" s="649">
        <f t="shared" si="48"/>
        <v>0.14694383061973804</v>
      </c>
      <c r="AN124" s="417">
        <f t="shared" si="49"/>
        <v>0.45794619135568621</v>
      </c>
      <c r="AO124" s="417">
        <f t="shared" si="50"/>
        <v>0.34647428712902023</v>
      </c>
      <c r="AP124" s="417">
        <f t="shared" si="51"/>
        <v>4.863569089555568E-2</v>
      </c>
      <c r="AQ124" s="525">
        <f t="shared" si="52"/>
        <v>1.0000000000000002</v>
      </c>
      <c r="AR124" s="1086">
        <f t="shared" si="14"/>
        <v>509.27958779878134</v>
      </c>
      <c r="AS124" s="938">
        <f t="shared" si="15"/>
        <v>645.90429610419619</v>
      </c>
      <c r="AT124" s="938">
        <f t="shared" si="16"/>
        <v>203.97560792568441</v>
      </c>
      <c r="AU124" s="938">
        <f t="shared" si="17"/>
        <v>0</v>
      </c>
      <c r="AV124" s="938">
        <f t="shared" si="18"/>
        <v>0</v>
      </c>
      <c r="AW124" s="938">
        <f t="shared" si="19"/>
        <v>0</v>
      </c>
      <c r="AX124" s="938">
        <f t="shared" si="20"/>
        <v>868.18909978685019</v>
      </c>
      <c r="AY124" s="938">
        <f t="shared" si="21"/>
        <v>125.52034914065119</v>
      </c>
      <c r="AZ124" s="938">
        <f t="shared" si="22"/>
        <v>182.44317954412975</v>
      </c>
      <c r="BA124" s="938">
        <f t="shared" si="23"/>
        <v>160.38203765740099</v>
      </c>
      <c r="BB124" s="938">
        <f t="shared" si="24"/>
        <v>34.59355512269952</v>
      </c>
      <c r="BC124" s="530">
        <f t="shared" si="53"/>
        <v>2730.2877130803931</v>
      </c>
      <c r="BD124" s="724">
        <f t="shared" si="54"/>
        <v>0</v>
      </c>
      <c r="BE124" s="436">
        <f t="shared" si="55"/>
        <v>0.18652964131175637</v>
      </c>
      <c r="BF124" s="624">
        <f t="shared" si="56"/>
        <v>0.23657004828090716</v>
      </c>
      <c r="BG124" s="624">
        <f t="shared" si="57"/>
        <v>7.470846641856399E-2</v>
      </c>
      <c r="BH124" s="624">
        <f t="shared" si="58"/>
        <v>0</v>
      </c>
      <c r="BI124" s="624">
        <f t="shared" si="59"/>
        <v>0</v>
      </c>
      <c r="BJ124" s="624">
        <f t="shared" si="60"/>
        <v>0</v>
      </c>
      <c r="BK124" s="624">
        <f t="shared" si="61"/>
        <v>0.5021918439887727</v>
      </c>
      <c r="BL124" s="624">
        <f t="shared" si="62"/>
        <v>1.0000000000000002</v>
      </c>
      <c r="BM124" s="649">
        <f t="shared" si="93"/>
        <v>0.29028184578274857</v>
      </c>
      <c r="BN124" s="417">
        <f t="shared" si="93"/>
        <v>0.30317187715157518</v>
      </c>
      <c r="BO124" s="417">
        <f t="shared" si="93"/>
        <v>8.2805443243048754E-2</v>
      </c>
      <c r="BP124" s="417">
        <f t="shared" si="93"/>
        <v>0</v>
      </c>
      <c r="BQ124" s="417">
        <f t="shared" si="93"/>
        <v>0</v>
      </c>
      <c r="BR124" s="417">
        <f t="shared" si="93"/>
        <v>0</v>
      </c>
      <c r="BS124" s="417">
        <f t="shared" si="93"/>
        <v>0.32374083382262742</v>
      </c>
      <c r="BT124" s="525">
        <f t="shared" si="85"/>
        <v>0.99999999999999989</v>
      </c>
      <c r="BV124" s="527">
        <f t="shared" si="64"/>
        <v>34.913753548103472</v>
      </c>
      <c r="BW124" s="114">
        <f t="shared" si="65"/>
        <v>0.56477413588829528</v>
      </c>
      <c r="BX124" s="1695">
        <f t="shared" si="25"/>
        <v>15.581351055345042</v>
      </c>
      <c r="BY124" s="527">
        <f t="shared" si="66"/>
        <v>34.913753548103472</v>
      </c>
      <c r="BZ124" s="417">
        <f t="shared" si="67"/>
        <v>0.56477413588829528</v>
      </c>
      <c r="CA124" s="544">
        <f t="shared" si="26"/>
        <v>15.581351055345042</v>
      </c>
      <c r="CB124" s="649">
        <f t="shared" si="27"/>
        <v>0.40142626362055789</v>
      </c>
      <c r="CC124" s="525">
        <f t="shared" si="68"/>
        <v>-4.8257496883882922E-2</v>
      </c>
      <c r="CD124" s="417">
        <f t="shared" si="28"/>
        <v>0.40142626362055789</v>
      </c>
      <c r="CE124" s="525">
        <f t="shared" si="69"/>
        <v>-4.8257496883882922E-2</v>
      </c>
      <c r="CG124" s="527">
        <f t="shared" si="70"/>
        <v>1606.4569117489552</v>
      </c>
      <c r="CH124" s="528">
        <f t="shared" si="71"/>
        <v>621.82256082392087</v>
      </c>
      <c r="CI124" s="528">
        <f t="shared" si="72"/>
        <v>2572.3335393807038</v>
      </c>
      <c r="CJ124" s="528">
        <f t="shared" si="73"/>
        <v>3658.7089294071261</v>
      </c>
      <c r="CK124" s="528">
        <f t="shared" si="74"/>
        <v>49.540623587597544</v>
      </c>
      <c r="CL124" s="528">
        <f t="shared" si="75"/>
        <v>8508.8625649483038</v>
      </c>
      <c r="CM124" s="646">
        <f t="shared" si="76"/>
        <v>0</v>
      </c>
    </row>
    <row r="125" spans="1:91">
      <c r="A125" s="873">
        <f>'Input data'!A145</f>
        <v>2045</v>
      </c>
      <c r="B125" s="1553">
        <f>'Input data'!B145</f>
        <v>73.619545999999971</v>
      </c>
      <c r="C125" s="1552">
        <f>'Input data'!C145</f>
        <v>0</v>
      </c>
      <c r="D125" s="1554">
        <f>'Input data'!D145</f>
        <v>13973281.414751694</v>
      </c>
      <c r="E125" s="1456">
        <f t="shared" si="29"/>
        <v>0.95678787878787841</v>
      </c>
      <c r="F125" s="1506">
        <f t="shared" si="30"/>
        <v>0.3554848484848484</v>
      </c>
      <c r="G125" s="1511">
        <f>B125*F125*'Input data'!$C$9</f>
        <v>801.00693591981212</v>
      </c>
      <c r="H125" s="1510">
        <f>'Input data'!I145</f>
        <v>424.26313389388866</v>
      </c>
      <c r="I125" s="1511">
        <f>'Input data'!K145</f>
        <v>31234.059301805282</v>
      </c>
      <c r="J125" s="1511">
        <f t="shared" si="94"/>
        <v>2563.1272408509826</v>
      </c>
      <c r="K125" s="1513">
        <f t="shared" si="78"/>
        <v>11951.916326068131</v>
      </c>
      <c r="L125" s="1506">
        <f t="shared" si="89"/>
        <v>0.57999999999999996</v>
      </c>
      <c r="M125" s="1506">
        <f t="shared" si="90"/>
        <v>0.437</v>
      </c>
      <c r="N125" s="1506">
        <f t="shared" si="91"/>
        <v>0.71200000000000008</v>
      </c>
      <c r="O125" s="1506">
        <f t="shared" si="92"/>
        <v>0.8</v>
      </c>
      <c r="P125" s="1506">
        <f t="shared" si="92"/>
        <v>0.23600000000000002</v>
      </c>
      <c r="Q125" s="1510">
        <f t="shared" si="36"/>
        <v>0</v>
      </c>
      <c r="R125" s="1511">
        <f t="shared" si="37"/>
        <v>0</v>
      </c>
      <c r="S125" s="1511">
        <f t="shared" si="38"/>
        <v>0</v>
      </c>
      <c r="T125" s="1511">
        <f t="shared" si="39"/>
        <v>0</v>
      </c>
      <c r="U125" s="1513">
        <f t="shared" si="40"/>
        <v>0</v>
      </c>
      <c r="V125" s="1511">
        <f t="shared" si="10"/>
        <v>0</v>
      </c>
      <c r="W125" s="1456">
        <f t="shared" si="86"/>
        <v>0.5</v>
      </c>
      <c r="X125" s="530">
        <f t="shared" si="41"/>
        <v>3033.4854703020706</v>
      </c>
      <c r="Y125" s="528">
        <f t="shared" si="79"/>
        <v>3033.4854703020706</v>
      </c>
      <c r="Z125" s="528">
        <f t="shared" si="80"/>
        <v>11481.558096617044</v>
      </c>
      <c r="AA125" s="530">
        <f t="shared" si="81"/>
        <v>8918.4308557660606</v>
      </c>
      <c r="AB125" s="1091">
        <f t="shared" si="42"/>
        <v>0.77676137513024568</v>
      </c>
      <c r="AC125" s="135" t="str">
        <f t="shared" si="43"/>
        <v>Yes</v>
      </c>
      <c r="AD125" s="1091">
        <f t="shared" si="44"/>
        <v>0.77676137513024568</v>
      </c>
      <c r="AE125" s="649">
        <f t="shared" si="11"/>
        <v>0.41059682127280317</v>
      </c>
      <c r="AF125" s="530">
        <f t="shared" si="45"/>
        <v>250.06203973382028</v>
      </c>
      <c r="AG125" s="527">
        <f t="shared" si="46"/>
        <v>2563.1272408509826</v>
      </c>
      <c r="AH125" s="528">
        <f t="shared" si="82"/>
        <v>8561.7105106241779</v>
      </c>
      <c r="AI125" s="528">
        <f t="shared" si="83"/>
        <v>6437.6604656145792</v>
      </c>
      <c r="AJ125" s="528">
        <f t="shared" si="12"/>
        <v>846.95561994806178</v>
      </c>
      <c r="AK125" s="528">
        <f t="shared" si="47"/>
        <v>18409.453837037803</v>
      </c>
      <c r="AL125" s="716">
        <f t="shared" si="13"/>
        <v>0</v>
      </c>
      <c r="AM125" s="649">
        <f t="shared" si="48"/>
        <v>0.13922885836483925</v>
      </c>
      <c r="AN125" s="417">
        <f t="shared" si="49"/>
        <v>0.46507140224871607</v>
      </c>
      <c r="AO125" s="417">
        <f t="shared" si="50"/>
        <v>0.3496931806125998</v>
      </c>
      <c r="AP125" s="417">
        <f t="shared" si="51"/>
        <v>4.6006558773844769E-2</v>
      </c>
      <c r="AQ125" s="525">
        <f t="shared" si="52"/>
        <v>0.99999999999999989</v>
      </c>
      <c r="AR125" s="1086">
        <f t="shared" si="14"/>
        <v>479.16893389735191</v>
      </c>
      <c r="AS125" s="938">
        <f t="shared" si="15"/>
        <v>607.71584092282706</v>
      </c>
      <c r="AT125" s="938">
        <f t="shared" si="16"/>
        <v>191.17308260979877</v>
      </c>
      <c r="AU125" s="938">
        <f t="shared" si="17"/>
        <v>0</v>
      </c>
      <c r="AV125" s="938">
        <f t="shared" si="18"/>
        <v>0</v>
      </c>
      <c r="AW125" s="938">
        <f t="shared" si="19"/>
        <v>0</v>
      </c>
      <c r="AX125" s="938">
        <f t="shared" si="20"/>
        <v>813.69722675344963</v>
      </c>
      <c r="AY125" s="938">
        <f t="shared" si="21"/>
        <v>117.6420667132863</v>
      </c>
      <c r="AZ125" s="938">
        <f t="shared" si="22"/>
        <v>170.99213670338293</v>
      </c>
      <c r="BA125" s="938">
        <f t="shared" si="23"/>
        <v>150.31566198531434</v>
      </c>
      <c r="BB125" s="938">
        <f t="shared" si="24"/>
        <v>32.422291265571054</v>
      </c>
      <c r="BC125" s="530">
        <f t="shared" si="53"/>
        <v>2563.1272408509817</v>
      </c>
      <c r="BD125" s="724">
        <f t="shared" si="54"/>
        <v>0</v>
      </c>
      <c r="BE125" s="436">
        <f t="shared" si="55"/>
        <v>0.18694699438263682</v>
      </c>
      <c r="BF125" s="624">
        <f t="shared" si="56"/>
        <v>0.23709936488407021</v>
      </c>
      <c r="BG125" s="624">
        <f t="shared" si="57"/>
        <v>7.4585872898891889E-2</v>
      </c>
      <c r="BH125" s="624">
        <f t="shared" si="58"/>
        <v>0</v>
      </c>
      <c r="BI125" s="624">
        <f t="shared" si="59"/>
        <v>0</v>
      </c>
      <c r="BJ125" s="624">
        <f t="shared" si="60"/>
        <v>0</v>
      </c>
      <c r="BK125" s="624">
        <f t="shared" si="61"/>
        <v>0.50136776783440118</v>
      </c>
      <c r="BL125" s="624">
        <f t="shared" si="62"/>
        <v>1</v>
      </c>
      <c r="BM125" s="649">
        <f t="shared" si="93"/>
        <v>0.29028184578274857</v>
      </c>
      <c r="BN125" s="417">
        <f t="shared" si="93"/>
        <v>0.30317187715157518</v>
      </c>
      <c r="BO125" s="417">
        <f t="shared" si="93"/>
        <v>8.2805443243048754E-2</v>
      </c>
      <c r="BP125" s="417">
        <f t="shared" si="93"/>
        <v>0</v>
      </c>
      <c r="BQ125" s="417">
        <f t="shared" si="93"/>
        <v>0</v>
      </c>
      <c r="BR125" s="417">
        <f t="shared" si="93"/>
        <v>0</v>
      </c>
      <c r="BS125" s="417">
        <f t="shared" si="93"/>
        <v>0.32374083382262742</v>
      </c>
      <c r="BT125" s="525">
        <f t="shared" si="85"/>
        <v>0.99999999999999989</v>
      </c>
      <c r="BV125" s="527">
        <f t="shared" si="64"/>
        <v>33.13465225178949</v>
      </c>
      <c r="BW125" s="114">
        <f t="shared" si="65"/>
        <v>0.58527549140310686</v>
      </c>
      <c r="BX125" s="1695">
        <f t="shared" si="25"/>
        <v>13.973281414751694</v>
      </c>
      <c r="BY125" s="527">
        <f t="shared" si="66"/>
        <v>33.13465225178949</v>
      </c>
      <c r="BZ125" s="417">
        <f t="shared" si="67"/>
        <v>0.58527549140310686</v>
      </c>
      <c r="CA125" s="544">
        <f t="shared" si="26"/>
        <v>13.973281414751694</v>
      </c>
      <c r="CB125" s="649">
        <f t="shared" si="27"/>
        <v>0.41059682127280317</v>
      </c>
      <c r="CC125" s="525">
        <f t="shared" si="68"/>
        <v>-5.3811053945152398E-2</v>
      </c>
      <c r="CD125" s="417">
        <f t="shared" si="28"/>
        <v>0.41059682127280317</v>
      </c>
      <c r="CE125" s="525">
        <f t="shared" si="69"/>
        <v>-5.3811053945152398E-2</v>
      </c>
      <c r="CG125" s="527">
        <f t="shared" si="70"/>
        <v>1616.4345024027839</v>
      </c>
      <c r="CH125" s="528">
        <f t="shared" si="71"/>
        <v>625.68465692238522</v>
      </c>
      <c r="CI125" s="528">
        <f t="shared" si="72"/>
        <v>2588.3101216925897</v>
      </c>
      <c r="CJ125" s="528">
        <f t="shared" si="73"/>
        <v>3681.4329126974026</v>
      </c>
      <c r="CK125" s="528">
        <f t="shared" si="74"/>
        <v>49.848316909016496</v>
      </c>
      <c r="CL125" s="528">
        <f t="shared" si="75"/>
        <v>8561.7105106241779</v>
      </c>
      <c r="CM125" s="646">
        <f t="shared" si="76"/>
        <v>0</v>
      </c>
    </row>
    <row r="126" spans="1:91">
      <c r="A126" s="873">
        <f>'Input data'!A146</f>
        <v>2046</v>
      </c>
      <c r="B126" s="1553">
        <f>'Input data'!B146</f>
        <v>73.995362001779526</v>
      </c>
      <c r="C126" s="1552">
        <f>'Input data'!C146</f>
        <v>0</v>
      </c>
      <c r="D126" s="1554">
        <f>'Input data'!D146</f>
        <v>11178944.368399095</v>
      </c>
      <c r="E126" s="1456">
        <f t="shared" si="29"/>
        <v>0.96543030303030264</v>
      </c>
      <c r="F126" s="1506">
        <f t="shared" si="30"/>
        <v>0.3578378787878787</v>
      </c>
      <c r="G126" s="1511">
        <f>B126*F126*'Input data'!$C$9</f>
        <v>810.42505056127879</v>
      </c>
      <c r="H126" s="1510">
        <f>'Input data'!I146</f>
        <v>424.26313389388866</v>
      </c>
      <c r="I126" s="1511">
        <f>'Input data'!K146</f>
        <v>31393.50417648775</v>
      </c>
      <c r="J126" s="1511">
        <f t="shared" si="94"/>
        <v>2395.9667686215707</v>
      </c>
      <c r="K126" s="1513">
        <f>I126*$B$10-J126</f>
        <v>12193.173773019116</v>
      </c>
      <c r="L126" s="1506">
        <f t="shared" si="89"/>
        <v>0.57999999999999996</v>
      </c>
      <c r="M126" s="1506">
        <f t="shared" si="90"/>
        <v>0.437</v>
      </c>
      <c r="N126" s="1506">
        <f t="shared" si="91"/>
        <v>0.71200000000000008</v>
      </c>
      <c r="O126" s="1506">
        <f t="shared" si="92"/>
        <v>0.8</v>
      </c>
      <c r="P126" s="1506">
        <f t="shared" si="92"/>
        <v>0.23600000000000002</v>
      </c>
      <c r="Q126" s="1510">
        <f t="shared" si="36"/>
        <v>0</v>
      </c>
      <c r="R126" s="1511">
        <f t="shared" si="37"/>
        <v>0</v>
      </c>
      <c r="S126" s="1511">
        <f t="shared" si="38"/>
        <v>0</v>
      </c>
      <c r="T126" s="1511">
        <f t="shared" si="39"/>
        <v>0</v>
      </c>
      <c r="U126" s="1513">
        <f t="shared" si="40"/>
        <v>0</v>
      </c>
      <c r="V126" s="1511">
        <f t="shared" si="10"/>
        <v>0</v>
      </c>
      <c r="W126" s="1456">
        <f t="shared" si="86"/>
        <v>0.5</v>
      </c>
      <c r="X126" s="530">
        <f t="shared" si="41"/>
        <v>3033.4854703020706</v>
      </c>
      <c r="Y126" s="528">
        <f t="shared" si="79"/>
        <v>3033.4854703020706</v>
      </c>
      <c r="Z126" s="528">
        <f t="shared" si="80"/>
        <v>11555.655071338617</v>
      </c>
      <c r="AA126" s="530">
        <f t="shared" si="81"/>
        <v>9159.6883027170461</v>
      </c>
      <c r="AB126" s="1091">
        <f t="shared" si="42"/>
        <v>0.79265850755927592</v>
      </c>
      <c r="AC126" s="135" t="str">
        <f t="shared" si="43"/>
        <v>Yes</v>
      </c>
      <c r="AD126" s="1091">
        <f t="shared" si="44"/>
        <v>0.79265850755927592</v>
      </c>
      <c r="AE126" s="649">
        <f t="shared" si="11"/>
        <v>0.41931610360905747</v>
      </c>
      <c r="AF126" s="530">
        <f t="shared" si="45"/>
        <v>246.36276968453541</v>
      </c>
      <c r="AG126" s="527">
        <f t="shared" si="46"/>
        <v>2395.9667686215707</v>
      </c>
      <c r="AH126" s="528">
        <f t="shared" si="82"/>
        <v>8605.4166727417341</v>
      </c>
      <c r="AI126" s="528">
        <f t="shared" si="83"/>
        <v>6437.6604656145792</v>
      </c>
      <c r="AJ126" s="528">
        <f t="shared" si="12"/>
        <v>790.65841959034776</v>
      </c>
      <c r="AK126" s="528">
        <f t="shared" si="47"/>
        <v>18229.702326568233</v>
      </c>
      <c r="AL126" s="716">
        <f t="shared" si="13"/>
        <v>0</v>
      </c>
      <c r="AM126" s="649">
        <f t="shared" si="48"/>
        <v>0.13143202920706248</v>
      </c>
      <c r="AN126" s="417">
        <f t="shared" si="49"/>
        <v>0.47205470054220661</v>
      </c>
      <c r="AO126" s="417">
        <f t="shared" si="50"/>
        <v>0.35314128285201013</v>
      </c>
      <c r="AP126" s="417">
        <f t="shared" si="51"/>
        <v>4.3371987398720752E-2</v>
      </c>
      <c r="AQ126" s="525">
        <f t="shared" si="52"/>
        <v>0.99999999999999989</v>
      </c>
      <c r="AR126" s="1086">
        <f t="shared" si="14"/>
        <v>448.73405882597558</v>
      </c>
      <c r="AS126" s="938">
        <f t="shared" si="15"/>
        <v>569.11618558426801</v>
      </c>
      <c r="AT126" s="938">
        <f t="shared" si="16"/>
        <v>178.46579419798604</v>
      </c>
      <c r="AU126" s="938">
        <f t="shared" si="17"/>
        <v>0</v>
      </c>
      <c r="AV126" s="938">
        <f t="shared" si="18"/>
        <v>0</v>
      </c>
      <c r="AW126" s="938">
        <f t="shared" si="19"/>
        <v>0</v>
      </c>
      <c r="AX126" s="938">
        <f t="shared" si="20"/>
        <v>759.61071415924243</v>
      </c>
      <c r="AY126" s="938">
        <f t="shared" si="21"/>
        <v>109.8223901632215</v>
      </c>
      <c r="AZ126" s="938">
        <f t="shared" si="22"/>
        <v>159.62627720277024</v>
      </c>
      <c r="BA126" s="938">
        <f t="shared" si="23"/>
        <v>140.32416923129185</v>
      </c>
      <c r="BB126" s="938">
        <f t="shared" si="24"/>
        <v>30.267179256814391</v>
      </c>
      <c r="BC126" s="530">
        <f t="shared" si="53"/>
        <v>2395.9667686215698</v>
      </c>
      <c r="BD126" s="724">
        <f t="shared" si="54"/>
        <v>0</v>
      </c>
      <c r="BE126" s="436">
        <f t="shared" si="55"/>
        <v>0.18728726320529812</v>
      </c>
      <c r="BF126" s="624">
        <f t="shared" si="56"/>
        <v>0.23753091780638</v>
      </c>
      <c r="BG126" s="624">
        <f t="shared" si="57"/>
        <v>7.4485922148519484E-2</v>
      </c>
      <c r="BH126" s="624">
        <f t="shared" si="58"/>
        <v>0</v>
      </c>
      <c r="BI126" s="624">
        <f t="shared" si="59"/>
        <v>0</v>
      </c>
      <c r="BJ126" s="624">
        <f t="shared" si="60"/>
        <v>0</v>
      </c>
      <c r="BK126" s="624">
        <f t="shared" si="61"/>
        <v>0.50069589683980242</v>
      </c>
      <c r="BL126" s="624">
        <f t="shared" si="62"/>
        <v>1</v>
      </c>
      <c r="BM126" s="649">
        <f t="shared" si="93"/>
        <v>0.29028184578274857</v>
      </c>
      <c r="BN126" s="417">
        <f t="shared" si="93"/>
        <v>0.30317187715157518</v>
      </c>
      <c r="BO126" s="417">
        <f t="shared" si="93"/>
        <v>8.2805443243048754E-2</v>
      </c>
      <c r="BP126" s="417">
        <f t="shared" si="93"/>
        <v>0</v>
      </c>
      <c r="BQ126" s="417">
        <f t="shared" si="93"/>
        <v>0</v>
      </c>
      <c r="BR126" s="417">
        <f t="shared" si="93"/>
        <v>0</v>
      </c>
      <c r="BS126" s="417">
        <f t="shared" si="93"/>
        <v>0.32374083382262742</v>
      </c>
      <c r="BT126" s="525">
        <f t="shared" si="85"/>
        <v>0.99999999999999989</v>
      </c>
      <c r="BV126" s="527">
        <f t="shared" si="64"/>
        <v>30.16056369496733</v>
      </c>
      <c r="BW126" s="114">
        <f t="shared" si="65"/>
        <v>0.62404143443668714</v>
      </c>
      <c r="BX126" s="1695">
        <f t="shared" si="25"/>
        <v>11.178944368399096</v>
      </c>
      <c r="BY126" s="527">
        <f t="shared" si="66"/>
        <v>30.16056369496733</v>
      </c>
      <c r="BZ126" s="417">
        <f t="shared" si="67"/>
        <v>0.62404143443668714</v>
      </c>
      <c r="CA126" s="544">
        <f t="shared" si="26"/>
        <v>11.178944368399096</v>
      </c>
      <c r="CB126" s="649">
        <f t="shared" si="27"/>
        <v>0.41931610360905747</v>
      </c>
      <c r="CC126" s="525">
        <f t="shared" si="68"/>
        <v>-6.7261896581714664E-2</v>
      </c>
      <c r="CD126" s="417">
        <f t="shared" si="28"/>
        <v>0.41931610360905747</v>
      </c>
      <c r="CE126" s="525">
        <f t="shared" si="69"/>
        <v>-6.7261896581714664E-2</v>
      </c>
      <c r="CG126" s="527">
        <f t="shared" si="70"/>
        <v>1624.6861418767837</v>
      </c>
      <c r="CH126" s="528">
        <f t="shared" si="71"/>
        <v>628.87867697433421</v>
      </c>
      <c r="CI126" s="528">
        <f t="shared" si="72"/>
        <v>2601.5230306841781</v>
      </c>
      <c r="CJ126" s="528">
        <f t="shared" si="73"/>
        <v>3700.2260386162934</v>
      </c>
      <c r="CK126" s="528">
        <f t="shared" si="74"/>
        <v>50.10278459014274</v>
      </c>
      <c r="CL126" s="528">
        <f t="shared" si="75"/>
        <v>8605.4166727417305</v>
      </c>
      <c r="CM126" s="646">
        <f t="shared" si="76"/>
        <v>0</v>
      </c>
    </row>
    <row r="127" spans="1:91" s="1" customFormat="1">
      <c r="A127" s="873">
        <f>'Input data'!A147</f>
        <v>2047</v>
      </c>
      <c r="B127" s="1553">
        <f>'Input data'!B147</f>
        <v>74.373096484110363</v>
      </c>
      <c r="C127" s="1552">
        <f>'Input data'!C147</f>
        <v>0</v>
      </c>
      <c r="D127" s="1554">
        <f>'Input data'!D147</f>
        <v>8384607.3220464904</v>
      </c>
      <c r="E127" s="1456">
        <f t="shared" si="29"/>
        <v>0.97407272727272687</v>
      </c>
      <c r="F127" s="1506">
        <f t="shared" si="30"/>
        <v>0.36019090909090901</v>
      </c>
      <c r="G127" s="1511">
        <f>B127*F127*'Input data'!$C$9</f>
        <v>819.91844738595455</v>
      </c>
      <c r="H127" s="1510">
        <f>'Input data'!I147</f>
        <v>424.26313389388866</v>
      </c>
      <c r="I127" s="1511">
        <f>'Input data'!K147</f>
        <v>31553.762991741216</v>
      </c>
      <c r="J127" s="1511">
        <f>J97*(1-$C$6)</f>
        <v>2228.8062963921584</v>
      </c>
      <c r="K127" s="1513">
        <f t="shared" si="78"/>
        <v>12434.809473169109</v>
      </c>
      <c r="L127" s="1506">
        <f t="shared" si="89"/>
        <v>0.57999999999999996</v>
      </c>
      <c r="M127" s="1506">
        <f t="shared" si="90"/>
        <v>0.437</v>
      </c>
      <c r="N127" s="1506">
        <f t="shared" si="91"/>
        <v>0.71200000000000008</v>
      </c>
      <c r="O127" s="1506">
        <f t="shared" si="92"/>
        <v>0.8</v>
      </c>
      <c r="P127" s="1506">
        <f t="shared" si="92"/>
        <v>0.23600000000000002</v>
      </c>
      <c r="Q127" s="1510">
        <f t="shared" si="36"/>
        <v>0</v>
      </c>
      <c r="R127" s="1511">
        <f t="shared" si="37"/>
        <v>0</v>
      </c>
      <c r="S127" s="1511">
        <f t="shared" si="38"/>
        <v>0</v>
      </c>
      <c r="T127" s="1511">
        <f t="shared" si="39"/>
        <v>0</v>
      </c>
      <c r="U127" s="1513">
        <f t="shared" si="40"/>
        <v>0</v>
      </c>
      <c r="V127" s="1511">
        <f t="shared" si="10"/>
        <v>0</v>
      </c>
      <c r="W127" s="1456">
        <f t="shared" si="86"/>
        <v>0.5</v>
      </c>
      <c r="X127" s="530">
        <f t="shared" si="41"/>
        <v>3033.4854703020706</v>
      </c>
      <c r="Y127" s="528">
        <f t="shared" si="79"/>
        <v>3033.4854703020706</v>
      </c>
      <c r="Z127" s="528">
        <f t="shared" si="80"/>
        <v>11630.130299259197</v>
      </c>
      <c r="AA127" s="530">
        <f t="shared" si="81"/>
        <v>9401.3240028670389</v>
      </c>
      <c r="AB127" s="1091">
        <f t="shared" si="42"/>
        <v>0.80835930131117051</v>
      </c>
      <c r="AC127" s="135" t="str">
        <f t="shared" si="43"/>
        <v>Yes</v>
      </c>
      <c r="AD127" s="1091">
        <f t="shared" si="44"/>
        <v>0.80835930131117051</v>
      </c>
      <c r="AE127" s="649">
        <f t="shared" si="11"/>
        <v>0.4279500163115344</v>
      </c>
      <c r="AF127" s="530">
        <f t="shared" si="45"/>
        <v>242.69971882361628</v>
      </c>
      <c r="AG127" s="527">
        <f t="shared" si="46"/>
        <v>2228.8062963921584</v>
      </c>
      <c r="AH127" s="528">
        <f t="shared" si="82"/>
        <v>8649.3459478230707</v>
      </c>
      <c r="AI127" s="528">
        <f t="shared" si="83"/>
        <v>6437.6604656145792</v>
      </c>
      <c r="AJ127" s="528">
        <f t="shared" si="12"/>
        <v>734.51689490546516</v>
      </c>
      <c r="AK127" s="528">
        <f t="shared" si="47"/>
        <v>18050.329604735271</v>
      </c>
      <c r="AL127" s="716">
        <f t="shared" si="13"/>
        <v>0</v>
      </c>
      <c r="AM127" s="649">
        <f t="shared" si="48"/>
        <v>0.12347731843120803</v>
      </c>
      <c r="AN127" s="417">
        <f t="shared" si="49"/>
        <v>0.47917939102641244</v>
      </c>
      <c r="AO127" s="417">
        <f t="shared" si="50"/>
        <v>0.35665057683632229</v>
      </c>
      <c r="AP127" s="417">
        <f t="shared" si="51"/>
        <v>4.0692713706057433E-2</v>
      </c>
      <c r="AQ127" s="525">
        <f t="shared" si="52"/>
        <v>1.0000000000000002</v>
      </c>
      <c r="AR127" s="1086">
        <f t="shared" si="14"/>
        <v>418.17955848214643</v>
      </c>
      <c r="AS127" s="938">
        <f t="shared" si="15"/>
        <v>530.36481303722223</v>
      </c>
      <c r="AT127" s="938">
        <f t="shared" si="16"/>
        <v>165.79364457923589</v>
      </c>
      <c r="AU127" s="938">
        <f t="shared" si="17"/>
        <v>0</v>
      </c>
      <c r="AV127" s="938">
        <f t="shared" si="18"/>
        <v>0</v>
      </c>
      <c r="AW127" s="938">
        <f t="shared" si="19"/>
        <v>0</v>
      </c>
      <c r="AX127" s="938">
        <f t="shared" si="20"/>
        <v>705.67376413982981</v>
      </c>
      <c r="AY127" s="938">
        <f t="shared" si="21"/>
        <v>102.02433695144923</v>
      </c>
      <c r="AZ127" s="938">
        <f t="shared" si="22"/>
        <v>148.29184711274678</v>
      </c>
      <c r="BA127" s="938">
        <f t="shared" si="23"/>
        <v>130.36030542412979</v>
      </c>
      <c r="BB127" s="938">
        <f t="shared" si="24"/>
        <v>28.118026665397458</v>
      </c>
      <c r="BC127" s="530">
        <f t="shared" si="53"/>
        <v>2228.8062963921575</v>
      </c>
      <c r="BD127" s="724">
        <f t="shared" si="54"/>
        <v>0</v>
      </c>
      <c r="BE127" s="436">
        <f t="shared" si="55"/>
        <v>0.18762490000098597</v>
      </c>
      <c r="BF127" s="624">
        <f t="shared" si="56"/>
        <v>0.23795913260642762</v>
      </c>
      <c r="BG127" s="624">
        <f t="shared" si="57"/>
        <v>7.4386744531192123E-2</v>
      </c>
      <c r="BH127" s="624">
        <f t="shared" si="58"/>
        <v>0</v>
      </c>
      <c r="BI127" s="624">
        <f t="shared" si="59"/>
        <v>0</v>
      </c>
      <c r="BJ127" s="624">
        <f t="shared" si="60"/>
        <v>0</v>
      </c>
      <c r="BK127" s="624">
        <f t="shared" si="61"/>
        <v>0.5000292228613944</v>
      </c>
      <c r="BL127" s="624">
        <f t="shared" si="62"/>
        <v>1</v>
      </c>
      <c r="BM127" s="649">
        <f t="shared" si="93"/>
        <v>0.29028184578274857</v>
      </c>
      <c r="BN127" s="417">
        <f t="shared" si="93"/>
        <v>0.30317187715157518</v>
      </c>
      <c r="BO127" s="417">
        <f t="shared" si="93"/>
        <v>8.2805443243048754E-2</v>
      </c>
      <c r="BP127" s="417">
        <f t="shared" si="93"/>
        <v>0</v>
      </c>
      <c r="BQ127" s="417">
        <f t="shared" si="93"/>
        <v>0</v>
      </c>
      <c r="BR127" s="417">
        <f t="shared" si="93"/>
        <v>0</v>
      </c>
      <c r="BS127" s="417">
        <f t="shared" si="93"/>
        <v>0.32374083382262742</v>
      </c>
      <c r="BT127" s="525">
        <f t="shared" si="85"/>
        <v>0.99999999999999989</v>
      </c>
      <c r="BV127" s="527">
        <f t="shared" si="64"/>
        <v>27.186853926781762</v>
      </c>
      <c r="BW127" s="114">
        <f t="shared" si="65"/>
        <v>0.67129362676179261</v>
      </c>
      <c r="BX127" s="1695">
        <f t="shared" si="25"/>
        <v>8.3846073220464898</v>
      </c>
      <c r="BY127" s="527">
        <f t="shared" si="66"/>
        <v>27.186853926781762</v>
      </c>
      <c r="BZ127" s="417">
        <f t="shared" si="67"/>
        <v>0.67129362676179261</v>
      </c>
      <c r="CA127" s="544">
        <f t="shared" si="26"/>
        <v>8.3846073220464898</v>
      </c>
      <c r="CB127" s="649">
        <f t="shared" si="27"/>
        <v>0.4279500163115344</v>
      </c>
      <c r="CC127" s="525">
        <f t="shared" si="68"/>
        <v>-8.9678260545715593E-2</v>
      </c>
      <c r="CD127" s="417">
        <f t="shared" si="28"/>
        <v>0.4279500163115344</v>
      </c>
      <c r="CE127" s="525">
        <f t="shared" si="69"/>
        <v>-8.9678260545715593E-2</v>
      </c>
      <c r="CG127" s="527">
        <f t="shared" si="70"/>
        <v>1632.9799046498772</v>
      </c>
      <c r="CH127" s="528">
        <f t="shared" si="71"/>
        <v>632.08900198754372</v>
      </c>
      <c r="CI127" s="528">
        <f t="shared" si="72"/>
        <v>2614.8033894618484</v>
      </c>
      <c r="CJ127" s="528">
        <f t="shared" si="73"/>
        <v>3719.115100435738</v>
      </c>
      <c r="CK127" s="528">
        <f t="shared" si="74"/>
        <v>50.358551288061392</v>
      </c>
      <c r="CL127" s="528">
        <f t="shared" si="75"/>
        <v>8649.3459478230689</v>
      </c>
      <c r="CM127" s="646">
        <f t="shared" si="76"/>
        <v>0</v>
      </c>
    </row>
    <row r="128" spans="1:91">
      <c r="A128" s="873">
        <f>'Input data'!A148</f>
        <v>2048</v>
      </c>
      <c r="B128" s="1553">
        <f>'Input data'!B148</f>
        <v>74.752759240528661</v>
      </c>
      <c r="C128" s="1552">
        <f>'Input data'!C148</f>
        <v>0</v>
      </c>
      <c r="D128" s="1554">
        <f>'Input data'!D148</f>
        <v>5590270.2756938878</v>
      </c>
      <c r="E128" s="1456">
        <f t="shared" si="29"/>
        <v>0.9827151515151511</v>
      </c>
      <c r="F128" s="1506">
        <f t="shared" si="30"/>
        <v>0.36254393939393931</v>
      </c>
      <c r="G128" s="1511">
        <f>B128*F128*'Input data'!$C$9</f>
        <v>829.4876495705023</v>
      </c>
      <c r="H128" s="1510">
        <f>'Input data'!I148</f>
        <v>424.26313389388866</v>
      </c>
      <c r="I128" s="1511">
        <f>'Input data'!K148</f>
        <v>31714.839902602034</v>
      </c>
      <c r="J128" s="1511">
        <f>J127</f>
        <v>2228.8062963921584</v>
      </c>
      <c r="K128" s="1513">
        <f t="shared" si="78"/>
        <v>12509.664885210746</v>
      </c>
      <c r="L128" s="1506">
        <f t="shared" si="89"/>
        <v>0.57999999999999996</v>
      </c>
      <c r="M128" s="1506">
        <f t="shared" si="90"/>
        <v>0.437</v>
      </c>
      <c r="N128" s="1506">
        <f t="shared" si="91"/>
        <v>0.71200000000000008</v>
      </c>
      <c r="O128" s="1506">
        <f t="shared" si="92"/>
        <v>0.8</v>
      </c>
      <c r="P128" s="1506">
        <f t="shared" si="92"/>
        <v>0.23600000000000002</v>
      </c>
      <c r="Q128" s="1510">
        <f t="shared" si="36"/>
        <v>0</v>
      </c>
      <c r="R128" s="1511">
        <f t="shared" si="37"/>
        <v>0</v>
      </c>
      <c r="S128" s="1511">
        <f t="shared" si="38"/>
        <v>0</v>
      </c>
      <c r="T128" s="1511">
        <f t="shared" si="39"/>
        <v>0</v>
      </c>
      <c r="U128" s="1513">
        <f t="shared" si="40"/>
        <v>0</v>
      </c>
      <c r="V128" s="1511">
        <f t="shared" si="10"/>
        <v>0</v>
      </c>
      <c r="W128" s="1456">
        <f t="shared" si="86"/>
        <v>0.5</v>
      </c>
      <c r="X128" s="530">
        <f t="shared" si="41"/>
        <v>3033.4854703020706</v>
      </c>
      <c r="Y128" s="528">
        <f t="shared" si="79"/>
        <v>3033.4854703020706</v>
      </c>
      <c r="Z128" s="528">
        <f t="shared" si="80"/>
        <v>11704.985711300835</v>
      </c>
      <c r="AA128" s="530">
        <f t="shared" si="81"/>
        <v>9476.1794149086763</v>
      </c>
      <c r="AB128" s="1091">
        <f t="shared" si="42"/>
        <v>0.80958487678969926</v>
      </c>
      <c r="AC128" s="135" t="str">
        <f t="shared" si="43"/>
        <v>Yes</v>
      </c>
      <c r="AD128" s="1091">
        <f t="shared" si="44"/>
        <v>0.80958487678969926</v>
      </c>
      <c r="AE128" s="649">
        <f t="shared" si="11"/>
        <v>0.42949384463559215</v>
      </c>
      <c r="AF128" s="530">
        <f t="shared" si="45"/>
        <v>242.04472938065743</v>
      </c>
      <c r="AG128" s="527">
        <f t="shared" si="46"/>
        <v>2228.8062963921584</v>
      </c>
      <c r="AH128" s="528">
        <f t="shared" si="82"/>
        <v>8693.4994748241606</v>
      </c>
      <c r="AI128" s="528">
        <f t="shared" si="83"/>
        <v>6437.6604656145792</v>
      </c>
      <c r="AJ128" s="528">
        <f t="shared" si="12"/>
        <v>733.54514400029723</v>
      </c>
      <c r="AK128" s="528">
        <f t="shared" si="47"/>
        <v>18093.511380831198</v>
      </c>
      <c r="AL128" s="716">
        <f t="shared" si="13"/>
        <v>0</v>
      </c>
      <c r="AM128" s="649">
        <f t="shared" si="48"/>
        <v>0.12318262881540074</v>
      </c>
      <c r="AN128" s="417">
        <f t="shared" si="49"/>
        <v>0.48047608293624594</v>
      </c>
      <c r="AO128" s="417">
        <f t="shared" si="50"/>
        <v>0.35579939847578879</v>
      </c>
      <c r="AP128" s="417">
        <f t="shared" si="51"/>
        <v>4.0541889772564364E-2</v>
      </c>
      <c r="AQ128" s="525">
        <f t="shared" si="52"/>
        <v>0.99999999999999978</v>
      </c>
      <c r="AR128" s="1086">
        <f t="shared" si="14"/>
        <v>418.92627737966245</v>
      </c>
      <c r="AS128" s="938">
        <f t="shared" si="15"/>
        <v>531.31185461407483</v>
      </c>
      <c r="AT128" s="938">
        <f t="shared" si="16"/>
        <v>165.57430296121677</v>
      </c>
      <c r="AU128" s="938">
        <f t="shared" si="17"/>
        <v>0</v>
      </c>
      <c r="AV128" s="938">
        <f t="shared" si="18"/>
        <v>0</v>
      </c>
      <c r="AW128" s="938">
        <f t="shared" si="19"/>
        <v>0</v>
      </c>
      <c r="AX128" s="938">
        <f t="shared" si="20"/>
        <v>704.7401721097317</v>
      </c>
      <c r="AY128" s="938">
        <f t="shared" si="21"/>
        <v>101.88936082977064</v>
      </c>
      <c r="AZ128" s="938">
        <f t="shared" si="22"/>
        <v>148.09566001662915</v>
      </c>
      <c r="BA128" s="938">
        <f t="shared" si="23"/>
        <v>130.18784139277466</v>
      </c>
      <c r="BB128" s="938">
        <f t="shared" si="24"/>
        <v>28.080827088296978</v>
      </c>
      <c r="BC128" s="530">
        <f t="shared" si="53"/>
        <v>2228.8062963921575</v>
      </c>
      <c r="BD128" s="724">
        <f t="shared" si="54"/>
        <v>0</v>
      </c>
      <c r="BE128" s="436">
        <f t="shared" si="55"/>
        <v>0.18795993086424437</v>
      </c>
      <c r="BF128" s="624">
        <f t="shared" si="56"/>
        <v>0.23838404237915467</v>
      </c>
      <c r="BG128" s="624">
        <f t="shared" si="57"/>
        <v>7.4288332381884134E-2</v>
      </c>
      <c r="BH128" s="624">
        <f t="shared" si="58"/>
        <v>0</v>
      </c>
      <c r="BI128" s="624">
        <f t="shared" si="59"/>
        <v>0</v>
      </c>
      <c r="BJ128" s="624">
        <f t="shared" si="60"/>
        <v>0</v>
      </c>
      <c r="BK128" s="624">
        <f t="shared" si="61"/>
        <v>0.49936769437471668</v>
      </c>
      <c r="BL128" s="624">
        <f t="shared" si="62"/>
        <v>0.99999999999999978</v>
      </c>
      <c r="BM128" s="649">
        <f t="shared" si="93"/>
        <v>0.29028184578274857</v>
      </c>
      <c r="BN128" s="417">
        <f t="shared" si="93"/>
        <v>0.30317187715157518</v>
      </c>
      <c r="BO128" s="417">
        <f t="shared" si="93"/>
        <v>8.2805443243048754E-2</v>
      </c>
      <c r="BP128" s="417">
        <f t="shared" si="93"/>
        <v>0</v>
      </c>
      <c r="BQ128" s="417">
        <f t="shared" si="93"/>
        <v>0</v>
      </c>
      <c r="BR128" s="417">
        <f t="shared" si="93"/>
        <v>0</v>
      </c>
      <c r="BS128" s="417">
        <f t="shared" si="93"/>
        <v>0.32374083382262742</v>
      </c>
      <c r="BT128" s="525">
        <f t="shared" si="85"/>
        <v>0.99999999999999989</v>
      </c>
      <c r="BV128" s="527">
        <f t="shared" si="64"/>
        <v>24.435698656525084</v>
      </c>
      <c r="BW128" s="114">
        <f t="shared" si="65"/>
        <v>0.72576914574292761</v>
      </c>
      <c r="BX128" s="1695">
        <f t="shared" si="25"/>
        <v>5.5902702756938876</v>
      </c>
      <c r="BY128" s="527">
        <f t="shared" si="66"/>
        <v>24.435698656525084</v>
      </c>
      <c r="BZ128" s="417">
        <f t="shared" si="67"/>
        <v>0.72576914574292761</v>
      </c>
      <c r="CA128" s="544">
        <f t="shared" si="26"/>
        <v>5.5902702756938876</v>
      </c>
      <c r="CB128" s="649">
        <f t="shared" si="27"/>
        <v>0.42949384463559215</v>
      </c>
      <c r="CC128" s="525">
        <f t="shared" si="68"/>
        <v>-0.13450458795691578</v>
      </c>
      <c r="CD128" s="417">
        <f t="shared" si="28"/>
        <v>0.42949384463559215</v>
      </c>
      <c r="CE128" s="525">
        <f t="shared" si="69"/>
        <v>-0.13450458795691578</v>
      </c>
      <c r="CG128" s="527">
        <f t="shared" si="70"/>
        <v>1641.3160057547641</v>
      </c>
      <c r="CH128" s="528">
        <f t="shared" si="71"/>
        <v>635.31571519623139</v>
      </c>
      <c r="CI128" s="528">
        <f t="shared" si="72"/>
        <v>2628.1515423459641</v>
      </c>
      <c r="CJ128" s="528">
        <f t="shared" si="73"/>
        <v>3738.1005878931555</v>
      </c>
      <c r="CK128" s="528">
        <f t="shared" si="74"/>
        <v>50.615623634045299</v>
      </c>
      <c r="CL128" s="528">
        <f t="shared" si="75"/>
        <v>8693.4994748241606</v>
      </c>
      <c r="CM128" s="646">
        <f t="shared" si="76"/>
        <v>0</v>
      </c>
    </row>
    <row r="129" spans="1:91">
      <c r="A129" s="127">
        <f>'Input data'!A149</f>
        <v>2049</v>
      </c>
      <c r="B129" s="662">
        <f>'Input data'!B149</f>
        <v>75.134360114565098</v>
      </c>
      <c r="C129" s="236">
        <f>'Input data'!C149</f>
        <v>0</v>
      </c>
      <c r="D129" s="237">
        <f>'Input data'!D149</f>
        <v>2795933.2293412867</v>
      </c>
      <c r="E129" s="649">
        <f t="shared" si="29"/>
        <v>0.99135757575757533</v>
      </c>
      <c r="F129" s="417">
        <f t="shared" si="30"/>
        <v>0.36489696969696961</v>
      </c>
      <c r="G129" s="528">
        <f>B129*F129*'Input data'!$C$9</f>
        <v>839.13318367124407</v>
      </c>
      <c r="H129" s="527">
        <f>'Input data'!I149</f>
        <v>424.26313389388866</v>
      </c>
      <c r="I129" s="528">
        <f>'Input data'!K149</f>
        <v>31876.739085317382</v>
      </c>
      <c r="J129" s="528">
        <f t="shared" ref="J129:J130" si="95">J128</f>
        <v>2228.8062963921584</v>
      </c>
      <c r="K129" s="530">
        <f t="shared" si="78"/>
        <v>12584.902422152543</v>
      </c>
      <c r="L129" s="417">
        <f t="shared" si="89"/>
        <v>0.57999999999999996</v>
      </c>
      <c r="M129" s="417">
        <f t="shared" si="90"/>
        <v>0.437</v>
      </c>
      <c r="N129" s="417">
        <f t="shared" si="91"/>
        <v>0.71200000000000008</v>
      </c>
      <c r="O129" s="417">
        <f t="shared" si="92"/>
        <v>0.8</v>
      </c>
      <c r="P129" s="417">
        <f t="shared" si="92"/>
        <v>0.23600000000000002</v>
      </c>
      <c r="Q129" s="527">
        <f t="shared" si="36"/>
        <v>0</v>
      </c>
      <c r="R129" s="528">
        <f t="shared" si="37"/>
        <v>0</v>
      </c>
      <c r="S129" s="528">
        <f t="shared" si="38"/>
        <v>0</v>
      </c>
      <c r="T129" s="528">
        <f t="shared" si="39"/>
        <v>0</v>
      </c>
      <c r="U129" s="530">
        <f t="shared" si="40"/>
        <v>0</v>
      </c>
      <c r="V129" s="528">
        <f t="shared" si="10"/>
        <v>0</v>
      </c>
      <c r="W129" s="649">
        <f t="shared" si="86"/>
        <v>0.5</v>
      </c>
      <c r="X129" s="530">
        <f t="shared" si="41"/>
        <v>3033.4854703020706</v>
      </c>
      <c r="Y129" s="528">
        <f t="shared" si="79"/>
        <v>3033.4854703020706</v>
      </c>
      <c r="Z129" s="528">
        <f t="shared" si="80"/>
        <v>11780.223248242632</v>
      </c>
      <c r="AA129" s="530">
        <f t="shared" si="81"/>
        <v>9551.4169518504732</v>
      </c>
      <c r="AB129" s="1091">
        <f t="shared" si="42"/>
        <v>0.81080101374779545</v>
      </c>
      <c r="AC129" s="135" t="str">
        <f t="shared" si="43"/>
        <v>Yes</v>
      </c>
      <c r="AD129" s="1091">
        <f t="shared" si="44"/>
        <v>0.81080101374779545</v>
      </c>
      <c r="AE129" s="649">
        <f t="shared" si="11"/>
        <v>0.43102944159952994</v>
      </c>
      <c r="AF129" s="530">
        <f t="shared" si="45"/>
        <v>241.39323220033924</v>
      </c>
      <c r="AG129" s="527">
        <f t="shared" si="46"/>
        <v>2228.8062963921584</v>
      </c>
      <c r="AH129" s="528">
        <f t="shared" si="82"/>
        <v>8737.8783985151767</v>
      </c>
      <c r="AI129" s="528">
        <f t="shared" si="83"/>
        <v>6437.6604656145792</v>
      </c>
      <c r="AJ129" s="528">
        <f t="shared" si="12"/>
        <v>732.58087683720362</v>
      </c>
      <c r="AK129" s="528">
        <f t="shared" si="47"/>
        <v>18136.926037359121</v>
      </c>
      <c r="AL129" s="716">
        <f t="shared" si="13"/>
        <v>0</v>
      </c>
      <c r="AM129" s="649">
        <f t="shared" si="48"/>
        <v>0.12288776454186226</v>
      </c>
      <c r="AN129" s="417">
        <f t="shared" si="49"/>
        <v>0.48177284179891161</v>
      </c>
      <c r="AO129" s="417">
        <f t="shared" si="50"/>
        <v>0.35494771563571714</v>
      </c>
      <c r="AP129" s="417">
        <f t="shared" si="51"/>
        <v>4.0391678023508841E-2</v>
      </c>
      <c r="AQ129" s="525">
        <f t="shared" si="52"/>
        <v>0.99999999999999989</v>
      </c>
      <c r="AR129" s="1086">
        <f t="shared" si="14"/>
        <v>419.66724557337062</v>
      </c>
      <c r="AS129" s="938">
        <f t="shared" si="15"/>
        <v>532.25160274272309</v>
      </c>
      <c r="AT129" s="938">
        <f t="shared" si="16"/>
        <v>165.35665055808457</v>
      </c>
      <c r="AU129" s="938">
        <f t="shared" si="17"/>
        <v>0</v>
      </c>
      <c r="AV129" s="938">
        <f t="shared" si="18"/>
        <v>0</v>
      </c>
      <c r="AW129" s="938">
        <f t="shared" si="19"/>
        <v>0</v>
      </c>
      <c r="AX129" s="938">
        <f t="shared" si="20"/>
        <v>703.81376994888797</v>
      </c>
      <c r="AY129" s="938">
        <f t="shared" si="21"/>
        <v>101.75542419925743</v>
      </c>
      <c r="AZ129" s="938">
        <f t="shared" si="22"/>
        <v>147.90098381555453</v>
      </c>
      <c r="BA129" s="938">
        <f t="shared" si="23"/>
        <v>130.01670555810125</v>
      </c>
      <c r="BB129" s="938">
        <f t="shared" si="24"/>
        <v>28.043913996178219</v>
      </c>
      <c r="BC129" s="530">
        <f t="shared" si="53"/>
        <v>2228.8062963921579</v>
      </c>
      <c r="BD129" s="724">
        <f t="shared" si="54"/>
        <v>0</v>
      </c>
      <c r="BE129" s="436">
        <f t="shared" si="55"/>
        <v>0.1882923815554092</v>
      </c>
      <c r="BF129" s="624">
        <f t="shared" si="56"/>
        <v>0.23880567979563602</v>
      </c>
      <c r="BG129" s="624">
        <f t="shared" si="57"/>
        <v>7.419067813374039E-2</v>
      </c>
      <c r="BH129" s="624">
        <f t="shared" si="58"/>
        <v>0</v>
      </c>
      <c r="BI129" s="624">
        <f t="shared" si="59"/>
        <v>0</v>
      </c>
      <c r="BJ129" s="624">
        <f t="shared" si="60"/>
        <v>0</v>
      </c>
      <c r="BK129" s="624">
        <f t="shared" si="61"/>
        <v>0.49871126051521419</v>
      </c>
      <c r="BL129" s="624">
        <f t="shared" si="62"/>
        <v>0.99999999999999978</v>
      </c>
      <c r="BM129" s="649">
        <f t="shared" si="93"/>
        <v>0.29028184578274857</v>
      </c>
      <c r="BN129" s="417">
        <f t="shared" si="93"/>
        <v>0.30317187715157518</v>
      </c>
      <c r="BO129" s="417">
        <f t="shared" si="93"/>
        <v>8.2805443243048754E-2</v>
      </c>
      <c r="BP129" s="417">
        <f t="shared" si="93"/>
        <v>0</v>
      </c>
      <c r="BQ129" s="417">
        <f t="shared" si="93"/>
        <v>0</v>
      </c>
      <c r="BR129" s="417">
        <f t="shared" si="93"/>
        <v>0</v>
      </c>
      <c r="BS129" s="417">
        <f t="shared" si="93"/>
        <v>0.32374083382262742</v>
      </c>
      <c r="BT129" s="525">
        <f t="shared" si="85"/>
        <v>0.99999999999999989</v>
      </c>
      <c r="BV129" s="527">
        <f t="shared" si="64"/>
        <v>21.684776266700407</v>
      </c>
      <c r="BW129" s="114">
        <f t="shared" si="65"/>
        <v>0.79406968165391756</v>
      </c>
      <c r="BX129" s="1695">
        <f t="shared" si="25"/>
        <v>2.7959332293412866</v>
      </c>
      <c r="BY129" s="527">
        <f t="shared" si="66"/>
        <v>21.684776266700407</v>
      </c>
      <c r="BZ129" s="417">
        <f t="shared" si="67"/>
        <v>0.79406968165391756</v>
      </c>
      <c r="CA129" s="544">
        <f t="shared" si="26"/>
        <v>2.7959332293412866</v>
      </c>
      <c r="CB129" s="649">
        <f t="shared" si="27"/>
        <v>0.43102944159952994</v>
      </c>
      <c r="CC129" s="525">
        <f t="shared" si="68"/>
        <v>-0.26893238798022012</v>
      </c>
      <c r="CD129" s="417">
        <f t="shared" si="28"/>
        <v>0.43102944159952994</v>
      </c>
      <c r="CE129" s="525">
        <f t="shared" si="69"/>
        <v>-0.26893238798022012</v>
      </c>
      <c r="CG129" s="527">
        <f t="shared" si="70"/>
        <v>1649.6946613218543</v>
      </c>
      <c r="CH129" s="528">
        <f t="shared" si="71"/>
        <v>638.55890025951294</v>
      </c>
      <c r="CI129" s="528">
        <f t="shared" si="72"/>
        <v>2641.5678354145912</v>
      </c>
      <c r="CJ129" s="528">
        <f t="shared" si="73"/>
        <v>3757.182993225998</v>
      </c>
      <c r="CK129" s="528">
        <f t="shared" si="74"/>
        <v>50.874008293218921</v>
      </c>
      <c r="CL129" s="528">
        <f t="shared" si="75"/>
        <v>8737.8783985151731</v>
      </c>
      <c r="CM129" s="646">
        <f t="shared" si="76"/>
        <v>0</v>
      </c>
    </row>
    <row r="130" spans="1:91" ht="15.75" thickBot="1">
      <c r="A130" s="172">
        <f>'Input data'!A150</f>
        <v>2050</v>
      </c>
      <c r="B130" s="664">
        <f>'Input data'!B150</f>
        <v>75.517908999999989</v>
      </c>
      <c r="C130" s="239">
        <f>'Input data'!C150</f>
        <v>0</v>
      </c>
      <c r="D130" s="240">
        <f>'Input data'!D150</f>
        <v>1596.1829886855978</v>
      </c>
      <c r="E130" s="650">
        <f>C51</f>
        <v>1</v>
      </c>
      <c r="F130" s="651">
        <f>D51</f>
        <v>0.36725000000000002</v>
      </c>
      <c r="G130" s="667">
        <f>B130*F130*'Input data'!$C$9</f>
        <v>848.85557964503187</v>
      </c>
      <c r="H130" s="670">
        <f>'Input data'!I150</f>
        <v>424.26313389388866</v>
      </c>
      <c r="I130" s="667">
        <f>'Input data'!K150</f>
        <v>32039.464737453494</v>
      </c>
      <c r="J130" s="667">
        <f t="shared" si="95"/>
        <v>2228.8062963921584</v>
      </c>
      <c r="K130" s="659">
        <f t="shared" si="78"/>
        <v>12660.52403468097</v>
      </c>
      <c r="L130" s="651">
        <f t="shared" si="89"/>
        <v>0.57999999999999996</v>
      </c>
      <c r="M130" s="651">
        <f t="shared" si="90"/>
        <v>0.437</v>
      </c>
      <c r="N130" s="651">
        <f t="shared" si="91"/>
        <v>0.71200000000000008</v>
      </c>
      <c r="O130" s="651">
        <f t="shared" si="92"/>
        <v>0.8</v>
      </c>
      <c r="P130" s="651">
        <f t="shared" si="92"/>
        <v>0.23600000000000002</v>
      </c>
      <c r="Q130" s="670">
        <f t="shared" si="36"/>
        <v>0</v>
      </c>
      <c r="R130" s="667">
        <f t="shared" si="37"/>
        <v>0</v>
      </c>
      <c r="S130" s="667">
        <f t="shared" si="38"/>
        <v>0</v>
      </c>
      <c r="T130" s="667">
        <f t="shared" si="39"/>
        <v>0</v>
      </c>
      <c r="U130" s="659">
        <f t="shared" si="40"/>
        <v>0</v>
      </c>
      <c r="V130" s="667">
        <f t="shared" si="10"/>
        <v>0</v>
      </c>
      <c r="W130" s="650">
        <f t="shared" si="86"/>
        <v>0.5</v>
      </c>
      <c r="X130" s="659">
        <f t="shared" si="41"/>
        <v>3033.4854703020706</v>
      </c>
      <c r="Y130" s="667">
        <f t="shared" si="79"/>
        <v>3033.4854703020706</v>
      </c>
      <c r="Z130" s="667">
        <f t="shared" si="80"/>
        <v>11855.844860771058</v>
      </c>
      <c r="AA130" s="659">
        <f t="shared" si="81"/>
        <v>9627.0385643788995</v>
      </c>
      <c r="AB130" s="1094">
        <f t="shared" si="42"/>
        <v>0.81200780521623617</v>
      </c>
      <c r="AC130" s="1105" t="str">
        <f t="shared" si="43"/>
        <v>Yes</v>
      </c>
      <c r="AD130" s="1094">
        <f t="shared" si="44"/>
        <v>0.81200780521623617</v>
      </c>
      <c r="AE130" s="650">
        <f t="shared" si="11"/>
        <v>0.43255685448712144</v>
      </c>
      <c r="AF130" s="659">
        <f t="shared" si="45"/>
        <v>240.74520722189973</v>
      </c>
      <c r="AG130" s="670">
        <f t="shared" si="46"/>
        <v>2228.8062963921584</v>
      </c>
      <c r="AH130" s="667">
        <f t="shared" si="82"/>
        <v>8782.483869510148</v>
      </c>
      <c r="AI130" s="667">
        <f t="shared" si="83"/>
        <v>6437.6604656145792</v>
      </c>
      <c r="AJ130" s="667">
        <f t="shared" si="12"/>
        <v>731.62401965267998</v>
      </c>
      <c r="AK130" s="667">
        <f t="shared" si="47"/>
        <v>18180.574651169565</v>
      </c>
      <c r="AL130" s="717">
        <f t="shared" si="13"/>
        <v>0</v>
      </c>
      <c r="AM130" s="650">
        <f t="shared" si="48"/>
        <v>0.12259273093157032</v>
      </c>
      <c r="AN130" s="651">
        <f t="shared" si="49"/>
        <v>0.48306965197852897</v>
      </c>
      <c r="AO130" s="651">
        <f t="shared" si="50"/>
        <v>0.35409554368516294</v>
      </c>
      <c r="AP130" s="651">
        <f t="shared" si="51"/>
        <v>4.0242073404737747E-2</v>
      </c>
      <c r="AQ130" s="652">
        <f t="shared" si="52"/>
        <v>1</v>
      </c>
      <c r="AR130" s="1476">
        <f t="shared" si="14"/>
        <v>420.40251974508266</v>
      </c>
      <c r="AS130" s="1477">
        <f t="shared" si="15"/>
        <v>533.18412931103887</v>
      </c>
      <c r="AT130" s="1477">
        <f t="shared" si="16"/>
        <v>165.14067072009269</v>
      </c>
      <c r="AU130" s="1477">
        <f t="shared" si="17"/>
        <v>0</v>
      </c>
      <c r="AV130" s="1477">
        <f t="shared" si="18"/>
        <v>0</v>
      </c>
      <c r="AW130" s="1477">
        <f t="shared" si="19"/>
        <v>0</v>
      </c>
      <c r="AX130" s="1477">
        <f t="shared" si="20"/>
        <v>702.89448679035161</v>
      </c>
      <c r="AY130" s="1477">
        <f t="shared" si="21"/>
        <v>101.62251681416477</v>
      </c>
      <c r="AZ130" s="1477">
        <f t="shared" si="22"/>
        <v>147.70780361738585</v>
      </c>
      <c r="BA130" s="1477">
        <f t="shared" si="23"/>
        <v>129.84688482873898</v>
      </c>
      <c r="BB130" s="1477">
        <f t="shared" si="24"/>
        <v>28.007284565301919</v>
      </c>
      <c r="BC130" s="659">
        <f t="shared" si="53"/>
        <v>2228.8062963921575</v>
      </c>
      <c r="BD130" s="725">
        <f t="shared" si="54"/>
        <v>0</v>
      </c>
      <c r="BE130" s="683">
        <f t="shared" si="55"/>
        <v>0.18862227750594662</v>
      </c>
      <c r="BF130" s="683">
        <f>AS130/BC130</f>
        <v>0.239224077109851</v>
      </c>
      <c r="BG130" s="683">
        <f t="shared" si="57"/>
        <v>7.4093774316508057E-2</v>
      </c>
      <c r="BH130" s="683">
        <f t="shared" si="58"/>
        <v>0</v>
      </c>
      <c r="BI130" s="683">
        <f t="shared" si="59"/>
        <v>0</v>
      </c>
      <c r="BJ130" s="683">
        <f t="shared" si="60"/>
        <v>0</v>
      </c>
      <c r="BK130" s="683">
        <f t="shared" si="61"/>
        <v>0.49805987106769423</v>
      </c>
      <c r="BL130" s="683">
        <f t="shared" si="62"/>
        <v>0.99999999999999989</v>
      </c>
      <c r="BM130" s="650">
        <f t="shared" si="93"/>
        <v>0.29028184578274857</v>
      </c>
      <c r="BN130" s="651">
        <f t="shared" si="93"/>
        <v>0.30317187715157518</v>
      </c>
      <c r="BO130" s="651">
        <f t="shared" si="93"/>
        <v>8.2805443243048754E-2</v>
      </c>
      <c r="BP130" s="651">
        <f t="shared" si="93"/>
        <v>0</v>
      </c>
      <c r="BQ130" s="651">
        <f t="shared" si="93"/>
        <v>0</v>
      </c>
      <c r="BR130" s="651">
        <f t="shared" si="93"/>
        <v>0</v>
      </c>
      <c r="BS130" s="651">
        <f t="shared" si="93"/>
        <v>0.32374083382262742</v>
      </c>
      <c r="BT130" s="652">
        <f t="shared" si="85"/>
        <v>0.99999999999999989</v>
      </c>
      <c r="BV130" s="670">
        <f t="shared" si="64"/>
        <v>18.934087834158248</v>
      </c>
      <c r="BW130" s="651">
        <f t="shared" si="65"/>
        <v>0.88221860686840703</v>
      </c>
      <c r="BX130" s="1696">
        <f t="shared" si="25"/>
        <v>1.5961829886855978E-3</v>
      </c>
      <c r="BY130" s="670">
        <f t="shared" si="66"/>
        <v>18.934087834158248</v>
      </c>
      <c r="BZ130" s="651">
        <f t="shared" si="67"/>
        <v>0.88221860686840703</v>
      </c>
      <c r="CA130" s="675">
        <f t="shared" si="26"/>
        <v>1.5961829886855978E-3</v>
      </c>
      <c r="CB130" s="650">
        <f t="shared" si="27"/>
        <v>0.43255685448712144</v>
      </c>
      <c r="CC130" s="652">
        <f t="shared" si="68"/>
        <v>-471.0719293025283</v>
      </c>
      <c r="CD130" s="651">
        <f t="shared" si="28"/>
        <v>0.43255685448712144</v>
      </c>
      <c r="CE130" s="652">
        <f t="shared" si="69"/>
        <v>-471.0719293025283</v>
      </c>
      <c r="CG130" s="670">
        <f t="shared" si="70"/>
        <v>1658.1160885848681</v>
      </c>
      <c r="CH130" s="667">
        <f t="shared" si="71"/>
        <v>641.81864126357038</v>
      </c>
      <c r="CI130" s="667">
        <f t="shared" si="72"/>
        <v>2655.0526165124675</v>
      </c>
      <c r="CJ130" s="667">
        <f t="shared" si="73"/>
        <v>3776.362811184511</v>
      </c>
      <c r="CK130" s="667">
        <f t="shared" si="74"/>
        <v>51.13371196473107</v>
      </c>
      <c r="CL130" s="667">
        <f t="shared" si="75"/>
        <v>8782.483869510148</v>
      </c>
      <c r="CM130" s="653">
        <f t="shared" si="76"/>
        <v>0</v>
      </c>
    </row>
    <row r="131" spans="1:91">
      <c r="AL131" s="529"/>
      <c r="AM131" s="528"/>
      <c r="AN131" s="623"/>
      <c r="AO131" s="623"/>
      <c r="AP131" s="623"/>
      <c r="AS131" s="114"/>
    </row>
    <row r="132" spans="1:91" ht="23.25">
      <c r="A132" s="686" t="s">
        <v>637</v>
      </c>
      <c r="AL132" s="529"/>
      <c r="AM132" s="528"/>
      <c r="AO132" s="623"/>
      <c r="AS132" s="114"/>
    </row>
    <row r="133" spans="1:91" ht="15.75" thickBot="1">
      <c r="AL133" s="529"/>
      <c r="AM133" s="528"/>
    </row>
    <row r="134" spans="1:91" ht="21.6" customHeight="1" thickBot="1">
      <c r="A134" s="1713" t="s">
        <v>602</v>
      </c>
      <c r="B134" s="1811"/>
      <c r="C134" s="1811"/>
      <c r="D134" s="1812"/>
      <c r="E134" s="1806" t="s">
        <v>603</v>
      </c>
      <c r="F134" s="1807"/>
      <c r="G134" s="1807"/>
      <c r="H134" s="1807"/>
      <c r="I134" s="1808"/>
      <c r="J134" s="1823" t="s">
        <v>604</v>
      </c>
      <c r="K134" s="1824"/>
      <c r="L134" s="1825"/>
      <c r="M134" s="1826" t="s">
        <v>764</v>
      </c>
      <c r="N134" s="1809" t="s">
        <v>607</v>
      </c>
      <c r="O134" s="1810"/>
      <c r="P134" s="1896" t="s">
        <v>594</v>
      </c>
      <c r="Q134" s="1815" t="s">
        <v>772</v>
      </c>
      <c r="R134" s="1815" t="s">
        <v>775</v>
      </c>
      <c r="S134" s="1815" t="s">
        <v>774</v>
      </c>
      <c r="T134" s="1839" t="s">
        <v>776</v>
      </c>
      <c r="U134" s="1837" t="s">
        <v>777</v>
      </c>
      <c r="V134" s="1813" t="s">
        <v>767</v>
      </c>
      <c r="W134" s="1835" t="s">
        <v>768</v>
      </c>
      <c r="X134" s="1845" t="s">
        <v>592</v>
      </c>
      <c r="Y134" s="1846"/>
      <c r="Z134" s="1846"/>
      <c r="AA134" s="1846"/>
      <c r="AB134" s="1846"/>
      <c r="AC134" s="1846"/>
      <c r="AD134" s="1846"/>
      <c r="AE134" s="1847"/>
      <c r="AF134" s="1847"/>
      <c r="AG134" s="1847"/>
      <c r="AH134" s="1847"/>
      <c r="AI134" s="1847"/>
      <c r="AJ134" s="1848"/>
      <c r="AK134" s="1854" t="s">
        <v>735</v>
      </c>
      <c r="AL134" s="1855"/>
      <c r="AM134" s="1855"/>
      <c r="AN134" s="1855"/>
      <c r="AO134" s="1856"/>
    </row>
    <row r="135" spans="1:91" ht="58.9" customHeight="1">
      <c r="A135" s="1863" t="s">
        <v>217</v>
      </c>
      <c r="B135" s="703" t="s">
        <v>218</v>
      </c>
      <c r="C135" s="703" t="s">
        <v>390</v>
      </c>
      <c r="D135" s="513" t="s">
        <v>629</v>
      </c>
      <c r="E135" s="704" t="s">
        <v>786</v>
      </c>
      <c r="F135" s="704" t="s">
        <v>787</v>
      </c>
      <c r="G135" s="704" t="s">
        <v>771</v>
      </c>
      <c r="H135" s="704" t="s">
        <v>597</v>
      </c>
      <c r="I135" s="704" t="s">
        <v>626</v>
      </c>
      <c r="J135" s="1463" t="s">
        <v>326</v>
      </c>
      <c r="K135" s="1635" t="s">
        <v>765</v>
      </c>
      <c r="L135" s="706" t="s">
        <v>766</v>
      </c>
      <c r="M135" s="1827"/>
      <c r="N135" s="508" t="s">
        <v>605</v>
      </c>
      <c r="O135" s="511" t="s">
        <v>606</v>
      </c>
      <c r="P135" s="1897"/>
      <c r="Q135" s="1816"/>
      <c r="R135" s="1816"/>
      <c r="S135" s="1816"/>
      <c r="T135" s="1840"/>
      <c r="U135" s="1838"/>
      <c r="V135" s="1814"/>
      <c r="W135" s="1836"/>
      <c r="X135" s="1466" t="s">
        <v>473</v>
      </c>
      <c r="Y135" s="1467" t="s">
        <v>489</v>
      </c>
      <c r="Z135" s="1467" t="s">
        <v>815</v>
      </c>
      <c r="AA135" s="1467" t="s">
        <v>377</v>
      </c>
      <c r="AB135" s="1467" t="s">
        <v>477</v>
      </c>
      <c r="AC135" s="1467" t="s">
        <v>225</v>
      </c>
      <c r="AD135" s="713" t="s">
        <v>617</v>
      </c>
      <c r="AE135" s="1092" t="s">
        <v>473</v>
      </c>
      <c r="AF135" s="1465" t="s">
        <v>489</v>
      </c>
      <c r="AG135" s="1465" t="s">
        <v>376</v>
      </c>
      <c r="AH135" s="1465" t="s">
        <v>377</v>
      </c>
      <c r="AI135" s="1465" t="s">
        <v>477</v>
      </c>
      <c r="AJ135" s="718" t="s">
        <v>225</v>
      </c>
      <c r="AK135" s="1466" t="s">
        <v>731</v>
      </c>
      <c r="AL135" s="1467" t="s">
        <v>493</v>
      </c>
      <c r="AM135" s="1467" t="s">
        <v>732</v>
      </c>
      <c r="AN135" s="1467" t="s">
        <v>225</v>
      </c>
      <c r="AO135" s="713" t="s">
        <v>617</v>
      </c>
    </row>
    <row r="136" spans="1:91" ht="61.15" customHeight="1" thickBot="1">
      <c r="A136" s="1864"/>
      <c r="B136" s="458" t="s">
        <v>232</v>
      </c>
      <c r="C136" s="459" t="s">
        <v>482</v>
      </c>
      <c r="D136" s="477" t="s">
        <v>480</v>
      </c>
      <c r="E136" s="1129" t="s">
        <v>228</v>
      </c>
      <c r="F136" s="1129" t="s">
        <v>228</v>
      </c>
      <c r="G136" s="1129" t="s">
        <v>228</v>
      </c>
      <c r="H136" s="1481" t="str">
        <f>G136</f>
        <v>Gg</v>
      </c>
      <c r="I136" s="1129" t="s">
        <v>228</v>
      </c>
      <c r="J136" s="707" t="s">
        <v>229</v>
      </c>
      <c r="K136" s="1114" t="s">
        <v>228</v>
      </c>
      <c r="L136" s="1114" t="s">
        <v>228</v>
      </c>
      <c r="M136" s="1114" t="s">
        <v>228</v>
      </c>
      <c r="N136" s="1474" t="s">
        <v>229</v>
      </c>
      <c r="O136" s="1644" t="s">
        <v>228</v>
      </c>
      <c r="P136" s="1115" t="s">
        <v>228</v>
      </c>
      <c r="Q136" s="1116" t="s">
        <v>228</v>
      </c>
      <c r="R136" s="1116" t="s">
        <v>228</v>
      </c>
      <c r="S136" s="1117" t="s">
        <v>28</v>
      </c>
      <c r="T136" s="1840"/>
      <c r="U136" s="1117" t="s">
        <v>28</v>
      </c>
      <c r="V136" s="1116" t="s">
        <v>228</v>
      </c>
      <c r="W136" s="1498" t="s">
        <v>28</v>
      </c>
      <c r="X136" s="191" t="s">
        <v>228</v>
      </c>
      <c r="Y136" s="1095" t="s">
        <v>228</v>
      </c>
      <c r="Z136" s="1095" t="s">
        <v>228</v>
      </c>
      <c r="AA136" s="1095" t="s">
        <v>228</v>
      </c>
      <c r="AB136" s="1095" t="s">
        <v>228</v>
      </c>
      <c r="AC136" s="1095" t="s">
        <v>228</v>
      </c>
      <c r="AD136" s="1096" t="s">
        <v>769</v>
      </c>
      <c r="AE136" s="1093" t="s">
        <v>229</v>
      </c>
      <c r="AF136" s="711" t="s">
        <v>229</v>
      </c>
      <c r="AG136" s="711" t="s">
        <v>229</v>
      </c>
      <c r="AH136" s="711" t="s">
        <v>229</v>
      </c>
      <c r="AI136" s="711" t="s">
        <v>229</v>
      </c>
      <c r="AJ136" s="1178" t="s">
        <v>229</v>
      </c>
      <c r="AK136" s="191" t="s">
        <v>228</v>
      </c>
      <c r="AL136" s="1095" t="s">
        <v>228</v>
      </c>
      <c r="AM136" s="1095" t="s">
        <v>228</v>
      </c>
      <c r="AN136" s="1095" t="s">
        <v>228</v>
      </c>
      <c r="AO136" s="1096" t="s">
        <v>590</v>
      </c>
    </row>
    <row r="137" spans="1:91" ht="15" customHeight="1">
      <c r="A137" s="736">
        <f>'Input data'!A117</f>
        <v>2017</v>
      </c>
      <c r="B137" s="737">
        <f>'Input data'!B117</f>
        <v>56.521948041648095</v>
      </c>
      <c r="C137" s="738">
        <f>'Input data'!C117</f>
        <v>3107.1496601967842</v>
      </c>
      <c r="D137" s="738">
        <f>'Input data'!D117</f>
        <v>49995051</v>
      </c>
      <c r="E137" s="956">
        <f>'Input data'!J117*C137</f>
        <v>37506.923384615395</v>
      </c>
      <c r="F137" s="957">
        <f>'Input data'!L117</f>
        <v>87501.974384615402</v>
      </c>
      <c r="G137" s="957">
        <f>F137*B11</f>
        <v>68439.708347615408</v>
      </c>
      <c r="H137" s="677">
        <f t="shared" ref="H137" si="96">E137*$B$12+I137*$E$80-G137</f>
        <v>0</v>
      </c>
      <c r="I137" s="1469">
        <f>D137/1000</f>
        <v>49995.050999999999</v>
      </c>
      <c r="J137" s="647">
        <f>H17</f>
        <v>6.154773859516615E-2</v>
      </c>
      <c r="K137" s="1503">
        <f>(I137)*J137-(I137)*$J$137</f>
        <v>0</v>
      </c>
      <c r="L137" s="1503">
        <f>(E137)*$C$12*$G$12-(E137)*$C$12*$G$12</f>
        <v>0</v>
      </c>
      <c r="M137" s="1503">
        <f>L137+K137</f>
        <v>0</v>
      </c>
      <c r="N137" s="1455">
        <v>0</v>
      </c>
      <c r="O137" s="1505">
        <f>N137*$E$137*($C$85)*$B$12</f>
        <v>0</v>
      </c>
      <c r="P137" s="1697">
        <f>O137+M137</f>
        <v>0</v>
      </c>
      <c r="Q137" s="1486">
        <f>E137*$B$12+(1-$J$137)*I137-P137</f>
        <v>68439.708347615408</v>
      </c>
      <c r="R137" s="1486">
        <f>Q137-G137</f>
        <v>0</v>
      </c>
      <c r="S137" s="1119">
        <f>R137/(Q137-I137*(1-J137))</f>
        <v>0</v>
      </c>
      <c r="T137" s="1491" t="str">
        <f>IF(AND(S137&gt;=0,S137&lt;=1),"Yes","No")</f>
        <v>Yes</v>
      </c>
      <c r="U137" s="1119">
        <f>IF(S137&lt;=0,0,IF(S137&gt;=1,1,S137))</f>
        <v>0</v>
      </c>
      <c r="V137" s="1495">
        <f t="shared" ref="V137:V170" si="97">AC137</f>
        <v>87501.974384615402</v>
      </c>
      <c r="W137" s="1492">
        <f t="shared" ref="W137:W170" si="98">(1-V137/F137)</f>
        <v>0</v>
      </c>
      <c r="X137" s="956">
        <f>(E137*$B$12-O137-L137)*(1-U137)+I137*(1-J137)</f>
        <v>68439.708347615408</v>
      </c>
      <c r="Y137" s="1503">
        <f>I137*J137+E137*$G$12*$C$12</f>
        <v>6080.5670370000007</v>
      </c>
      <c r="Z137" s="957">
        <f>($C$12*$H$12*E137+O137)</f>
        <v>1694.9190000000001</v>
      </c>
      <c r="AA137" s="957">
        <f>$F$137*$D$11</f>
        <v>0</v>
      </c>
      <c r="AB137" s="957">
        <f>E137*$E$12</f>
        <v>11286.78</v>
      </c>
      <c r="AC137" s="957">
        <f>SUM(X137:AB137)</f>
        <v>87501.974384615402</v>
      </c>
      <c r="AD137" s="1488">
        <f>X137-G137</f>
        <v>0</v>
      </c>
      <c r="AE137" s="647">
        <f>X137/AC137</f>
        <v>0.7821504466492184</v>
      </c>
      <c r="AF137" s="647">
        <f>Y137/AC137</f>
        <v>6.9490626694579893E-2</v>
      </c>
      <c r="AG137" s="647">
        <f>Z137/AC137</f>
        <v>1.9370065783315637E-2</v>
      </c>
      <c r="AH137" s="647">
        <f>AA137/AC137</f>
        <v>0</v>
      </c>
      <c r="AI137" s="647">
        <f>AB137/AC137</f>
        <v>0.12898886087288611</v>
      </c>
      <c r="AJ137" s="715">
        <f>SUM(AE137:AI137)</f>
        <v>1</v>
      </c>
      <c r="AK137" s="1499">
        <f>I137*(1-$J$137)-K137</f>
        <v>46917.968670000002</v>
      </c>
      <c r="AL137" s="1500">
        <f>(E137*$C$86*$B$12-L137)*(1-U137)</f>
        <v>20017.905677615392</v>
      </c>
      <c r="AM137" s="1500">
        <f>(E137*($C$85)*$B$12-O137)*(1-U137)</f>
        <v>1503.8340000000005</v>
      </c>
      <c r="AN137" s="1500">
        <f>SUM(AK137:AM137)</f>
        <v>68439.708347615393</v>
      </c>
      <c r="AO137" s="1565">
        <f>AN137-X137</f>
        <v>0</v>
      </c>
    </row>
    <row r="138" spans="1:91">
      <c r="A138" s="127">
        <f>'Input data'!A118</f>
        <v>2018</v>
      </c>
      <c r="B138" s="662">
        <f>'Input data'!B118</f>
        <v>57.436000617299655</v>
      </c>
      <c r="C138" s="236">
        <f>'Input data'!C118</f>
        <v>3150.6223338999603</v>
      </c>
      <c r="D138" s="236">
        <f>'Input data'!D118</f>
        <v>50343843.445756853</v>
      </c>
      <c r="E138" s="527">
        <f>'Input data'!J118*C138</f>
        <v>38031.689302008039</v>
      </c>
      <c r="F138" s="528">
        <f>'Input data'!L118</f>
        <v>88375.532747764897</v>
      </c>
      <c r="G138" s="528">
        <f>$G$137*(1+((($G$150/$G$137)^(1/($A$150-$A$137)))-1))^(A138-$A$137)</f>
        <v>64886.148572305057</v>
      </c>
      <c r="H138" s="528">
        <f>E138*$B$12+I138*$E$80-G138</f>
        <v>4181.9992543882981</v>
      </c>
      <c r="I138" s="530">
        <f t="shared" ref="I138:I170" si="99">D138/1000</f>
        <v>50343.843445756851</v>
      </c>
      <c r="J138" s="417">
        <f t="shared" ref="J138:J148" si="100">$J$137*(1+((($J$150/$J$137)^(1/($A$150-$A$137)))-1))^(A138-$A$137)</f>
        <v>6.7388021833337503E-2</v>
      </c>
      <c r="K138" s="1514">
        <f>(I138)*J138-(I138)*$J$137</f>
        <v>294.02230502137627</v>
      </c>
      <c r="L138" s="1514">
        <f t="shared" ref="L138:L170" si="101">(E138)*$C$12*$G$12-(E138)*$C$12*$G$12</f>
        <v>0</v>
      </c>
      <c r="M138" s="1511">
        <f>L138+K138</f>
        <v>294.02230502137627</v>
      </c>
      <c r="N138" s="1456">
        <f>($N$142-$N$137)/($A$102-$A$97)+N137</f>
        <v>0.05</v>
      </c>
      <c r="O138" s="1513">
        <f t="shared" ref="O138:O170" si="102">N138*$E$137*($C$85)*$B$12</f>
        <v>75.191700000000026</v>
      </c>
      <c r="P138" s="1698">
        <f>O138+M138</f>
        <v>369.21400502137629</v>
      </c>
      <c r="Q138" s="1366">
        <f t="shared" ref="Q138:Q170" si="103">E138*$B$12+(1-$J$137)*I138-P138</f>
        <v>68698.933821671977</v>
      </c>
      <c r="R138" s="1366">
        <f>Q138-G138</f>
        <v>3812.7852493669197</v>
      </c>
      <c r="S138" s="1091">
        <f t="shared" ref="S138:S170" si="104">R138/(Q138-I138*(1-J138))</f>
        <v>0.17531931385212809</v>
      </c>
      <c r="T138" s="135" t="str">
        <f t="shared" ref="T138:T170" si="105">IF(AND(S138&gt;=0,S138&lt;=1),"Yes","No")</f>
        <v>Yes</v>
      </c>
      <c r="U138" s="1091">
        <f t="shared" ref="U138:U170" si="106">IF(S138&lt;=0,0,IF(S138&gt;=1,1,S138))</f>
        <v>0.17531931385212809</v>
      </c>
      <c r="V138" s="1496">
        <f t="shared" si="97"/>
        <v>84562.747498397977</v>
      </c>
      <c r="W138" s="1493">
        <f t="shared" si="98"/>
        <v>4.314299592681492E-2</v>
      </c>
      <c r="X138" s="527">
        <f t="shared" ref="X138:X170" si="107">(E138*$B$12-O138-L138)*(1-U138)+I138*(1-J138)</f>
        <v>64886.148572305057</v>
      </c>
      <c r="Y138" s="1511">
        <f t="shared" ref="Y138:Y170" si="108">I138*J138+E138*$G$12*$C$12</f>
        <v>6438.0790075299101</v>
      </c>
      <c r="Z138" s="528">
        <f t="shared" ref="Z138:Z170" si="109">($C$12*$H$12*E138+O138)</f>
        <v>1793.8246078249765</v>
      </c>
      <c r="AA138" s="528">
        <f t="shared" ref="AA138:AA170" si="110">$F$137*$D$11</f>
        <v>0</v>
      </c>
      <c r="AB138" s="528">
        <f t="shared" ref="AB138:AB170" si="111">E138*$E$12</f>
        <v>11444.695310738029</v>
      </c>
      <c r="AC138" s="528">
        <f t="shared" ref="AC138:AC170" si="112">SUM(X138:AB138)</f>
        <v>84562.747498397977</v>
      </c>
      <c r="AD138" s="1489">
        <f t="shared" ref="AD138:AD170" si="113">X138-G138</f>
        <v>0</v>
      </c>
      <c r="AE138" s="417">
        <f t="shared" ref="AE138:AE170" si="114">X138/AC138</f>
        <v>0.76731362794869351</v>
      </c>
      <c r="AF138" s="417">
        <f t="shared" ref="AF138:AF170" si="115">Y138/AC138</f>
        <v>7.6133749174267046E-2</v>
      </c>
      <c r="AG138" s="417">
        <f t="shared" ref="AG138:AG170" si="116">Z138/AC138</f>
        <v>2.121294140613111E-2</v>
      </c>
      <c r="AH138" s="417">
        <f>AA138/AC138</f>
        <v>0</v>
      </c>
      <c r="AI138" s="417">
        <f t="shared" ref="AI138:AI169" si="117">AB138/AC138</f>
        <v>0.13533968147090827</v>
      </c>
      <c r="AJ138" s="525">
        <f t="shared" ref="AJ138:AJ170" si="118">SUM(AE138:AI138)</f>
        <v>0.99999999999999989</v>
      </c>
      <c r="AK138" s="1499">
        <f t="shared" ref="AK138:AK170" si="119">I138*(1-$J$137)-K138</f>
        <v>46951.271424460065</v>
      </c>
      <c r="AL138" s="1500">
        <f t="shared" ref="AL138:AL170" si="120">(E138*$C$86*$B$12-L138)*(1-U138)</f>
        <v>16739.351820641918</v>
      </c>
      <c r="AM138" s="1500">
        <f t="shared" ref="AM138:AM170" si="121">(E138*($C$85)*$B$12-O138)*(1-U138)</f>
        <v>1195.5253272030761</v>
      </c>
      <c r="AN138" s="1500">
        <f t="shared" ref="AN138:AN170" si="122">SUM(AK138:AM138)</f>
        <v>64886.148572305057</v>
      </c>
      <c r="AO138" s="1565">
        <f t="shared" ref="AO138:AO170" si="123">AN138-X138</f>
        <v>0</v>
      </c>
    </row>
    <row r="139" spans="1:91">
      <c r="A139" s="127">
        <f>'Input data'!A119</f>
        <v>2019</v>
      </c>
      <c r="B139" s="662">
        <f>'Input data'!B119</f>
        <v>58.364834921819444</v>
      </c>
      <c r="C139" s="236">
        <f>'Input data'!C119</f>
        <v>3168.3184457469288</v>
      </c>
      <c r="D139" s="236">
        <f>'Input data'!D119</f>
        <v>48412890.850439847</v>
      </c>
      <c r="E139" s="527">
        <f>'Input data'!J119*C139</f>
        <v>38245.302028730643</v>
      </c>
      <c r="F139" s="528">
        <f>'Input data'!L119</f>
        <v>86658.1928791705</v>
      </c>
      <c r="G139" s="528">
        <f t="shared" ref="G139:G149" si="124">$G$137*(1+((($G$150/$G$137)^(1/($A$150-$A$137)))-1))^(A139-$A$137)</f>
        <v>61517.098453473154</v>
      </c>
      <c r="H139" s="528">
        <f t="shared" ref="H139:H170" si="125">E139*$B$12+I139*$E$80-G139</f>
        <v>5861.5150469398213</v>
      </c>
      <c r="I139" s="530">
        <f t="shared" si="99"/>
        <v>48412.89085043985</v>
      </c>
      <c r="J139" s="417">
        <f t="shared" si="100"/>
        <v>7.3782491286642105E-2</v>
      </c>
      <c r="K139" s="1514">
        <f t="shared" ref="K139:K170" si="126">(I139)*J139-(I139)*$J$137</f>
        <v>592.31974663455048</v>
      </c>
      <c r="L139" s="1514">
        <f t="shared" si="101"/>
        <v>0</v>
      </c>
      <c r="M139" s="1511">
        <f t="shared" ref="M139:M170" si="127">L139+K139</f>
        <v>592.31974663455048</v>
      </c>
      <c r="N139" s="1456">
        <f>($N$142-$N$137)/($A$102-$A$97)+N138</f>
        <v>0.1</v>
      </c>
      <c r="O139" s="1513">
        <f t="shared" si="102"/>
        <v>150.38340000000005</v>
      </c>
      <c r="P139" s="1698">
        <f>O139+M139</f>
        <v>742.70314663455054</v>
      </c>
      <c r="Q139" s="1366">
        <f t="shared" si="103"/>
        <v>66635.910353778425</v>
      </c>
      <c r="R139" s="1366">
        <f t="shared" ref="R139:R170" si="128">Q139-G139</f>
        <v>5118.8119003052707</v>
      </c>
      <c r="S139" s="1091">
        <f t="shared" si="104"/>
        <v>0.23486128718237054</v>
      </c>
      <c r="T139" s="135" t="str">
        <f t="shared" si="105"/>
        <v>Yes</v>
      </c>
      <c r="U139" s="1091">
        <f t="shared" si="106"/>
        <v>0.23486128718237054</v>
      </c>
      <c r="V139" s="1496">
        <f>AC139</f>
        <v>81539.380978865214</v>
      </c>
      <c r="W139" s="1493">
        <f t="shared" si="98"/>
        <v>5.9068989673516037E-2</v>
      </c>
      <c r="X139" s="527">
        <f t="shared" si="107"/>
        <v>61517.098453473154</v>
      </c>
      <c r="Y139" s="1511">
        <f t="shared" si="108"/>
        <v>6634.6363936607713</v>
      </c>
      <c r="Z139" s="528">
        <f t="shared" si="109"/>
        <v>1878.6693594882986</v>
      </c>
      <c r="AA139" s="528">
        <f t="shared" si="110"/>
        <v>0</v>
      </c>
      <c r="AB139" s="528">
        <f t="shared" si="111"/>
        <v>11508.976772243002</v>
      </c>
      <c r="AC139" s="528">
        <f t="shared" si="112"/>
        <v>81539.380978865214</v>
      </c>
      <c r="AD139" s="1489">
        <f t="shared" si="113"/>
        <v>0</v>
      </c>
      <c r="AE139" s="417">
        <f t="shared" si="114"/>
        <v>0.75444647377710927</v>
      </c>
      <c r="AF139" s="417">
        <f t="shared" si="115"/>
        <v>8.136726467644452E-2</v>
      </c>
      <c r="AG139" s="417">
        <f t="shared" si="116"/>
        <v>2.3040024794586614E-2</v>
      </c>
      <c r="AH139" s="417">
        <f t="shared" ref="AH139:AH170" si="129">AA139/AC139</f>
        <v>0</v>
      </c>
      <c r="AI139" s="417">
        <f t="shared" si="117"/>
        <v>0.14114623675185978</v>
      </c>
      <c r="AJ139" s="525">
        <f t="shared" si="118"/>
        <v>1.0000000000000002</v>
      </c>
      <c r="AK139" s="1499">
        <f t="shared" si="119"/>
        <v>44840.867153106112</v>
      </c>
      <c r="AL139" s="1500">
        <f t="shared" si="120"/>
        <v>15618.001787389161</v>
      </c>
      <c r="AM139" s="1500">
        <f t="shared" si="121"/>
        <v>1058.2295129778754</v>
      </c>
      <c r="AN139" s="1500">
        <f t="shared" si="122"/>
        <v>61517.098453473147</v>
      </c>
      <c r="AO139" s="1565">
        <f t="shared" si="123"/>
        <v>0</v>
      </c>
    </row>
    <row r="140" spans="1:91">
      <c r="A140" s="127">
        <f>'Input data'!A120</f>
        <v>2020</v>
      </c>
      <c r="B140" s="662">
        <f>'Input data'!B120</f>
        <v>59.308690000000006</v>
      </c>
      <c r="C140" s="236">
        <f>'Input data'!C120</f>
        <v>2944.9182124750064</v>
      </c>
      <c r="D140" s="236">
        <f>'Input data'!D120</f>
        <v>45517474.780710384</v>
      </c>
      <c r="E140" s="527">
        <f>'Input data'!J120*C140</f>
        <v>35548.600437309862</v>
      </c>
      <c r="F140" s="528">
        <f>'Input data'!L120</f>
        <v>81066.07521802024</v>
      </c>
      <c r="G140" s="528">
        <f t="shared" si="124"/>
        <v>58322.977791126912</v>
      </c>
      <c r="H140" s="528">
        <f t="shared" si="125"/>
        <v>4791.0393779705264</v>
      </c>
      <c r="I140" s="530">
        <f t="shared" si="99"/>
        <v>45517.474780710385</v>
      </c>
      <c r="J140" s="417">
        <f t="shared" si="100"/>
        <v>8.0783733850016193E-2</v>
      </c>
      <c r="K140" s="1514">
        <f t="shared" si="126"/>
        <v>875.57392889450148</v>
      </c>
      <c r="L140" s="1514">
        <f t="shared" si="101"/>
        <v>0</v>
      </c>
      <c r="M140" s="1511">
        <f t="shared" si="127"/>
        <v>875.57392889450148</v>
      </c>
      <c r="N140" s="1456">
        <f>($N$142-$N$137)/($A$102-$A$97)+N139</f>
        <v>0.15000000000000002</v>
      </c>
      <c r="O140" s="1513">
        <f t="shared" si="102"/>
        <v>225.57510000000011</v>
      </c>
      <c r="P140" s="1698">
        <f t="shared" ref="P140:P170" si="130">O140+M140</f>
        <v>1101.1490288945015</v>
      </c>
      <c r="Q140" s="1366">
        <f t="shared" si="103"/>
        <v>62012.86814020294</v>
      </c>
      <c r="R140" s="1366">
        <f t="shared" si="128"/>
        <v>3689.8903490760276</v>
      </c>
      <c r="S140" s="1091">
        <f t="shared" si="104"/>
        <v>0.18291717756360076</v>
      </c>
      <c r="T140" s="135" t="str">
        <f t="shared" si="105"/>
        <v>Yes</v>
      </c>
      <c r="U140" s="1091">
        <f t="shared" si="106"/>
        <v>0.18291717756360076</v>
      </c>
      <c r="V140" s="1496">
        <f t="shared" si="97"/>
        <v>77376.184868944227</v>
      </c>
      <c r="W140" s="1493">
        <f t="shared" si="98"/>
        <v>4.5517071588236813E-2</v>
      </c>
      <c r="X140" s="527">
        <f t="shared" si="107"/>
        <v>58322.977791126912</v>
      </c>
      <c r="Y140" s="1511">
        <f t="shared" si="108"/>
        <v>6523.7374137082334</v>
      </c>
      <c r="Z140" s="528">
        <f t="shared" si="109"/>
        <v>1831.998471140033</v>
      </c>
      <c r="AA140" s="528">
        <f t="shared" si="110"/>
        <v>0</v>
      </c>
      <c r="AB140" s="528">
        <f t="shared" si="111"/>
        <v>10697.471192969046</v>
      </c>
      <c r="AC140" s="528">
        <f t="shared" si="112"/>
        <v>77376.184868944227</v>
      </c>
      <c r="AD140" s="1489">
        <f t="shared" si="113"/>
        <v>0</v>
      </c>
      <c r="AE140" s="417">
        <f t="shared" si="114"/>
        <v>0.75375876815213039</v>
      </c>
      <c r="AF140" s="417">
        <f t="shared" si="115"/>
        <v>8.4311954960790608E-2</v>
      </c>
      <c r="AG140" s="417">
        <f t="shared" si="116"/>
        <v>2.3676515897533293E-2</v>
      </c>
      <c r="AH140" s="417">
        <f t="shared" si="129"/>
        <v>0</v>
      </c>
      <c r="AI140" s="417">
        <f t="shared" si="117"/>
        <v>0.13825276098954567</v>
      </c>
      <c r="AJ140" s="525">
        <f t="shared" si="118"/>
        <v>0.99999999999999989</v>
      </c>
      <c r="AK140" s="1499">
        <f t="shared" si="119"/>
        <v>41840.403212500649</v>
      </c>
      <c r="AL140" s="1500">
        <f t="shared" si="120"/>
        <v>15502.287421152019</v>
      </c>
      <c r="AM140" s="1500">
        <f t="shared" si="121"/>
        <v>980.28715747423735</v>
      </c>
      <c r="AN140" s="1500">
        <f t="shared" si="122"/>
        <v>58322.977791126905</v>
      </c>
      <c r="AO140" s="1565">
        <f t="shared" si="123"/>
        <v>0</v>
      </c>
    </row>
    <row r="141" spans="1:91">
      <c r="A141" s="127">
        <f>'Input data'!A121</f>
        <v>2021</v>
      </c>
      <c r="B141" s="662">
        <f>'Input data'!B121</f>
        <v>59.991580449204264</v>
      </c>
      <c r="C141" s="236">
        <f>'Input data'!C121</f>
        <v>3018.4380966643439</v>
      </c>
      <c r="D141" s="1552">
        <f>'Input data'!D121</f>
        <v>45871162.972715415</v>
      </c>
      <c r="E141" s="1510">
        <f>'Input data'!J121*C141</f>
        <v>36436.071259478318</v>
      </c>
      <c r="F141" s="1511">
        <f>'Input data'!L121</f>
        <v>82307.234232193732</v>
      </c>
      <c r="G141" s="1511">
        <f t="shared" si="124"/>
        <v>55294.7038130703</v>
      </c>
      <c r="H141" s="1511">
        <f t="shared" si="125"/>
        <v>8660.4699159677548</v>
      </c>
      <c r="I141" s="1513">
        <f t="shared" si="99"/>
        <v>45871.162972715414</v>
      </c>
      <c r="J141" s="417">
        <f t="shared" si="100"/>
        <v>8.8449326404511766E-2</v>
      </c>
      <c r="K141" s="1514">
        <f t="shared" si="126"/>
        <v>1234.0071186273071</v>
      </c>
      <c r="L141" s="1514">
        <f t="shared" si="101"/>
        <v>0</v>
      </c>
      <c r="M141" s="1511">
        <f t="shared" si="127"/>
        <v>1234.0071186273071</v>
      </c>
      <c r="N141" s="1456">
        <f>($N$142-$N$137)/($A$102-$A$97)+N140</f>
        <v>0.2</v>
      </c>
      <c r="O141" s="1513">
        <f t="shared" si="102"/>
        <v>300.7668000000001</v>
      </c>
      <c r="P141" s="1698">
        <f t="shared" si="130"/>
        <v>1534.7739186273072</v>
      </c>
      <c r="Q141" s="1366">
        <f t="shared" si="103"/>
        <v>62420.399810410745</v>
      </c>
      <c r="R141" s="1366">
        <f t="shared" si="128"/>
        <v>7125.6959973404446</v>
      </c>
      <c r="S141" s="1091">
        <f t="shared" si="104"/>
        <v>0.34579828860926021</v>
      </c>
      <c r="T141" s="135" t="str">
        <f t="shared" si="105"/>
        <v>Yes</v>
      </c>
      <c r="U141" s="1091">
        <f t="shared" si="106"/>
        <v>0.34579828860926021</v>
      </c>
      <c r="V141" s="1496">
        <f t="shared" si="97"/>
        <v>75181.538234853288</v>
      </c>
      <c r="W141" s="1493">
        <f t="shared" si="98"/>
        <v>8.6574358424417741E-2</v>
      </c>
      <c r="X141" s="527">
        <f t="shared" si="107"/>
        <v>55294.7038130703</v>
      </c>
      <c r="Y141" s="1511">
        <f t="shared" si="108"/>
        <v>6975.0063256406702</v>
      </c>
      <c r="Z141" s="528">
        <f t="shared" si="109"/>
        <v>1947.2945311541612</v>
      </c>
      <c r="AA141" s="528">
        <f t="shared" si="110"/>
        <v>0</v>
      </c>
      <c r="AB141" s="528">
        <f t="shared" si="111"/>
        <v>10964.533564988158</v>
      </c>
      <c r="AC141" s="528">
        <f t="shared" si="112"/>
        <v>75181.538234853288</v>
      </c>
      <c r="AD141" s="1489">
        <f t="shared" si="113"/>
        <v>0</v>
      </c>
      <c r="AE141" s="417">
        <f t="shared" si="114"/>
        <v>0.735482474970648</v>
      </c>
      <c r="AF141" s="417">
        <f t="shared" si="115"/>
        <v>9.277552028600472E-2</v>
      </c>
      <c r="AG141" s="417">
        <f t="shared" si="116"/>
        <v>2.5901232894054011E-2</v>
      </c>
      <c r="AH141" s="417">
        <f t="shared" si="129"/>
        <v>0</v>
      </c>
      <c r="AI141" s="417">
        <f t="shared" si="117"/>
        <v>0.14584077184929328</v>
      </c>
      <c r="AJ141" s="525">
        <f t="shared" si="118"/>
        <v>1</v>
      </c>
      <c r="AK141" s="1499">
        <f t="shared" si="119"/>
        <v>41813.889506387153</v>
      </c>
      <c r="AL141" s="1500">
        <f t="shared" si="120"/>
        <v>12721.854255997479</v>
      </c>
      <c r="AM141" s="1500">
        <f t="shared" si="121"/>
        <v>758.96005068566637</v>
      </c>
      <c r="AN141" s="1500">
        <f t="shared" si="122"/>
        <v>55294.7038130703</v>
      </c>
      <c r="AO141" s="1565">
        <f t="shared" si="123"/>
        <v>0</v>
      </c>
    </row>
    <row r="142" spans="1:91">
      <c r="A142" s="873">
        <f>'Input data'!A122</f>
        <v>2022</v>
      </c>
      <c r="B142" s="1553">
        <f>'Input data'!B122</f>
        <v>60.682333816399378</v>
      </c>
      <c r="C142" s="1552">
        <f>'Input data'!C122</f>
        <v>3086.0582602351519</v>
      </c>
      <c r="D142" s="1552">
        <f>'Input data'!D122</f>
        <v>45764081.347342722</v>
      </c>
      <c r="E142" s="1510">
        <f>'Input data'!J122*C142</f>
        <v>37252.325567017797</v>
      </c>
      <c r="F142" s="1511">
        <f>'Input data'!L122</f>
        <v>83016.406914360516</v>
      </c>
      <c r="G142" s="1511">
        <f t="shared" si="124"/>
        <v>52423.665347216396</v>
      </c>
      <c r="H142" s="1511">
        <f t="shared" si="125"/>
        <v>11899.389921519913</v>
      </c>
      <c r="I142" s="1513">
        <f t="shared" si="99"/>
        <v>45764.081347342719</v>
      </c>
      <c r="J142" s="417">
        <f t="shared" si="100"/>
        <v>9.6842309318564565E-2</v>
      </c>
      <c r="K142" s="1514">
        <f t="shared" si="126"/>
        <v>1615.2236057051464</v>
      </c>
      <c r="L142" s="1514">
        <f t="shared" si="101"/>
        <v>0</v>
      </c>
      <c r="M142" s="1511">
        <f t="shared" si="127"/>
        <v>1615.2236057051464</v>
      </c>
      <c r="N142" s="1456">
        <f>$C$26</f>
        <v>0.25</v>
      </c>
      <c r="O142" s="1513">
        <f t="shared" si="102"/>
        <v>375.95850000000013</v>
      </c>
      <c r="P142" s="1698">
        <f t="shared" si="130"/>
        <v>1991.1821057051466</v>
      </c>
      <c r="Q142" s="1366">
        <f t="shared" si="103"/>
        <v>62331.873163031159</v>
      </c>
      <c r="R142" s="1366">
        <f t="shared" si="128"/>
        <v>9908.2078158147633</v>
      </c>
      <c r="S142" s="1091">
        <f t="shared" si="104"/>
        <v>0.47182635930578831</v>
      </c>
      <c r="T142" s="135" t="str">
        <f t="shared" si="105"/>
        <v>Yes</v>
      </c>
      <c r="U142" s="1091">
        <f t="shared" si="106"/>
        <v>0.47182635930578831</v>
      </c>
      <c r="V142" s="1496">
        <f t="shared" si="97"/>
        <v>73108.199098545752</v>
      </c>
      <c r="W142" s="1493">
        <f t="shared" si="98"/>
        <v>0.11935240495334909</v>
      </c>
      <c r="X142" s="527">
        <f t="shared" si="107"/>
        <v>52423.665347216403</v>
      </c>
      <c r="Y142" s="1511">
        <f t="shared" si="108"/>
        <v>7414.9963085309673</v>
      </c>
      <c r="Z142" s="528">
        <f t="shared" si="109"/>
        <v>2059.3723526974704</v>
      </c>
      <c r="AA142" s="528">
        <f t="shared" si="110"/>
        <v>0</v>
      </c>
      <c r="AB142" s="528">
        <f t="shared" si="111"/>
        <v>11210.165090100914</v>
      </c>
      <c r="AC142" s="528">
        <f t="shared" si="112"/>
        <v>73108.199098545752</v>
      </c>
      <c r="AD142" s="1489">
        <f t="shared" si="113"/>
        <v>0</v>
      </c>
      <c r="AE142" s="417">
        <f t="shared" si="114"/>
        <v>0.7170695762393523</v>
      </c>
      <c r="AF142" s="417">
        <f t="shared" si="115"/>
        <v>0.1014249619052436</v>
      </c>
      <c r="AG142" s="417">
        <f t="shared" si="116"/>
        <v>2.816882891509271E-2</v>
      </c>
      <c r="AH142" s="417">
        <f t="shared" si="129"/>
        <v>0</v>
      </c>
      <c r="AI142" s="417">
        <f t="shared" si="117"/>
        <v>0.15333663294031138</v>
      </c>
      <c r="AJ142" s="525">
        <f t="shared" si="118"/>
        <v>1</v>
      </c>
      <c r="AK142" s="1499">
        <f t="shared" si="119"/>
        <v>41332.1820258234</v>
      </c>
      <c r="AL142" s="1500">
        <f t="shared" si="120"/>
        <v>10501.160839538528</v>
      </c>
      <c r="AM142" s="1500">
        <f t="shared" si="121"/>
        <v>590.32248185446406</v>
      </c>
      <c r="AN142" s="1500">
        <f t="shared" si="122"/>
        <v>52423.665347216389</v>
      </c>
      <c r="AO142" s="1565">
        <f t="shared" si="123"/>
        <v>0</v>
      </c>
    </row>
    <row r="143" spans="1:91">
      <c r="A143" s="873">
        <f>'Input data'!A123</f>
        <v>2023</v>
      </c>
      <c r="B143" s="1553">
        <f>'Input data'!B123</f>
        <v>61.381040636574369</v>
      </c>
      <c r="C143" s="1552">
        <f>'Input data'!C123</f>
        <v>3153.9083559128044</v>
      </c>
      <c r="D143" s="1552">
        <f>'Input data'!D123</f>
        <v>45569695.474175937</v>
      </c>
      <c r="E143" s="1510">
        <f>'Input data'!J123*C143</f>
        <v>38071.355423487395</v>
      </c>
      <c r="F143" s="1511">
        <f>'Input data'!L123</f>
        <v>83641.050897663343</v>
      </c>
      <c r="G143" s="1511">
        <f t="shared" si="124"/>
        <v>49701.698334937471</v>
      </c>
      <c r="H143" s="1511">
        <f t="shared" si="125"/>
        <v>14908.900234461784</v>
      </c>
      <c r="I143" s="1513">
        <f t="shared" si="99"/>
        <v>45569.69547417594</v>
      </c>
      <c r="J143" s="417">
        <f t="shared" si="100"/>
        <v>0.10603170487993842</v>
      </c>
      <c r="K143" s="1514">
        <f t="shared" si="126"/>
        <v>2027.1207970805822</v>
      </c>
      <c r="L143" s="1514">
        <f t="shared" si="101"/>
        <v>0</v>
      </c>
      <c r="M143" s="1511">
        <f t="shared" si="127"/>
        <v>2027.1207970805822</v>
      </c>
      <c r="N143" s="1456">
        <f>($N$147-$N$142)/($A$107-$A$102)+N142</f>
        <v>0.3</v>
      </c>
      <c r="O143" s="1513">
        <f t="shared" si="102"/>
        <v>451.15020000000015</v>
      </c>
      <c r="P143" s="1698">
        <f t="shared" si="130"/>
        <v>2478.2709970805822</v>
      </c>
      <c r="Q143" s="1366">
        <f t="shared" si="103"/>
        <v>62132.327572318674</v>
      </c>
      <c r="R143" s="1366">
        <f t="shared" si="128"/>
        <v>12430.629237381203</v>
      </c>
      <c r="S143" s="1091">
        <f t="shared" si="104"/>
        <v>0.58102081401495431</v>
      </c>
      <c r="T143" s="135" t="str">
        <f t="shared" si="105"/>
        <v>Yes</v>
      </c>
      <c r="U143" s="1091">
        <f t="shared" si="106"/>
        <v>0.58102081401495431</v>
      </c>
      <c r="V143" s="1496">
        <f t="shared" si="97"/>
        <v>71210.42166028214</v>
      </c>
      <c r="W143" s="1493">
        <f t="shared" si="98"/>
        <v>0.14861875961590143</v>
      </c>
      <c r="X143" s="527">
        <f t="shared" si="107"/>
        <v>49701.698334937471</v>
      </c>
      <c r="Y143" s="1511">
        <f t="shared" si="108"/>
        <v>7880.5158774965339</v>
      </c>
      <c r="Z143" s="528">
        <f t="shared" si="109"/>
        <v>2171.5755999006997</v>
      </c>
      <c r="AA143" s="528">
        <f t="shared" si="110"/>
        <v>0</v>
      </c>
      <c r="AB143" s="528">
        <f t="shared" si="111"/>
        <v>11456.631847947434</v>
      </c>
      <c r="AC143" s="528">
        <f t="shared" si="112"/>
        <v>71210.42166028214</v>
      </c>
      <c r="AD143" s="1489">
        <f t="shared" si="113"/>
        <v>0</v>
      </c>
      <c r="AE143" s="417">
        <f t="shared" si="114"/>
        <v>0.69795540001216938</v>
      </c>
      <c r="AF143" s="417">
        <f t="shared" si="115"/>
        <v>0.11066520452710532</v>
      </c>
      <c r="AG143" s="417">
        <f t="shared" si="116"/>
        <v>3.049519367067452E-2</v>
      </c>
      <c r="AH143" s="417">
        <f t="shared" si="129"/>
        <v>0</v>
      </c>
      <c r="AI143" s="417">
        <f t="shared" si="117"/>
        <v>0.16088420179005078</v>
      </c>
      <c r="AJ143" s="525">
        <f t="shared" si="118"/>
        <v>1</v>
      </c>
      <c r="AK143" s="1499">
        <f t="shared" si="119"/>
        <v>40737.862972189447</v>
      </c>
      <c r="AL143" s="1500">
        <f t="shared" si="120"/>
        <v>8513.3009223932186</v>
      </c>
      <c r="AM143" s="1500">
        <f t="shared" si="121"/>
        <v>450.53444035479725</v>
      </c>
      <c r="AN143" s="1500">
        <f t="shared" si="122"/>
        <v>49701.698334937464</v>
      </c>
      <c r="AO143" s="1565">
        <f t="shared" si="123"/>
        <v>0</v>
      </c>
    </row>
    <row r="144" spans="1:91">
      <c r="A144" s="873">
        <f>'Input data'!A124</f>
        <v>2024</v>
      </c>
      <c r="B144" s="1553">
        <f>'Input data'!B124</f>
        <v>62.087792487153699</v>
      </c>
      <c r="C144" s="1552">
        <f>'Input data'!C124</f>
        <v>3232.6126442228219</v>
      </c>
      <c r="D144" s="1552">
        <f>'Input data'!D124</f>
        <v>46327457.455900244</v>
      </c>
      <c r="E144" s="1510">
        <f>'Input data'!J124*C144</f>
        <v>39021.40805516448</v>
      </c>
      <c r="F144" s="1511">
        <f>'Input data'!L124</f>
        <v>85348.865511064723</v>
      </c>
      <c r="G144" s="1511">
        <f t="shared" si="124"/>
        <v>47121.062615822855</v>
      </c>
      <c r="H144" s="1511">
        <f t="shared" si="125"/>
        <v>18745.806363115727</v>
      </c>
      <c r="I144" s="1513">
        <f t="shared" si="99"/>
        <v>46327.457455900243</v>
      </c>
      <c r="J144" s="417">
        <f t="shared" si="100"/>
        <v>0.11609308492183117</v>
      </c>
      <c r="K144" s="1514">
        <f t="shared" si="126"/>
        <v>2526.9472113659185</v>
      </c>
      <c r="L144" s="1514">
        <f t="shared" si="101"/>
        <v>0</v>
      </c>
      <c r="M144" s="1511">
        <f t="shared" si="127"/>
        <v>2526.9472113659185</v>
      </c>
      <c r="N144" s="1456">
        <f>($N$147-$N$142)/($A$107-$A$102)+N143</f>
        <v>0.35</v>
      </c>
      <c r="O144" s="1513">
        <f t="shared" si="102"/>
        <v>526.34190000000012</v>
      </c>
      <c r="P144" s="1698">
        <f t="shared" si="130"/>
        <v>3053.2891113659189</v>
      </c>
      <c r="Q144" s="1366">
        <f t="shared" si="103"/>
        <v>62813.579867572662</v>
      </c>
      <c r="R144" s="1366">
        <f t="shared" si="128"/>
        <v>15692.517251749807</v>
      </c>
      <c r="S144" s="1091">
        <f t="shared" si="104"/>
        <v>0.71771935176579849</v>
      </c>
      <c r="T144" s="135" t="str">
        <f t="shared" si="105"/>
        <v>Yes</v>
      </c>
      <c r="U144" s="1091">
        <f t="shared" si="106"/>
        <v>0.71771935176579849</v>
      </c>
      <c r="V144" s="1496">
        <f t="shared" si="97"/>
        <v>69656.348259314924</v>
      </c>
      <c r="W144" s="1493">
        <f t="shared" si="98"/>
        <v>0.18386322018205858</v>
      </c>
      <c r="X144" s="527">
        <f t="shared" si="107"/>
        <v>47121.062615822855</v>
      </c>
      <c r="Y144" s="1511">
        <f t="shared" si="108"/>
        <v>8503.0592769430677</v>
      </c>
      <c r="Z144" s="528">
        <f t="shared" si="109"/>
        <v>2289.6997004049217</v>
      </c>
      <c r="AA144" s="528">
        <f t="shared" si="110"/>
        <v>0</v>
      </c>
      <c r="AB144" s="528">
        <f t="shared" si="111"/>
        <v>11742.526666144084</v>
      </c>
      <c r="AC144" s="528">
        <f t="shared" si="112"/>
        <v>69656.348259314924</v>
      </c>
      <c r="AD144" s="1489">
        <f t="shared" si="113"/>
        <v>0</v>
      </c>
      <c r="AE144" s="417">
        <f t="shared" si="114"/>
        <v>0.67647908329046669</v>
      </c>
      <c r="AF144" s="417">
        <f t="shared" si="115"/>
        <v>0.12207156259883291</v>
      </c>
      <c r="AG144" s="417">
        <f t="shared" si="116"/>
        <v>3.2871371491954827E-2</v>
      </c>
      <c r="AH144" s="417">
        <f t="shared" si="129"/>
        <v>0</v>
      </c>
      <c r="AI144" s="417">
        <f t="shared" si="117"/>
        <v>0.16857798261874563</v>
      </c>
      <c r="AJ144" s="525">
        <f t="shared" si="118"/>
        <v>1</v>
      </c>
      <c r="AK144" s="1499">
        <f t="shared" si="119"/>
        <v>40949.160003259894</v>
      </c>
      <c r="AL144" s="1500">
        <f t="shared" si="120"/>
        <v>5878.8345763766965</v>
      </c>
      <c r="AM144" s="1500">
        <f t="shared" si="121"/>
        <v>293.06803618626037</v>
      </c>
      <c r="AN144" s="1500">
        <f t="shared" si="122"/>
        <v>47121.062615822855</v>
      </c>
      <c r="AO144" s="1565">
        <f t="shared" si="123"/>
        <v>0</v>
      </c>
    </row>
    <row r="145" spans="1:41">
      <c r="A145" s="873">
        <f>'Input data'!A125</f>
        <v>2025</v>
      </c>
      <c r="B145" s="1553">
        <f>'Input data'!B125</f>
        <v>62.802682000000026</v>
      </c>
      <c r="C145" s="1552">
        <f>'Input data'!C125</f>
        <v>3311.8439930677405</v>
      </c>
      <c r="D145" s="1552">
        <f>'Input data'!D125</f>
        <v>46801820.784301206</v>
      </c>
      <c r="E145" s="1510">
        <f>'Input data'!J125*C145</f>
        <v>39977.822922737316</v>
      </c>
      <c r="F145" s="1511">
        <f>'Input data'!L125</f>
        <v>86779.643707038515</v>
      </c>
      <c r="G145" s="1511">
        <f t="shared" si="124"/>
        <v>44674.419917829786</v>
      </c>
      <c r="H145" s="1511">
        <f t="shared" si="125"/>
        <v>22186.414059812174</v>
      </c>
      <c r="I145" s="1513">
        <f t="shared" si="99"/>
        <v>46801.820784301206</v>
      </c>
      <c r="J145" s="417">
        <f t="shared" si="100"/>
        <v>0.12710919231119061</v>
      </c>
      <c r="K145" s="1514">
        <f t="shared" si="126"/>
        <v>3068.3954071756348</v>
      </c>
      <c r="L145" s="1514">
        <f t="shared" si="101"/>
        <v>0</v>
      </c>
      <c r="M145" s="1511">
        <f t="shared" si="127"/>
        <v>3068.3954071756348</v>
      </c>
      <c r="N145" s="1456">
        <f>($N$147-$N$142)/($A$107-$A$102)+N144</f>
        <v>0.39999999999999997</v>
      </c>
      <c r="O145" s="1513">
        <f t="shared" si="102"/>
        <v>601.53360000000009</v>
      </c>
      <c r="P145" s="1698">
        <f t="shared" si="130"/>
        <v>3669.929007175635</v>
      </c>
      <c r="Q145" s="1366">
        <f t="shared" si="103"/>
        <v>63190.904970466327</v>
      </c>
      <c r="R145" s="1366">
        <f t="shared" si="128"/>
        <v>18516.485052636541</v>
      </c>
      <c r="S145" s="1091">
        <f t="shared" si="104"/>
        <v>0.82892217951149916</v>
      </c>
      <c r="T145" s="135" t="str">
        <f t="shared" si="105"/>
        <v>Yes</v>
      </c>
      <c r="U145" s="1091">
        <f t="shared" si="106"/>
        <v>0.82892217951149916</v>
      </c>
      <c r="V145" s="1496">
        <f t="shared" si="97"/>
        <v>68263.158654401981</v>
      </c>
      <c r="W145" s="1493">
        <f t="shared" si="98"/>
        <v>0.21337360078530376</v>
      </c>
      <c r="X145" s="527">
        <f t="shared" si="107"/>
        <v>44674.419917829786</v>
      </c>
      <c r="Y145" s="1511">
        <f t="shared" si="108"/>
        <v>9150.2913877054598</v>
      </c>
      <c r="Z145" s="528">
        <f t="shared" si="109"/>
        <v>2408.1113071487689</v>
      </c>
      <c r="AA145" s="528">
        <f t="shared" si="110"/>
        <v>0</v>
      </c>
      <c r="AB145" s="528">
        <f t="shared" si="111"/>
        <v>12030.33604171797</v>
      </c>
      <c r="AC145" s="528">
        <f t="shared" si="112"/>
        <v>68263.158654401981</v>
      </c>
      <c r="AD145" s="1489">
        <f t="shared" si="113"/>
        <v>0</v>
      </c>
      <c r="AE145" s="417">
        <f t="shared" si="114"/>
        <v>0.65444407786642811</v>
      </c>
      <c r="AF145" s="417">
        <f t="shared" si="115"/>
        <v>0.13404435962348191</v>
      </c>
      <c r="AG145" s="417">
        <f t="shared" si="116"/>
        <v>3.5276880745299069E-2</v>
      </c>
      <c r="AH145" s="417">
        <f t="shared" si="129"/>
        <v>0</v>
      </c>
      <c r="AI145" s="417">
        <f t="shared" si="117"/>
        <v>0.17623468176479098</v>
      </c>
      <c r="AJ145" s="525">
        <f t="shared" si="118"/>
        <v>1.0000000000000002</v>
      </c>
      <c r="AK145" s="1499">
        <f t="shared" si="119"/>
        <v>40852.879145715582</v>
      </c>
      <c r="AL145" s="1500">
        <f t="shared" si="120"/>
        <v>3650.2284525923892</v>
      </c>
      <c r="AM145" s="1500">
        <f t="shared" si="121"/>
        <v>171.31231952181344</v>
      </c>
      <c r="AN145" s="1500">
        <f t="shared" si="122"/>
        <v>44674.419917829786</v>
      </c>
      <c r="AO145" s="1565">
        <f t="shared" si="123"/>
        <v>0</v>
      </c>
    </row>
    <row r="146" spans="1:41">
      <c r="A146" s="873">
        <f>'Input data'!A126</f>
        <v>2026</v>
      </c>
      <c r="B146" s="1553">
        <f>'Input data'!B126</f>
        <v>63.421065342005143</v>
      </c>
      <c r="C146" s="1552">
        <f>'Input data'!C126</f>
        <v>3393.1756913606432</v>
      </c>
      <c r="D146" s="1552">
        <f>'Input data'!D126</f>
        <v>46479674.028888769</v>
      </c>
      <c r="E146" s="1510">
        <f>'Input data'!J126*C146</f>
        <v>40959.591459892159</v>
      </c>
      <c r="F146" s="1511">
        <f>'Input data'!L126</f>
        <v>87439.265488780919</v>
      </c>
      <c r="G146" s="1511">
        <f t="shared" si="124"/>
        <v>42354.812990240433</v>
      </c>
      <c r="H146" s="1511">
        <f t="shared" si="125"/>
        <v>24767.047412836153</v>
      </c>
      <c r="I146" s="1513">
        <f t="shared" si="99"/>
        <v>46479.674028888767</v>
      </c>
      <c r="J146" s="417">
        <f t="shared" si="100"/>
        <v>0.13917062141024203</v>
      </c>
      <c r="K146" s="1514">
        <f t="shared" si="126"/>
        <v>3607.8862904273583</v>
      </c>
      <c r="L146" s="1514">
        <f t="shared" si="101"/>
        <v>0</v>
      </c>
      <c r="M146" s="1511">
        <f t="shared" si="127"/>
        <v>3607.8862904273583</v>
      </c>
      <c r="N146" s="1456">
        <f>($N$147-$N$142)/($A$107-$A$102)+N145</f>
        <v>0.44999999999999996</v>
      </c>
      <c r="O146" s="1513">
        <f t="shared" si="102"/>
        <v>676.72530000000006</v>
      </c>
      <c r="P146" s="1698">
        <f t="shared" si="130"/>
        <v>4284.6115904273584</v>
      </c>
      <c r="Q146" s="1366">
        <f t="shared" si="103"/>
        <v>62837.248812649224</v>
      </c>
      <c r="R146" s="1366">
        <f t="shared" si="128"/>
        <v>20482.435822408792</v>
      </c>
      <c r="S146" s="1091">
        <f t="shared" si="104"/>
        <v>0.89732210606280804</v>
      </c>
      <c r="T146" s="135" t="str">
        <f t="shared" si="105"/>
        <v>Yes</v>
      </c>
      <c r="U146" s="1091">
        <f t="shared" si="106"/>
        <v>0.89732210606280804</v>
      </c>
      <c r="V146" s="1496">
        <f t="shared" si="97"/>
        <v>66956.829666372127</v>
      </c>
      <c r="W146" s="1493">
        <f t="shared" si="98"/>
        <v>0.23424757410658759</v>
      </c>
      <c r="X146" s="527">
        <f t="shared" si="107"/>
        <v>42354.812990240433</v>
      </c>
      <c r="Y146" s="1511">
        <f t="shared" si="108"/>
        <v>9748.5730662157803</v>
      </c>
      <c r="Z146" s="528">
        <f t="shared" si="109"/>
        <v>2527.6686334669353</v>
      </c>
      <c r="AA146" s="528">
        <f t="shared" si="110"/>
        <v>0</v>
      </c>
      <c r="AB146" s="528">
        <f t="shared" si="111"/>
        <v>12325.774976448984</v>
      </c>
      <c r="AC146" s="528">
        <f t="shared" si="112"/>
        <v>66956.829666372127</v>
      </c>
      <c r="AD146" s="1489">
        <f t="shared" si="113"/>
        <v>0</v>
      </c>
      <c r="AE146" s="417">
        <f t="shared" si="114"/>
        <v>0.6325689731918771</v>
      </c>
      <c r="AF146" s="417">
        <f t="shared" si="115"/>
        <v>0.14559490218981838</v>
      </c>
      <c r="AG146" s="417">
        <f t="shared" si="116"/>
        <v>3.7750721562858164E-2</v>
      </c>
      <c r="AH146" s="417">
        <f t="shared" si="129"/>
        <v>0</v>
      </c>
      <c r="AI146" s="417">
        <f t="shared" si="117"/>
        <v>0.18408540305544641</v>
      </c>
      <c r="AJ146" s="525">
        <f t="shared" si="118"/>
        <v>1</v>
      </c>
      <c r="AK146" s="1499">
        <f t="shared" si="119"/>
        <v>40011.068911342831</v>
      </c>
      <c r="AL146" s="1500">
        <f t="shared" si="120"/>
        <v>2244.6041709535093</v>
      </c>
      <c r="AM146" s="1500">
        <f t="shared" si="121"/>
        <v>99.139907944091732</v>
      </c>
      <c r="AN146" s="1500">
        <f t="shared" si="122"/>
        <v>42354.812990240433</v>
      </c>
      <c r="AO146" s="1565">
        <f t="shared" si="123"/>
        <v>0</v>
      </c>
    </row>
    <row r="147" spans="1:41">
      <c r="A147" s="873">
        <f>'Input data'!A127</f>
        <v>2027</v>
      </c>
      <c r="B147" s="1553">
        <f>'Input data'!B127</f>
        <v>64.045537563425796</v>
      </c>
      <c r="C147" s="1552">
        <f>'Input data'!C127</f>
        <v>3472.5774012476563</v>
      </c>
      <c r="D147" s="1552">
        <f>'Input data'!D127</f>
        <v>45641833.264745638</v>
      </c>
      <c r="E147" s="1510">
        <f>'Input data'!J127*C147</f>
        <v>41918.062784106085</v>
      </c>
      <c r="F147" s="1511">
        <f>'Input data'!L127</f>
        <v>87559.896048851719</v>
      </c>
      <c r="G147" s="1511">
        <f t="shared" si="124"/>
        <v>40155.6458200876</v>
      </c>
      <c r="H147" s="1511">
        <f t="shared" si="125"/>
        <v>26729.918693081803</v>
      </c>
      <c r="I147" s="1513">
        <f t="shared" si="99"/>
        <v>45641.833264745641</v>
      </c>
      <c r="J147" s="417">
        <f t="shared" si="100"/>
        <v>0.15237656310721223</v>
      </c>
      <c r="K147" s="1514">
        <f t="shared" si="126"/>
        <v>4145.5940640116496</v>
      </c>
      <c r="L147" s="1514">
        <f t="shared" si="101"/>
        <v>0</v>
      </c>
      <c r="M147" s="1511">
        <f t="shared" si="127"/>
        <v>4145.5940640116496</v>
      </c>
      <c r="N147" s="1456">
        <f>$C$27</f>
        <v>0.5</v>
      </c>
      <c r="O147" s="1513">
        <f t="shared" si="102"/>
        <v>751.91700000000026</v>
      </c>
      <c r="P147" s="1698">
        <f t="shared" si="130"/>
        <v>4897.51106401165</v>
      </c>
      <c r="Q147" s="1366">
        <f t="shared" si="103"/>
        <v>61988.053449157756</v>
      </c>
      <c r="R147" s="1366">
        <f t="shared" si="128"/>
        <v>21832.407629070156</v>
      </c>
      <c r="S147" s="1091">
        <f t="shared" si="104"/>
        <v>0.93697436191041916</v>
      </c>
      <c r="T147" s="135" t="str">
        <f t="shared" si="105"/>
        <v>Yes</v>
      </c>
      <c r="U147" s="1091">
        <f t="shared" si="106"/>
        <v>0.93697436191041916</v>
      </c>
      <c r="V147" s="1496">
        <f t="shared" si="97"/>
        <v>65727.488419781585</v>
      </c>
      <c r="W147" s="1493">
        <f t="shared" si="98"/>
        <v>0.24934254852117821</v>
      </c>
      <c r="X147" s="527">
        <f t="shared" si="107"/>
        <v>40155.6458200876</v>
      </c>
      <c r="Y147" s="1511">
        <f t="shared" si="108"/>
        <v>10311.466237506627</v>
      </c>
      <c r="Z147" s="528">
        <f t="shared" si="109"/>
        <v>2646.1731704518984</v>
      </c>
      <c r="AA147" s="528">
        <f t="shared" si="110"/>
        <v>0</v>
      </c>
      <c r="AB147" s="528">
        <f t="shared" si="111"/>
        <v>12614.203191735462</v>
      </c>
      <c r="AC147" s="528">
        <f t="shared" si="112"/>
        <v>65727.488419781585</v>
      </c>
      <c r="AD147" s="1489">
        <f t="shared" si="113"/>
        <v>0</v>
      </c>
      <c r="AE147" s="417">
        <f t="shared" si="114"/>
        <v>0.61094143083066921</v>
      </c>
      <c r="AF147" s="417">
        <f t="shared" si="115"/>
        <v>0.15688209736009404</v>
      </c>
      <c r="AG147" s="417">
        <f t="shared" si="116"/>
        <v>4.025976397502961E-2</v>
      </c>
      <c r="AH147" s="417">
        <f t="shared" si="129"/>
        <v>0</v>
      </c>
      <c r="AI147" s="417">
        <f t="shared" si="117"/>
        <v>0.19191670783420722</v>
      </c>
      <c r="AJ147" s="525">
        <f t="shared" si="118"/>
        <v>1</v>
      </c>
      <c r="AK147" s="1499">
        <f t="shared" si="119"/>
        <v>38687.087577951272</v>
      </c>
      <c r="AL147" s="1500">
        <f t="shared" si="120"/>
        <v>1410.0212321578776</v>
      </c>
      <c r="AM147" s="1500">
        <f t="shared" si="121"/>
        <v>58.53700997845619</v>
      </c>
      <c r="AN147" s="1500">
        <f t="shared" si="122"/>
        <v>40155.645820087608</v>
      </c>
      <c r="AO147" s="1565">
        <f t="shared" si="123"/>
        <v>0</v>
      </c>
    </row>
    <row r="148" spans="1:41">
      <c r="A148" s="873">
        <f>'Input data'!A128</f>
        <v>2028</v>
      </c>
      <c r="B148" s="1553">
        <f>'Input data'!B128</f>
        <v>64.676158618096451</v>
      </c>
      <c r="C148" s="1552">
        <f>'Input data'!C128</f>
        <v>3555.7273448150845</v>
      </c>
      <c r="D148" s="1552">
        <f>'Input data'!D128</f>
        <v>44757313.865039073</v>
      </c>
      <c r="E148" s="1510">
        <f>'Input data'!J128*C148</f>
        <v>42921.779664168149</v>
      </c>
      <c r="F148" s="1511">
        <f>'Input data'!L128</f>
        <v>87679.093529207224</v>
      </c>
      <c r="G148" s="1511">
        <f t="shared" si="124"/>
        <v>38070.664875792791</v>
      </c>
      <c r="H148" s="1511">
        <f t="shared" si="125"/>
        <v>28560.760298447844</v>
      </c>
      <c r="I148" s="1513">
        <f t="shared" si="99"/>
        <v>44757.313865039076</v>
      </c>
      <c r="J148" s="417">
        <f t="shared" si="100"/>
        <v>0.16683562054324133</v>
      </c>
      <c r="K148" s="1514">
        <f t="shared" si="126"/>
        <v>4712.4027785351827</v>
      </c>
      <c r="L148" s="1514">
        <f t="shared" si="101"/>
        <v>0</v>
      </c>
      <c r="M148" s="1511">
        <f t="shared" si="127"/>
        <v>4712.4027785351827</v>
      </c>
      <c r="N148" s="1456">
        <f>N147</f>
        <v>0.5</v>
      </c>
      <c r="O148" s="1513">
        <f t="shared" si="102"/>
        <v>751.91700000000026</v>
      </c>
      <c r="P148" s="1698">
        <f t="shared" si="130"/>
        <v>5464.3197785351831</v>
      </c>
      <c r="Q148" s="1366">
        <f t="shared" si="103"/>
        <v>61167.105395705454</v>
      </c>
      <c r="R148" s="1366">
        <f t="shared" si="128"/>
        <v>23096.440519912663</v>
      </c>
      <c r="S148" s="1091">
        <f t="shared" si="104"/>
        <v>0.96731296546475554</v>
      </c>
      <c r="T148" s="135" t="str">
        <f t="shared" si="105"/>
        <v>Yes</v>
      </c>
      <c r="U148" s="1091">
        <f t="shared" si="106"/>
        <v>0.96731296546475554</v>
      </c>
      <c r="V148" s="1496">
        <f t="shared" si="97"/>
        <v>64582.653009294576</v>
      </c>
      <c r="W148" s="1493">
        <f t="shared" si="98"/>
        <v>0.2634201562795454</v>
      </c>
      <c r="X148" s="527">
        <f t="shared" si="107"/>
        <v>38070.664875792791</v>
      </c>
      <c r="Y148" s="1511">
        <f t="shared" si="108"/>
        <v>10904.210565287234</v>
      </c>
      <c r="Z148" s="528">
        <f t="shared" si="109"/>
        <v>2691.530631344991</v>
      </c>
      <c r="AA148" s="528">
        <f t="shared" si="110"/>
        <v>0</v>
      </c>
      <c r="AB148" s="528">
        <f t="shared" si="111"/>
        <v>12916.246936869558</v>
      </c>
      <c r="AC148" s="528">
        <f t="shared" si="112"/>
        <v>64582.653009294576</v>
      </c>
      <c r="AD148" s="1489">
        <f t="shared" si="113"/>
        <v>0</v>
      </c>
      <c r="AE148" s="1506">
        <f t="shared" si="114"/>
        <v>0.5894874722832113</v>
      </c>
      <c r="AF148" s="1506">
        <f t="shared" si="115"/>
        <v>0.16884116797923937</v>
      </c>
      <c r="AG148" s="1506">
        <f t="shared" si="116"/>
        <v>4.1675752015911033E-2</v>
      </c>
      <c r="AH148" s="1506">
        <f t="shared" si="129"/>
        <v>0</v>
      </c>
      <c r="AI148" s="1506">
        <f t="shared" si="117"/>
        <v>0.19999560772163824</v>
      </c>
      <c r="AJ148" s="1543">
        <f t="shared" si="118"/>
        <v>1</v>
      </c>
      <c r="AK148" s="1557">
        <f t="shared" si="119"/>
        <v>37290.199632516669</v>
      </c>
      <c r="AL148" s="1500">
        <f t="shared" si="120"/>
        <v>748.79069673295317</v>
      </c>
      <c r="AM148" s="1500">
        <f t="shared" si="121"/>
        <v>31.674546543176088</v>
      </c>
      <c r="AN148" s="1500">
        <f t="shared" si="122"/>
        <v>38070.664875792798</v>
      </c>
      <c r="AO148" s="1565">
        <f t="shared" si="123"/>
        <v>0</v>
      </c>
    </row>
    <row r="149" spans="1:41">
      <c r="A149" s="873">
        <f>'Input data'!A129</f>
        <v>2029</v>
      </c>
      <c r="B149" s="1553">
        <f>'Input data'!B129</f>
        <v>65.31298905018393</v>
      </c>
      <c r="C149" s="1552">
        <f>'Input data'!C129</f>
        <v>3635.303730869829</v>
      </c>
      <c r="D149" s="1552">
        <f>'Input data'!D129</f>
        <v>43023314.860788628</v>
      </c>
      <c r="E149" s="1510">
        <f>'Input data'!J129*C149</f>
        <v>43882.359533626659</v>
      </c>
      <c r="F149" s="1511">
        <f>'Input data'!L129</f>
        <v>86905.674394415284</v>
      </c>
      <c r="G149" s="1511">
        <f t="shared" si="124"/>
        <v>36093.941324681233</v>
      </c>
      <c r="H149" s="1511">
        <f t="shared" si="125"/>
        <v>29461.396130920548</v>
      </c>
      <c r="I149" s="1513">
        <f t="shared" si="99"/>
        <v>43023.314860788625</v>
      </c>
      <c r="J149" s="1506">
        <f>$J$137*(1+((($J$150/$J$137)^(1/($A$150-$A$137)))-1))^(A149-$A$137)</f>
        <v>0.18266670224386344</v>
      </c>
      <c r="K149" s="1514">
        <f t="shared" si="126"/>
        <v>5210.9393086703149</v>
      </c>
      <c r="L149" s="1514">
        <f t="shared" si="101"/>
        <v>0</v>
      </c>
      <c r="M149" s="1511">
        <f t="shared" si="127"/>
        <v>5210.9393086703149</v>
      </c>
      <c r="N149" s="1456">
        <f t="shared" ref="N149:N170" si="131">N148</f>
        <v>0.5</v>
      </c>
      <c r="O149" s="1513">
        <f t="shared" si="102"/>
        <v>751.91700000000026</v>
      </c>
      <c r="P149" s="1698">
        <f t="shared" si="130"/>
        <v>5962.8563086703152</v>
      </c>
      <c r="Q149" s="1366">
        <f t="shared" si="103"/>
        <v>59592.481146931466</v>
      </c>
      <c r="R149" s="1366">
        <f t="shared" si="128"/>
        <v>23498.539822250234</v>
      </c>
      <c r="S149" s="1091">
        <f t="shared" si="104"/>
        <v>0.96194735722911107</v>
      </c>
      <c r="T149" s="135" t="str">
        <f t="shared" si="105"/>
        <v>Yes</v>
      </c>
      <c r="U149" s="1091">
        <f t="shared" si="106"/>
        <v>0.96194735722911107</v>
      </c>
      <c r="V149" s="1496">
        <f t="shared" si="97"/>
        <v>63407.134572165065</v>
      </c>
      <c r="W149" s="1493">
        <f t="shared" si="98"/>
        <v>0.27039131778212488</v>
      </c>
      <c r="X149" s="527">
        <f t="shared" si="107"/>
        <v>36093.941324681233</v>
      </c>
      <c r="Y149" s="1511">
        <f t="shared" si="108"/>
        <v>11372.944828410727</v>
      </c>
      <c r="Z149" s="528">
        <f t="shared" si="109"/>
        <v>2734.9387524288591</v>
      </c>
      <c r="AA149" s="528">
        <f t="shared" si="110"/>
        <v>0</v>
      </c>
      <c r="AB149" s="528">
        <f t="shared" si="111"/>
        <v>13205.309666644245</v>
      </c>
      <c r="AC149" s="528">
        <f t="shared" si="112"/>
        <v>63407.134572165065</v>
      </c>
      <c r="AD149" s="1489">
        <f t="shared" si="113"/>
        <v>0</v>
      </c>
      <c r="AE149" s="1506">
        <f t="shared" si="114"/>
        <v>0.569241009993945</v>
      </c>
      <c r="AF149" s="1506">
        <f t="shared" si="115"/>
        <v>0.17936380353959896</v>
      </c>
      <c r="AG149" s="1506">
        <f t="shared" si="116"/>
        <v>4.3132981341652721E-2</v>
      </c>
      <c r="AH149" s="1506">
        <f t="shared" si="129"/>
        <v>0</v>
      </c>
      <c r="AI149" s="1506">
        <f t="shared" si="117"/>
        <v>0.20826220512480326</v>
      </c>
      <c r="AJ149" s="1543">
        <f t="shared" si="118"/>
        <v>1</v>
      </c>
      <c r="AK149" s="1557">
        <f t="shared" si="119"/>
        <v>35164.387815568967</v>
      </c>
      <c r="AL149" s="1500">
        <f t="shared" si="120"/>
        <v>891.21398454939288</v>
      </c>
      <c r="AM149" s="1500">
        <f t="shared" si="121"/>
        <v>38.33952456287826</v>
      </c>
      <c r="AN149" s="1500">
        <f t="shared" si="122"/>
        <v>36093.94132468124</v>
      </c>
      <c r="AO149" s="1565">
        <f t="shared" si="123"/>
        <v>0</v>
      </c>
    </row>
    <row r="150" spans="1:41" s="1153" customFormat="1">
      <c r="A150" s="1567">
        <f>'Input data'!A130</f>
        <v>2030</v>
      </c>
      <c r="B150" s="1553">
        <f>'Input data'!B130</f>
        <v>65.956090000000003</v>
      </c>
      <c r="C150" s="1552">
        <f>'Input data'!C130</f>
        <v>3717.2759118719223</v>
      </c>
      <c r="D150" s="1552">
        <f>'Input data'!D130</f>
        <v>41579903.969008513</v>
      </c>
      <c r="E150" s="1510">
        <f>'Input data'!J130*C150</f>
        <v>44871.859444719004</v>
      </c>
      <c r="F150" s="1511">
        <f>'Input data'!L130</f>
        <v>86451.763413727516</v>
      </c>
      <c r="G150" s="1511">
        <f>G137*(1-$C$4)</f>
        <v>34219.854173807704</v>
      </c>
      <c r="H150" s="1511">
        <f t="shared" si="125"/>
        <v>30548.69316023303</v>
      </c>
      <c r="I150" s="1513">
        <f t="shared" si="99"/>
        <v>41579.903969008512</v>
      </c>
      <c r="J150" s="1506">
        <v>0.2</v>
      </c>
      <c r="K150" s="1514">
        <f t="shared" si="126"/>
        <v>5756.8317335050542</v>
      </c>
      <c r="L150" s="1514">
        <f t="shared" si="101"/>
        <v>0</v>
      </c>
      <c r="M150" s="1511">
        <f t="shared" si="127"/>
        <v>5756.8317335050542</v>
      </c>
      <c r="N150" s="1456">
        <f t="shared" si="131"/>
        <v>0.5</v>
      </c>
      <c r="O150" s="1513">
        <f t="shared" si="102"/>
        <v>751.91700000000026</v>
      </c>
      <c r="P150" s="1698">
        <f t="shared" si="130"/>
        <v>6508.7487335050546</v>
      </c>
      <c r="Q150" s="1366">
        <f t="shared" si="103"/>
        <v>58259.79860053568</v>
      </c>
      <c r="R150" s="1366">
        <f t="shared" si="128"/>
        <v>24039.944426727976</v>
      </c>
      <c r="S150" s="1091">
        <f t="shared" si="104"/>
        <v>0.96175645052094361</v>
      </c>
      <c r="T150" s="135" t="str">
        <f t="shared" si="105"/>
        <v>Yes</v>
      </c>
      <c r="U150" s="1091">
        <f t="shared" si="106"/>
        <v>0.96175645052094361</v>
      </c>
      <c r="V150" s="1496">
        <f t="shared" si="97"/>
        <v>62411.818986999555</v>
      </c>
      <c r="W150" s="1493">
        <f t="shared" si="98"/>
        <v>0.27807349992019603</v>
      </c>
      <c r="X150" s="527">
        <f t="shared" si="107"/>
        <v>34219.854173807704</v>
      </c>
      <c r="Y150" s="1511">
        <f t="shared" si="108"/>
        <v>11909.235890596654</v>
      </c>
      <c r="Z150" s="528">
        <f t="shared" si="109"/>
        <v>2779.6537556460157</v>
      </c>
      <c r="AA150" s="528">
        <f t="shared" si="110"/>
        <v>0</v>
      </c>
      <c r="AB150" s="528">
        <f t="shared" si="111"/>
        <v>13503.075166949178</v>
      </c>
      <c r="AC150" s="528">
        <f t="shared" si="112"/>
        <v>62411.818986999555</v>
      </c>
      <c r="AD150" s="1489">
        <f t="shared" si="113"/>
        <v>0</v>
      </c>
      <c r="AE150" s="1506">
        <f t="shared" si="114"/>
        <v>0.54829124882477365</v>
      </c>
      <c r="AF150" s="1506">
        <f t="shared" si="115"/>
        <v>0.19081699722735784</v>
      </c>
      <c r="AG150" s="1506">
        <f t="shared" si="116"/>
        <v>4.4537297594627399E-2</v>
      </c>
      <c r="AH150" s="1506">
        <f t="shared" si="129"/>
        <v>0</v>
      </c>
      <c r="AI150" s="1506">
        <f t="shared" si="117"/>
        <v>0.21635445635324108</v>
      </c>
      <c r="AJ150" s="1543">
        <f t="shared" si="118"/>
        <v>1</v>
      </c>
      <c r="AK150" s="1557">
        <f t="shared" si="119"/>
        <v>33263.923175206815</v>
      </c>
      <c r="AL150" s="1500">
        <f t="shared" si="120"/>
        <v>915.88185967576169</v>
      </c>
      <c r="AM150" s="1500">
        <f t="shared" si="121"/>
        <v>40.049138925132326</v>
      </c>
      <c r="AN150" s="1500">
        <f t="shared" si="122"/>
        <v>34219.854173807711</v>
      </c>
      <c r="AO150" s="1565">
        <f t="shared" si="123"/>
        <v>0</v>
      </c>
    </row>
    <row r="151" spans="1:41">
      <c r="A151" s="873">
        <f>'Input data'!A131</f>
        <v>2031</v>
      </c>
      <c r="B151" s="1553">
        <f>'Input data'!B131</f>
        <v>66.518977190687664</v>
      </c>
      <c r="C151" s="1552">
        <f>'Input data'!C131</f>
        <v>3813.477009093895</v>
      </c>
      <c r="D151" s="1552">
        <f>'Input data'!D131</f>
        <v>40172018.684421316</v>
      </c>
      <c r="E151" s="1510">
        <f>'Input data'!J131*C151</f>
        <v>46033.118984046108</v>
      </c>
      <c r="F151" s="1511">
        <f>'Input data'!L131</f>
        <v>86205.137668467418</v>
      </c>
      <c r="G151" s="1511">
        <f>$G$150*(1+((($G$160/$G$150)^(1/($A$160-$A$150)))-1))^(A151-$A$150)</f>
        <v>33020.827958397946</v>
      </c>
      <c r="H151" s="1511">
        <f t="shared" si="125"/>
        <v>31092.825238054618</v>
      </c>
      <c r="I151" s="1513">
        <f t="shared" si="99"/>
        <v>40172.018684421317</v>
      </c>
      <c r="J151" s="1506">
        <f t="shared" ref="J151:J170" si="132">J150</f>
        <v>0.2</v>
      </c>
      <c r="K151" s="1514">
        <f t="shared" si="126"/>
        <v>5561.9068320553706</v>
      </c>
      <c r="L151" s="1514">
        <f t="shared" si="101"/>
        <v>0</v>
      </c>
      <c r="M151" s="1511">
        <f t="shared" si="127"/>
        <v>5561.9068320553706</v>
      </c>
      <c r="N151" s="1456">
        <f t="shared" si="131"/>
        <v>0.5</v>
      </c>
      <c r="O151" s="1513">
        <f t="shared" si="102"/>
        <v>751.91700000000026</v>
      </c>
      <c r="P151" s="1698">
        <f t="shared" si="130"/>
        <v>6313.823832055371</v>
      </c>
      <c r="Q151" s="1366">
        <f t="shared" si="103"/>
        <v>57799.829364397192</v>
      </c>
      <c r="R151" s="1366">
        <f t="shared" si="128"/>
        <v>24779.001405999246</v>
      </c>
      <c r="S151" s="1091">
        <f t="shared" si="104"/>
        <v>0.9655831333760263</v>
      </c>
      <c r="T151" s="135" t="str">
        <f t="shared" si="105"/>
        <v>Yes</v>
      </c>
      <c r="U151" s="1091">
        <f t="shared" si="106"/>
        <v>0.9655831333760263</v>
      </c>
      <c r="V151" s="1496">
        <f t="shared" si="97"/>
        <v>61426.136262468179</v>
      </c>
      <c r="W151" s="1493">
        <f t="shared" si="98"/>
        <v>0.28744228100760905</v>
      </c>
      <c r="X151" s="527">
        <f t="shared" si="107"/>
        <v>33020.827958397946</v>
      </c>
      <c r="Y151" s="1511">
        <f t="shared" si="108"/>
        <v>11720.650339046395</v>
      </c>
      <c r="Z151" s="528">
        <f t="shared" si="109"/>
        <v>2832.1304900599107</v>
      </c>
      <c r="AA151" s="528">
        <f t="shared" si="110"/>
        <v>0</v>
      </c>
      <c r="AB151" s="528">
        <f t="shared" si="111"/>
        <v>13852.527474963932</v>
      </c>
      <c r="AC151" s="528">
        <f t="shared" si="112"/>
        <v>61426.136262468179</v>
      </c>
      <c r="AD151" s="1489">
        <f t="shared" si="113"/>
        <v>0</v>
      </c>
      <c r="AE151" s="1506">
        <f t="shared" si="114"/>
        <v>0.53756967257883537</v>
      </c>
      <c r="AF151" s="1506">
        <f t="shared" si="115"/>
        <v>0.19080884867908904</v>
      </c>
      <c r="AG151" s="1506">
        <f t="shared" si="116"/>
        <v>4.610627759425532E-2</v>
      </c>
      <c r="AH151" s="1506">
        <f t="shared" si="129"/>
        <v>0</v>
      </c>
      <c r="AI151" s="1506">
        <f t="shared" si="117"/>
        <v>0.22551520114782034</v>
      </c>
      <c r="AJ151" s="1543">
        <f t="shared" si="118"/>
        <v>1</v>
      </c>
      <c r="AK151" s="1557">
        <f t="shared" si="119"/>
        <v>32137.614947537055</v>
      </c>
      <c r="AL151" s="1500">
        <f t="shared" si="120"/>
        <v>845.56875669134217</v>
      </c>
      <c r="AM151" s="1500">
        <f t="shared" si="121"/>
        <v>37.644254169548127</v>
      </c>
      <c r="AN151" s="1500">
        <f t="shared" si="122"/>
        <v>33020.827958397946</v>
      </c>
      <c r="AO151" s="1565">
        <f t="shared" si="123"/>
        <v>0</v>
      </c>
    </row>
    <row r="152" spans="1:41">
      <c r="A152" s="873">
        <f>'Input data'!A132</f>
        <v>2032</v>
      </c>
      <c r="B152" s="1553">
        <f>'Input data'!B132</f>
        <v>67.08666821358311</v>
      </c>
      <c r="C152" s="1552">
        <f>'Input data'!C132</f>
        <v>3916.9054384503629</v>
      </c>
      <c r="D152" s="1552">
        <f>'Input data'!D132</f>
        <v>39638613.148632608</v>
      </c>
      <c r="E152" s="1510">
        <f>'Input data'!J132*C152</f>
        <v>47281.620858725182</v>
      </c>
      <c r="F152" s="1511">
        <f>'Input data'!L132</f>
        <v>86920.234007357794</v>
      </c>
      <c r="G152" s="1511">
        <f t="shared" ref="G152:G159" si="133">$G$150*(1+((($G$160/$G$150)^(1/($A$160-$A$150)))-1))^(A152-$A$150)</f>
        <v>31863.814308498775</v>
      </c>
      <c r="H152" s="1511">
        <f t="shared" si="125"/>
        <v>32465.662521345956</v>
      </c>
      <c r="I152" s="1513">
        <f t="shared" si="99"/>
        <v>39638.613148632605</v>
      </c>
      <c r="J152" s="1506">
        <f t="shared" si="132"/>
        <v>0.2</v>
      </c>
      <c r="K152" s="1514">
        <f t="shared" si="126"/>
        <v>5488.0556293795662</v>
      </c>
      <c r="L152" s="1514">
        <f t="shared" si="101"/>
        <v>0</v>
      </c>
      <c r="M152" s="1511">
        <f t="shared" si="127"/>
        <v>5488.0556293795662</v>
      </c>
      <c r="N152" s="1456">
        <f t="shared" si="131"/>
        <v>0.5</v>
      </c>
      <c r="O152" s="1513">
        <f t="shared" si="102"/>
        <v>751.91700000000026</v>
      </c>
      <c r="P152" s="1698">
        <f t="shared" si="130"/>
        <v>6239.9726293795666</v>
      </c>
      <c r="Q152" s="1366">
        <f t="shared" si="103"/>
        <v>58089.504200465162</v>
      </c>
      <c r="R152" s="1366">
        <f t="shared" si="128"/>
        <v>26225.689891966387</v>
      </c>
      <c r="S152" s="1091">
        <f t="shared" si="104"/>
        <v>0.99420273591937869</v>
      </c>
      <c r="T152" s="135" t="str">
        <f t="shared" si="105"/>
        <v>Yes</v>
      </c>
      <c r="U152" s="1091">
        <f t="shared" si="106"/>
        <v>0.99420273591937869</v>
      </c>
      <c r="V152" s="1496">
        <f t="shared" si="97"/>
        <v>60694.5441153914</v>
      </c>
      <c r="W152" s="1493">
        <f t="shared" si="98"/>
        <v>0.30172134476474588</v>
      </c>
      <c r="X152" s="527">
        <f t="shared" si="107"/>
        <v>31863.814308498775</v>
      </c>
      <c r="Y152" s="1511">
        <f t="shared" si="108"/>
        <v>11713.946941305298</v>
      </c>
      <c r="Z152" s="528">
        <f t="shared" si="109"/>
        <v>2888.549661721353</v>
      </c>
      <c r="AA152" s="528">
        <f t="shared" si="110"/>
        <v>0</v>
      </c>
      <c r="AB152" s="528">
        <f t="shared" si="111"/>
        <v>14228.233203865982</v>
      </c>
      <c r="AC152" s="528">
        <f t="shared" si="112"/>
        <v>60694.5441153914</v>
      </c>
      <c r="AD152" s="1489">
        <f t="shared" si="113"/>
        <v>0</v>
      </c>
      <c r="AE152" s="1506">
        <f t="shared" si="114"/>
        <v>0.52498646744787891</v>
      </c>
      <c r="AF152" s="1506">
        <f t="shared" si="115"/>
        <v>0.19299835120328027</v>
      </c>
      <c r="AG152" s="1506">
        <f t="shared" si="116"/>
        <v>4.7591586753328162E-2</v>
      </c>
      <c r="AH152" s="1506">
        <f t="shared" si="129"/>
        <v>0</v>
      </c>
      <c r="AI152" s="1506">
        <f t="shared" si="117"/>
        <v>0.23442359459551282</v>
      </c>
      <c r="AJ152" s="1543">
        <f t="shared" si="118"/>
        <v>1.0000000000000002</v>
      </c>
      <c r="AK152" s="1557">
        <f t="shared" si="119"/>
        <v>31710.890518906082</v>
      </c>
      <c r="AL152" s="1500">
        <f t="shared" si="120"/>
        <v>146.29269396224635</v>
      </c>
      <c r="AM152" s="1500">
        <f t="shared" si="121"/>
        <v>6.6310956304419584</v>
      </c>
      <c r="AN152" s="1500">
        <f t="shared" si="122"/>
        <v>31863.814308498768</v>
      </c>
      <c r="AO152" s="1565">
        <f t="shared" si="123"/>
        <v>0</v>
      </c>
    </row>
    <row r="153" spans="1:41">
      <c r="A153" s="873">
        <f>'Input data'!A133</f>
        <v>2033</v>
      </c>
      <c r="B153" s="1553">
        <f>'Input data'!B133</f>
        <v>67.659204065895452</v>
      </c>
      <c r="C153" s="1552">
        <f>'Input data'!C133</f>
        <v>4023.8304695138613</v>
      </c>
      <c r="D153" s="1552">
        <f>'Input data'!D133</f>
        <v>38783300.848650038</v>
      </c>
      <c r="E153" s="1510">
        <f>'Input data'!J133*C153</f>
        <v>48572.330797602815</v>
      </c>
      <c r="F153" s="1511">
        <f>'Input data'!L133</f>
        <v>87355.631646252848</v>
      </c>
      <c r="G153" s="1511">
        <f t="shared" si="133"/>
        <v>30747.341149823493</v>
      </c>
      <c r="H153" s="1511">
        <f t="shared" si="125"/>
        <v>33520.084470341717</v>
      </c>
      <c r="I153" s="1513">
        <f t="shared" si="99"/>
        <v>38783.30084865004</v>
      </c>
      <c r="J153" s="1506">
        <f t="shared" si="132"/>
        <v>0.2</v>
      </c>
      <c r="K153" s="1514">
        <f t="shared" si="126"/>
        <v>5369.6357072396104</v>
      </c>
      <c r="L153" s="1514">
        <f t="shared" si="101"/>
        <v>0</v>
      </c>
      <c r="M153" s="1511">
        <f t="shared" si="127"/>
        <v>5369.6357072396104</v>
      </c>
      <c r="N153" s="1456">
        <f t="shared" si="131"/>
        <v>0.5</v>
      </c>
      <c r="O153" s="1513">
        <f t="shared" si="102"/>
        <v>751.91700000000026</v>
      </c>
      <c r="P153" s="1698">
        <f t="shared" si="130"/>
        <v>6121.5527072396108</v>
      </c>
      <c r="Q153" s="1366">
        <f t="shared" si="103"/>
        <v>58145.872912925595</v>
      </c>
      <c r="R153" s="1366">
        <f t="shared" si="128"/>
        <v>27398.531763102103</v>
      </c>
      <c r="S153" s="1091">
        <f t="shared" si="104"/>
        <v>1.0102989467654</v>
      </c>
      <c r="T153" s="135" t="str">
        <f t="shared" si="105"/>
        <v>No</v>
      </c>
      <c r="U153" s="1091">
        <f t="shared" si="106"/>
        <v>1</v>
      </c>
      <c r="V153" s="1496">
        <f t="shared" si="97"/>
        <v>60236.399412247294</v>
      </c>
      <c r="W153" s="1493">
        <f t="shared" si="98"/>
        <v>0.31044629548126956</v>
      </c>
      <c r="X153" s="527">
        <f t="shared" si="107"/>
        <v>31026.640678920034</v>
      </c>
      <c r="Y153" s="1511">
        <f t="shared" si="108"/>
        <v>11646.242134050357</v>
      </c>
      <c r="Z153" s="528">
        <f t="shared" si="109"/>
        <v>2946.8761945712818</v>
      </c>
      <c r="AA153" s="528">
        <f t="shared" si="110"/>
        <v>0</v>
      </c>
      <c r="AB153" s="528">
        <f t="shared" si="111"/>
        <v>14616.640404705622</v>
      </c>
      <c r="AC153" s="528">
        <f t="shared" si="112"/>
        <v>60236.399412247294</v>
      </c>
      <c r="AD153" s="1489">
        <f t="shared" si="113"/>
        <v>279.29952909654094</v>
      </c>
      <c r="AE153" s="1506">
        <f t="shared" si="114"/>
        <v>0.51508126285203693</v>
      </c>
      <c r="AF153" s="1506">
        <f t="shared" si="115"/>
        <v>0.19334226892191098</v>
      </c>
      <c r="AG153" s="1506">
        <f t="shared" si="116"/>
        <v>4.8921851626678094E-2</v>
      </c>
      <c r="AH153" s="1506">
        <f t="shared" si="129"/>
        <v>0</v>
      </c>
      <c r="AI153" s="1506">
        <f t="shared" si="117"/>
        <v>0.24265461659937396</v>
      </c>
      <c r="AJ153" s="1543">
        <f t="shared" si="118"/>
        <v>0.99999999999999989</v>
      </c>
      <c r="AK153" s="1557">
        <f t="shared" si="119"/>
        <v>31026.64067892003</v>
      </c>
      <c r="AL153" s="1500">
        <f t="shared" si="120"/>
        <v>0</v>
      </c>
      <c r="AM153" s="1500">
        <f t="shared" si="121"/>
        <v>0</v>
      </c>
      <c r="AN153" s="1500">
        <f t="shared" si="122"/>
        <v>31026.64067892003</v>
      </c>
      <c r="AO153" s="1565">
        <f t="shared" si="123"/>
        <v>0</v>
      </c>
    </row>
    <row r="154" spans="1:41">
      <c r="A154" s="873">
        <f>'Input data'!A134</f>
        <v>2034</v>
      </c>
      <c r="B154" s="1553">
        <f>'Input data'!B134</f>
        <v>68.236626094715163</v>
      </c>
      <c r="C154" s="1552">
        <f>'Input data'!C134</f>
        <v>4047.8499716455863</v>
      </c>
      <c r="D154" s="1552">
        <f>'Input data'!D134</f>
        <v>38249557.30478432</v>
      </c>
      <c r="E154" s="1510">
        <f>'Input data'!J134*C154</f>
        <v>48862.27422637675</v>
      </c>
      <c r="F154" s="1511">
        <f>'Input data'!L134</f>
        <v>87111.831531161064</v>
      </c>
      <c r="G154" s="1511">
        <f t="shared" si="133"/>
        <v>29669.987987956312</v>
      </c>
      <c r="H154" s="1511">
        <f t="shared" si="125"/>
        <v>34262.916400210044</v>
      </c>
      <c r="I154" s="1513">
        <f t="shared" si="99"/>
        <v>38249.557304784321</v>
      </c>
      <c r="J154" s="1506">
        <f t="shared" si="132"/>
        <v>0.2</v>
      </c>
      <c r="K154" s="1514">
        <f t="shared" si="126"/>
        <v>5295.7377065811706</v>
      </c>
      <c r="L154" s="1514">
        <f t="shared" si="101"/>
        <v>0</v>
      </c>
      <c r="M154" s="1511">
        <f t="shared" si="127"/>
        <v>5295.7377065811706</v>
      </c>
      <c r="N154" s="1456">
        <f t="shared" si="131"/>
        <v>0.5</v>
      </c>
      <c r="O154" s="1513">
        <f t="shared" si="102"/>
        <v>751.91700000000026</v>
      </c>
      <c r="P154" s="1698">
        <f t="shared" si="130"/>
        <v>6047.654706581171</v>
      </c>
      <c r="Q154" s="1366">
        <f t="shared" si="103"/>
        <v>57885.249681585185</v>
      </c>
      <c r="R154" s="1366">
        <f t="shared" si="128"/>
        <v>28215.261693628872</v>
      </c>
      <c r="S154" s="1091">
        <f t="shared" si="104"/>
        <v>1.0340713682350209</v>
      </c>
      <c r="T154" s="135" t="str">
        <f t="shared" si="105"/>
        <v>No</v>
      </c>
      <c r="U154" s="1091">
        <f t="shared" si="106"/>
        <v>1</v>
      </c>
      <c r="V154" s="1496">
        <f t="shared" si="97"/>
        <v>59826.227693403351</v>
      </c>
      <c r="W154" s="1493">
        <f t="shared" si="98"/>
        <v>0.31322500466537995</v>
      </c>
      <c r="X154" s="527">
        <f t="shared" si="107"/>
        <v>30599.645843827457</v>
      </c>
      <c r="Y154" s="1511">
        <f t="shared" si="108"/>
        <v>11562.711556108356</v>
      </c>
      <c r="Z154" s="528">
        <f t="shared" si="109"/>
        <v>2959.9785922623614</v>
      </c>
      <c r="AA154" s="528">
        <f t="shared" si="110"/>
        <v>0</v>
      </c>
      <c r="AB154" s="528">
        <f t="shared" si="111"/>
        <v>14703.891701205175</v>
      </c>
      <c r="AC154" s="528">
        <f t="shared" si="112"/>
        <v>59826.227693403351</v>
      </c>
      <c r="AD154" s="1489">
        <f t="shared" si="113"/>
        <v>929.65785587114442</v>
      </c>
      <c r="AE154" s="1506">
        <f t="shared" si="114"/>
        <v>0.51147543516606309</v>
      </c>
      <c r="AF154" s="1506">
        <f t="shared" si="115"/>
        <v>0.19327161350310745</v>
      </c>
      <c r="AG154" s="1506">
        <f t="shared" si="116"/>
        <v>4.9476269963595568E-2</v>
      </c>
      <c r="AH154" s="1506">
        <f t="shared" si="129"/>
        <v>0</v>
      </c>
      <c r="AI154" s="1506">
        <f t="shared" si="117"/>
        <v>0.24577668136723382</v>
      </c>
      <c r="AJ154" s="1543">
        <f t="shared" si="118"/>
        <v>0.99999999999999989</v>
      </c>
      <c r="AK154" s="1557">
        <f t="shared" si="119"/>
        <v>30599.645843827453</v>
      </c>
      <c r="AL154" s="1500">
        <f t="shared" si="120"/>
        <v>0</v>
      </c>
      <c r="AM154" s="1500">
        <f t="shared" si="121"/>
        <v>0</v>
      </c>
      <c r="AN154" s="1500">
        <f t="shared" si="122"/>
        <v>30599.645843827453</v>
      </c>
      <c r="AO154" s="1565">
        <f t="shared" si="123"/>
        <v>0</v>
      </c>
    </row>
    <row r="155" spans="1:41">
      <c r="A155" s="873">
        <f>'Input data'!A135</f>
        <v>2035</v>
      </c>
      <c r="B155" s="1553">
        <f>'Input data'!B135</f>
        <v>68.818976000000006</v>
      </c>
      <c r="C155" s="1552">
        <f>'Input data'!C135</f>
        <v>0</v>
      </c>
      <c r="D155" s="1552">
        <f>'Input data'!D135</f>
        <v>38181094.662935674</v>
      </c>
      <c r="E155" s="1510">
        <f>'Input data'!J135*C155</f>
        <v>0</v>
      </c>
      <c r="F155" s="1511">
        <f>'Input data'!L135</f>
        <v>38181.094662935677</v>
      </c>
      <c r="G155" s="1511">
        <f t="shared" si="133"/>
        <v>28630.384101050156</v>
      </c>
      <c r="H155" s="1511">
        <f t="shared" si="125"/>
        <v>7200.7505282938582</v>
      </c>
      <c r="I155" s="1513">
        <f t="shared" si="99"/>
        <v>38181.094662935677</v>
      </c>
      <c r="J155" s="1506">
        <f t="shared" si="132"/>
        <v>0.2</v>
      </c>
      <c r="K155" s="1514">
        <f t="shared" si="126"/>
        <v>5286.2588989954775</v>
      </c>
      <c r="L155" s="1514">
        <f t="shared" si="101"/>
        <v>0</v>
      </c>
      <c r="M155" s="1511">
        <f t="shared" si="127"/>
        <v>5286.2588989954775</v>
      </c>
      <c r="N155" s="1456">
        <f t="shared" si="131"/>
        <v>0.5</v>
      </c>
      <c r="O155" s="1513">
        <f t="shared" si="102"/>
        <v>751.91700000000026</v>
      </c>
      <c r="P155" s="1698">
        <f t="shared" si="130"/>
        <v>6038.1758989954778</v>
      </c>
      <c r="Q155" s="1366">
        <f t="shared" si="103"/>
        <v>29792.958730348539</v>
      </c>
      <c r="R155" s="1366">
        <f t="shared" si="128"/>
        <v>1162.5746292983822</v>
      </c>
      <c r="S155" s="1091">
        <f t="shared" si="104"/>
        <v>-1.5461475525867543</v>
      </c>
      <c r="T155" s="135" t="str">
        <f t="shared" si="105"/>
        <v>No</v>
      </c>
      <c r="U155" s="1091">
        <f t="shared" si="106"/>
        <v>0</v>
      </c>
      <c r="V155" s="1496">
        <f t="shared" si="97"/>
        <v>38181.094662935677</v>
      </c>
      <c r="W155" s="1493">
        <f t="shared" si="98"/>
        <v>0</v>
      </c>
      <c r="X155" s="527">
        <f t="shared" si="107"/>
        <v>29792.958730348542</v>
      </c>
      <c r="Y155" s="1511">
        <f t="shared" si="108"/>
        <v>7636.2189325871359</v>
      </c>
      <c r="Z155" s="528">
        <f t="shared" si="109"/>
        <v>751.91700000000026</v>
      </c>
      <c r="AA155" s="528">
        <f t="shared" si="110"/>
        <v>0</v>
      </c>
      <c r="AB155" s="528">
        <f t="shared" si="111"/>
        <v>0</v>
      </c>
      <c r="AC155" s="528">
        <f t="shared" si="112"/>
        <v>38181.094662935677</v>
      </c>
      <c r="AD155" s="1489">
        <f t="shared" si="113"/>
        <v>1162.5746292983858</v>
      </c>
      <c r="AE155" s="1506">
        <f t="shared" si="114"/>
        <v>0.7803065625373512</v>
      </c>
      <c r="AF155" s="1506">
        <f t="shared" si="115"/>
        <v>0.2</v>
      </c>
      <c r="AG155" s="1506">
        <f t="shared" si="116"/>
        <v>1.9693437462648868E-2</v>
      </c>
      <c r="AH155" s="1506">
        <f t="shared" si="129"/>
        <v>0</v>
      </c>
      <c r="AI155" s="1506">
        <f t="shared" si="117"/>
        <v>0</v>
      </c>
      <c r="AJ155" s="1543">
        <f t="shared" si="118"/>
        <v>1.0000000000000002</v>
      </c>
      <c r="AK155" s="1557">
        <f t="shared" si="119"/>
        <v>30544.875730348536</v>
      </c>
      <c r="AL155" s="1500">
        <f t="shared" si="120"/>
        <v>0</v>
      </c>
      <c r="AM155" s="1500">
        <f t="shared" si="121"/>
        <v>-751.91700000000026</v>
      </c>
      <c r="AN155" s="1500">
        <f t="shared" si="122"/>
        <v>29792.958730348535</v>
      </c>
      <c r="AO155" s="1565">
        <f t="shared" si="123"/>
        <v>0</v>
      </c>
    </row>
    <row r="156" spans="1:41">
      <c r="A156" s="873">
        <f>'Input data'!A136</f>
        <v>2036</v>
      </c>
      <c r="B156" s="1553">
        <f>'Input data'!B136</f>
        <v>69.322810489383542</v>
      </c>
      <c r="C156" s="1552">
        <f>'Input data'!C136</f>
        <v>0</v>
      </c>
      <c r="D156" s="1552">
        <f>'Input data'!D136</f>
        <v>32537026.437175773</v>
      </c>
      <c r="E156" s="1510">
        <f>'Input data'!J136*C156</f>
        <v>0</v>
      </c>
      <c r="F156" s="1511">
        <f>'Input data'!L136</f>
        <v>32537.026437175773</v>
      </c>
      <c r="G156" s="1511">
        <f t="shared" si="133"/>
        <v>27627.206795850379</v>
      </c>
      <c r="H156" s="1511">
        <f t="shared" si="125"/>
        <v>2907.2392435060901</v>
      </c>
      <c r="I156" s="1513">
        <f t="shared" si="99"/>
        <v>32537.026437175773</v>
      </c>
      <c r="J156" s="1506">
        <f t="shared" si="132"/>
        <v>0.2</v>
      </c>
      <c r="K156" s="1514">
        <f t="shared" si="126"/>
        <v>4504.8248896158502</v>
      </c>
      <c r="L156" s="1514">
        <f t="shared" si="101"/>
        <v>0</v>
      </c>
      <c r="M156" s="1511">
        <f t="shared" si="127"/>
        <v>4504.8248896158502</v>
      </c>
      <c r="N156" s="1456">
        <f t="shared" si="131"/>
        <v>0.5</v>
      </c>
      <c r="O156" s="1513">
        <f t="shared" si="102"/>
        <v>751.91700000000026</v>
      </c>
      <c r="P156" s="1698">
        <f t="shared" si="130"/>
        <v>5256.7418896158506</v>
      </c>
      <c r="Q156" s="1366">
        <f t="shared" si="103"/>
        <v>25277.704149740617</v>
      </c>
      <c r="R156" s="1366">
        <f t="shared" si="128"/>
        <v>-2349.5026461097623</v>
      </c>
      <c r="S156" s="1091">
        <f t="shared" si="104"/>
        <v>3.1246835037773559</v>
      </c>
      <c r="T156" s="135" t="str">
        <f t="shared" si="105"/>
        <v>No</v>
      </c>
      <c r="U156" s="1091">
        <f t="shared" si="106"/>
        <v>1</v>
      </c>
      <c r="V156" s="1496">
        <f t="shared" si="97"/>
        <v>33288.943437175774</v>
      </c>
      <c r="W156" s="1493">
        <f t="shared" si="98"/>
        <v>-2.310957952632342E-2</v>
      </c>
      <c r="X156" s="527">
        <f t="shared" si="107"/>
        <v>26029.621149740618</v>
      </c>
      <c r="Y156" s="1511">
        <f t="shared" si="108"/>
        <v>6507.4052874351546</v>
      </c>
      <c r="Z156" s="528">
        <f t="shared" si="109"/>
        <v>751.91700000000026</v>
      </c>
      <c r="AA156" s="528">
        <f t="shared" si="110"/>
        <v>0</v>
      </c>
      <c r="AB156" s="528">
        <f t="shared" si="111"/>
        <v>0</v>
      </c>
      <c r="AC156" s="528">
        <f t="shared" si="112"/>
        <v>33288.943437175774</v>
      </c>
      <c r="AD156" s="1489">
        <f t="shared" si="113"/>
        <v>-1597.585646109761</v>
      </c>
      <c r="AE156" s="1506">
        <f t="shared" si="114"/>
        <v>0.78192992814159934</v>
      </c>
      <c r="AF156" s="1506">
        <f t="shared" si="115"/>
        <v>0.19548248203539983</v>
      </c>
      <c r="AG156" s="1506">
        <f t="shared" si="116"/>
        <v>2.2587589823000784E-2</v>
      </c>
      <c r="AH156" s="1506">
        <f t="shared" si="129"/>
        <v>0</v>
      </c>
      <c r="AI156" s="1506">
        <f t="shared" si="117"/>
        <v>0</v>
      </c>
      <c r="AJ156" s="1543">
        <f t="shared" si="118"/>
        <v>1</v>
      </c>
      <c r="AK156" s="1557">
        <f t="shared" si="119"/>
        <v>26029.621149740618</v>
      </c>
      <c r="AL156" s="1500">
        <f t="shared" si="120"/>
        <v>0</v>
      </c>
      <c r="AM156" s="1500">
        <f t="shared" si="121"/>
        <v>0</v>
      </c>
      <c r="AN156" s="1500">
        <f t="shared" si="122"/>
        <v>26029.621149740618</v>
      </c>
      <c r="AO156" s="1565">
        <f t="shared" si="123"/>
        <v>0</v>
      </c>
    </row>
    <row r="157" spans="1:41">
      <c r="A157" s="873">
        <f>'Input data'!A137</f>
        <v>2037</v>
      </c>
      <c r="B157" s="1553">
        <f>'Input data'!B137</f>
        <v>69.830333629884052</v>
      </c>
      <c r="C157" s="1552">
        <f>'Input data'!C137</f>
        <v>0</v>
      </c>
      <c r="D157" s="1552">
        <f>'Input data'!D137</f>
        <v>27502394.556130182</v>
      </c>
      <c r="E157" s="1510">
        <f>'Input data'!J137*C157</f>
        <v>0</v>
      </c>
      <c r="F157" s="1511">
        <f>'Input data'!L137</f>
        <v>27502.394556130181</v>
      </c>
      <c r="G157" s="1511">
        <f t="shared" si="133"/>
        <v>26659.179724825448</v>
      </c>
      <c r="H157" s="1511">
        <f t="shared" si="125"/>
        <v>-849.4953595770894</v>
      </c>
      <c r="I157" s="1513">
        <f t="shared" si="99"/>
        <v>27502.394556130181</v>
      </c>
      <c r="J157" s="1506">
        <f t="shared" si="132"/>
        <v>0.2</v>
      </c>
      <c r="K157" s="1514">
        <f t="shared" si="126"/>
        <v>3807.768720344216</v>
      </c>
      <c r="L157" s="1514">
        <f t="shared" si="101"/>
        <v>0</v>
      </c>
      <c r="M157" s="1511">
        <f t="shared" si="127"/>
        <v>3807.768720344216</v>
      </c>
      <c r="N157" s="1456">
        <f t="shared" si="131"/>
        <v>0.5</v>
      </c>
      <c r="O157" s="1513">
        <f t="shared" si="102"/>
        <v>751.91700000000026</v>
      </c>
      <c r="P157" s="1698">
        <f t="shared" si="130"/>
        <v>4559.685720344216</v>
      </c>
      <c r="Q157" s="1366">
        <f t="shared" si="103"/>
        <v>21249.998644904143</v>
      </c>
      <c r="R157" s="1366">
        <f t="shared" si="128"/>
        <v>-5409.1810799213054</v>
      </c>
      <c r="S157" s="1091">
        <f t="shared" si="104"/>
        <v>7.1938539492008688</v>
      </c>
      <c r="T157" s="135" t="str">
        <f t="shared" si="105"/>
        <v>No</v>
      </c>
      <c r="U157" s="1091">
        <f t="shared" si="106"/>
        <v>1</v>
      </c>
      <c r="V157" s="1496">
        <f t="shared" si="97"/>
        <v>28254.311556130186</v>
      </c>
      <c r="W157" s="1493">
        <f t="shared" si="98"/>
        <v>-2.7340055734616175E-2</v>
      </c>
      <c r="X157" s="527">
        <f t="shared" si="107"/>
        <v>22001.915644904147</v>
      </c>
      <c r="Y157" s="1511">
        <f t="shared" si="108"/>
        <v>5500.4789112260369</v>
      </c>
      <c r="Z157" s="528">
        <f t="shared" si="109"/>
        <v>751.91700000000026</v>
      </c>
      <c r="AA157" s="528">
        <f t="shared" si="110"/>
        <v>0</v>
      </c>
      <c r="AB157" s="528">
        <f t="shared" si="111"/>
        <v>0</v>
      </c>
      <c r="AC157" s="528">
        <f t="shared" si="112"/>
        <v>28254.311556130186</v>
      </c>
      <c r="AD157" s="1489">
        <f t="shared" si="113"/>
        <v>-4657.2640799213004</v>
      </c>
      <c r="AE157" s="1506">
        <f t="shared" si="114"/>
        <v>0.77871002452829219</v>
      </c>
      <c r="AF157" s="1506">
        <f t="shared" si="115"/>
        <v>0.19467750613207305</v>
      </c>
      <c r="AG157" s="1506">
        <f t="shared" si="116"/>
        <v>2.6612469339634674E-2</v>
      </c>
      <c r="AH157" s="1506">
        <f t="shared" si="129"/>
        <v>0</v>
      </c>
      <c r="AI157" s="1506">
        <f t="shared" si="117"/>
        <v>0</v>
      </c>
      <c r="AJ157" s="1543">
        <f t="shared" si="118"/>
        <v>0.99999999999999989</v>
      </c>
      <c r="AK157" s="1557">
        <f t="shared" si="119"/>
        <v>22001.915644904144</v>
      </c>
      <c r="AL157" s="1500">
        <f t="shared" si="120"/>
        <v>0</v>
      </c>
      <c r="AM157" s="1500">
        <f t="shared" si="121"/>
        <v>0</v>
      </c>
      <c r="AN157" s="1500">
        <f t="shared" si="122"/>
        <v>22001.915644904144</v>
      </c>
      <c r="AO157" s="1565">
        <f t="shared" si="123"/>
        <v>0</v>
      </c>
    </row>
    <row r="158" spans="1:41">
      <c r="A158" s="873">
        <f>'Input data'!A138</f>
        <v>2038</v>
      </c>
      <c r="B158" s="1553">
        <f>'Input data'!B138</f>
        <v>70.341572426693446</v>
      </c>
      <c r="C158" s="1552">
        <f>'Input data'!C138</f>
        <v>0</v>
      </c>
      <c r="D158" s="1552">
        <f>'Input data'!D138</f>
        <v>25672806.243326273</v>
      </c>
      <c r="E158" s="1510">
        <f>'Input data'!J138*C158</f>
        <v>0</v>
      </c>
      <c r="F158" s="1511">
        <f>'Input data'!L138</f>
        <v>25672.806243326271</v>
      </c>
      <c r="G158" s="1511">
        <f t="shared" si="133"/>
        <v>25725.071262263602</v>
      </c>
      <c r="H158" s="1511">
        <f t="shared" si="125"/>
        <v>-1632.3681866059269</v>
      </c>
      <c r="I158" s="1513">
        <f t="shared" si="99"/>
        <v>25672.806243326271</v>
      </c>
      <c r="J158" s="1506">
        <f t="shared" si="132"/>
        <v>0.2</v>
      </c>
      <c r="K158" s="1514">
        <f t="shared" si="126"/>
        <v>3554.4580809966596</v>
      </c>
      <c r="L158" s="1514">
        <f t="shared" si="101"/>
        <v>0</v>
      </c>
      <c r="M158" s="1511">
        <f t="shared" si="127"/>
        <v>3554.4580809966596</v>
      </c>
      <c r="N158" s="1456">
        <f t="shared" si="131"/>
        <v>0.5</v>
      </c>
      <c r="O158" s="1513">
        <f t="shared" si="102"/>
        <v>751.91700000000026</v>
      </c>
      <c r="P158" s="1698">
        <f t="shared" si="130"/>
        <v>4306.3750809966596</v>
      </c>
      <c r="Q158" s="1366">
        <f t="shared" si="103"/>
        <v>19786.327994661016</v>
      </c>
      <c r="R158" s="1366">
        <f t="shared" si="128"/>
        <v>-5938.7432676025855</v>
      </c>
      <c r="S158" s="1091">
        <f t="shared" si="104"/>
        <v>7.8981367193487788</v>
      </c>
      <c r="T158" s="135" t="str">
        <f t="shared" si="105"/>
        <v>No</v>
      </c>
      <c r="U158" s="1091">
        <f t="shared" si="106"/>
        <v>1</v>
      </c>
      <c r="V158" s="1496">
        <f t="shared" si="97"/>
        <v>26424.723243326272</v>
      </c>
      <c r="W158" s="1493">
        <f t="shared" si="98"/>
        <v>-2.9288461606937322E-2</v>
      </c>
      <c r="X158" s="527">
        <f t="shared" si="107"/>
        <v>20538.244994661018</v>
      </c>
      <c r="Y158" s="1511">
        <f t="shared" si="108"/>
        <v>5134.5612486652544</v>
      </c>
      <c r="Z158" s="528">
        <f t="shared" si="109"/>
        <v>751.91700000000026</v>
      </c>
      <c r="AA158" s="528">
        <f t="shared" si="110"/>
        <v>0</v>
      </c>
      <c r="AB158" s="528">
        <f t="shared" si="111"/>
        <v>0</v>
      </c>
      <c r="AC158" s="528">
        <f t="shared" si="112"/>
        <v>26424.723243326272</v>
      </c>
      <c r="AD158" s="1489">
        <f t="shared" si="113"/>
        <v>-5186.8262676025843</v>
      </c>
      <c r="AE158" s="1506">
        <f t="shared" si="114"/>
        <v>0.77723595458461725</v>
      </c>
      <c r="AF158" s="1506">
        <f t="shared" si="115"/>
        <v>0.19430898864615431</v>
      </c>
      <c r="AG158" s="1506">
        <f t="shared" si="116"/>
        <v>2.8455056769228475E-2</v>
      </c>
      <c r="AH158" s="1506">
        <f t="shared" si="129"/>
        <v>0</v>
      </c>
      <c r="AI158" s="1506">
        <f t="shared" si="117"/>
        <v>0</v>
      </c>
      <c r="AJ158" s="1543">
        <f t="shared" si="118"/>
        <v>1</v>
      </c>
      <c r="AK158" s="1557">
        <f t="shared" si="119"/>
        <v>20538.244994661014</v>
      </c>
      <c r="AL158" s="1500">
        <f t="shared" si="120"/>
        <v>0</v>
      </c>
      <c r="AM158" s="1500">
        <f t="shared" si="121"/>
        <v>0</v>
      </c>
      <c r="AN158" s="1500">
        <f t="shared" si="122"/>
        <v>20538.244994661014</v>
      </c>
      <c r="AO158" s="1565">
        <f t="shared" si="123"/>
        <v>0</v>
      </c>
    </row>
    <row r="159" spans="1:41">
      <c r="A159" s="873">
        <f>'Input data'!A139</f>
        <v>2039</v>
      </c>
      <c r="B159" s="1553">
        <f>'Input data'!B139</f>
        <v>70.856554082712819</v>
      </c>
      <c r="C159" s="1552">
        <f>'Input data'!C139</f>
        <v>0</v>
      </c>
      <c r="D159" s="1552">
        <f>'Input data'!D139</f>
        <v>23843217.930522356</v>
      </c>
      <c r="E159" s="1510">
        <f>'Input data'!J139*C159</f>
        <v>0</v>
      </c>
      <c r="F159" s="1511">
        <f>'Input data'!L139</f>
        <v>23843.217930522354</v>
      </c>
      <c r="G159" s="1511">
        <f t="shared" si="133"/>
        <v>24823.692937269236</v>
      </c>
      <c r="H159" s="1511">
        <f t="shared" si="125"/>
        <v>-2447.9711512022513</v>
      </c>
      <c r="I159" s="1513">
        <f t="shared" si="99"/>
        <v>23843.217930522354</v>
      </c>
      <c r="J159" s="1506">
        <f t="shared" si="132"/>
        <v>0.2</v>
      </c>
      <c r="K159" s="1514">
        <f t="shared" si="126"/>
        <v>3301.1474416491028</v>
      </c>
      <c r="L159" s="1514">
        <f t="shared" si="101"/>
        <v>0</v>
      </c>
      <c r="M159" s="1511">
        <f t="shared" si="127"/>
        <v>3301.1474416491028</v>
      </c>
      <c r="N159" s="1456">
        <f t="shared" si="131"/>
        <v>0.5</v>
      </c>
      <c r="O159" s="1513">
        <f t="shared" si="102"/>
        <v>751.91700000000026</v>
      </c>
      <c r="P159" s="1698">
        <f t="shared" si="130"/>
        <v>4053.0644416491032</v>
      </c>
      <c r="Q159" s="1366">
        <f t="shared" si="103"/>
        <v>18322.657344417879</v>
      </c>
      <c r="R159" s="1366">
        <f t="shared" si="128"/>
        <v>-6501.0355928513563</v>
      </c>
      <c r="S159" s="1091">
        <f t="shared" si="104"/>
        <v>8.6459484129914781</v>
      </c>
      <c r="T159" s="135" t="str">
        <f t="shared" si="105"/>
        <v>No</v>
      </c>
      <c r="U159" s="1091">
        <f t="shared" si="106"/>
        <v>1</v>
      </c>
      <c r="V159" s="1496">
        <f t="shared" si="97"/>
        <v>24595.134930522356</v>
      </c>
      <c r="W159" s="1493">
        <f t="shared" si="98"/>
        <v>-3.1535885893885673E-2</v>
      </c>
      <c r="X159" s="527">
        <f t="shared" si="107"/>
        <v>19074.574344417884</v>
      </c>
      <c r="Y159" s="1511">
        <f t="shared" si="108"/>
        <v>4768.6435861044711</v>
      </c>
      <c r="Z159" s="528">
        <f t="shared" si="109"/>
        <v>751.91700000000026</v>
      </c>
      <c r="AA159" s="528">
        <f t="shared" si="110"/>
        <v>0</v>
      </c>
      <c r="AB159" s="528">
        <f t="shared" si="111"/>
        <v>0</v>
      </c>
      <c r="AC159" s="528">
        <f t="shared" si="112"/>
        <v>24595.134930522356</v>
      </c>
      <c r="AD159" s="1489">
        <f t="shared" si="113"/>
        <v>-5749.1185928513514</v>
      </c>
      <c r="AE159" s="1506">
        <f t="shared" si="114"/>
        <v>0.77554257776185231</v>
      </c>
      <c r="AF159" s="1506">
        <f t="shared" si="115"/>
        <v>0.19388564444046308</v>
      </c>
      <c r="AG159" s="1506">
        <f t="shared" si="116"/>
        <v>3.0571777797684597E-2</v>
      </c>
      <c r="AH159" s="1506">
        <f t="shared" si="129"/>
        <v>0</v>
      </c>
      <c r="AI159" s="1506">
        <f t="shared" si="117"/>
        <v>0</v>
      </c>
      <c r="AJ159" s="1543">
        <f t="shared" si="118"/>
        <v>1</v>
      </c>
      <c r="AK159" s="1557">
        <f t="shared" si="119"/>
        <v>19074.574344417881</v>
      </c>
      <c r="AL159" s="1500">
        <f t="shared" si="120"/>
        <v>0</v>
      </c>
      <c r="AM159" s="1500">
        <f t="shared" si="121"/>
        <v>0</v>
      </c>
      <c r="AN159" s="1500">
        <f t="shared" si="122"/>
        <v>19074.574344417881</v>
      </c>
      <c r="AO159" s="1565">
        <f t="shared" si="123"/>
        <v>0</v>
      </c>
    </row>
    <row r="160" spans="1:41" s="1" customFormat="1">
      <c r="A160" s="873">
        <f>'Input data'!A140</f>
        <v>2040</v>
      </c>
      <c r="B160" s="1553">
        <f>'Input data'!B140</f>
        <v>71.375305999999995</v>
      </c>
      <c r="C160" s="1552">
        <f>'Input data'!C140</f>
        <v>0</v>
      </c>
      <c r="D160" s="1552">
        <f>'Input data'!D140</f>
        <v>22013629.617718432</v>
      </c>
      <c r="E160" s="1510">
        <f>'Input data'!J140*C160</f>
        <v>0</v>
      </c>
      <c r="F160" s="1511">
        <f>'Input data'!L140</f>
        <v>22013.62961771843</v>
      </c>
      <c r="G160" s="1511">
        <f>G137*(1-$C$5)</f>
        <v>23953.89792166539</v>
      </c>
      <c r="H160" s="1511">
        <f t="shared" si="125"/>
        <v>-3295.1574251890997</v>
      </c>
      <c r="I160" s="1513">
        <f t="shared" si="99"/>
        <v>22013.62961771843</v>
      </c>
      <c r="J160" s="1506">
        <f t="shared" si="132"/>
        <v>0.2</v>
      </c>
      <c r="K160" s="1514">
        <f t="shared" si="126"/>
        <v>3047.8368023015446</v>
      </c>
      <c r="L160" s="1514">
        <f t="shared" si="101"/>
        <v>0</v>
      </c>
      <c r="M160" s="1511">
        <f t="shared" si="127"/>
        <v>3047.8368023015446</v>
      </c>
      <c r="N160" s="1456">
        <f t="shared" si="131"/>
        <v>0.5</v>
      </c>
      <c r="O160" s="1513">
        <f t="shared" si="102"/>
        <v>751.91700000000026</v>
      </c>
      <c r="P160" s="1698">
        <f t="shared" si="130"/>
        <v>3799.753802301545</v>
      </c>
      <c r="Q160" s="1366">
        <f t="shared" si="103"/>
        <v>16858.986694174746</v>
      </c>
      <c r="R160" s="1366">
        <f t="shared" si="128"/>
        <v>-7094.9112274906438</v>
      </c>
      <c r="S160" s="1091">
        <f t="shared" si="104"/>
        <v>9.4357638243192614</v>
      </c>
      <c r="T160" s="135" t="str">
        <f t="shared" si="105"/>
        <v>No</v>
      </c>
      <c r="U160" s="1091">
        <f t="shared" si="106"/>
        <v>1</v>
      </c>
      <c r="V160" s="1496">
        <f t="shared" si="97"/>
        <v>22765.546617718432</v>
      </c>
      <c r="W160" s="1493">
        <f t="shared" si="98"/>
        <v>-3.4156884305657442E-2</v>
      </c>
      <c r="X160" s="527">
        <f t="shared" si="107"/>
        <v>17610.903694174744</v>
      </c>
      <c r="Y160" s="1511">
        <f t="shared" si="108"/>
        <v>4402.7259235436859</v>
      </c>
      <c r="Z160" s="528">
        <f t="shared" si="109"/>
        <v>751.91700000000026</v>
      </c>
      <c r="AA160" s="528">
        <f t="shared" si="110"/>
        <v>0</v>
      </c>
      <c r="AB160" s="528">
        <f t="shared" si="111"/>
        <v>0</v>
      </c>
      <c r="AC160" s="528">
        <f t="shared" si="112"/>
        <v>22765.546617718432</v>
      </c>
      <c r="AD160" s="1489">
        <f t="shared" si="113"/>
        <v>-6342.9942274906462</v>
      </c>
      <c r="AE160" s="1506">
        <f t="shared" si="114"/>
        <v>0.77357701925189759</v>
      </c>
      <c r="AF160" s="1506">
        <f t="shared" si="115"/>
        <v>0.1933942548129744</v>
      </c>
      <c r="AG160" s="1506">
        <f t="shared" si="116"/>
        <v>3.3028725935127907E-2</v>
      </c>
      <c r="AH160" s="1506">
        <f t="shared" si="129"/>
        <v>0</v>
      </c>
      <c r="AI160" s="1506">
        <f t="shared" si="117"/>
        <v>0</v>
      </c>
      <c r="AJ160" s="1543">
        <f t="shared" si="118"/>
        <v>0.99999999999999989</v>
      </c>
      <c r="AK160" s="1557">
        <f t="shared" si="119"/>
        <v>17610.903694174747</v>
      </c>
      <c r="AL160" s="1500">
        <f t="shared" si="120"/>
        <v>0</v>
      </c>
      <c r="AM160" s="1500">
        <f t="shared" si="121"/>
        <v>0</v>
      </c>
      <c r="AN160" s="1500">
        <f t="shared" si="122"/>
        <v>17610.903694174747</v>
      </c>
      <c r="AO160" s="1565">
        <f t="shared" si="123"/>
        <v>0</v>
      </c>
    </row>
    <row r="161" spans="1:41">
      <c r="A161" s="873">
        <f>'Input data'!A141</f>
        <v>2041</v>
      </c>
      <c r="B161" s="1553">
        <f>'Input data'!B141</f>
        <v>71.818612994947316</v>
      </c>
      <c r="C161" s="1552">
        <f>'Input data'!C141</f>
        <v>0</v>
      </c>
      <c r="D161" s="1552">
        <f>'Input data'!D141</f>
        <v>20405559.977125086</v>
      </c>
      <c r="E161" s="1510">
        <f>'Input data'!J141*C161</f>
        <v>0</v>
      </c>
      <c r="F161" s="1511">
        <f>'Input data'!L141</f>
        <v>20405.559977125085</v>
      </c>
      <c r="G161" s="1511">
        <f>$G$160*(1+((($G$170/$G$160)^(1/($A$170-$A$160)))-1))^(A161-$A$160)</f>
        <v>22650.218174049241</v>
      </c>
      <c r="H161" s="1511">
        <f t="shared" si="125"/>
        <v>-3500.5742682842356</v>
      </c>
      <c r="I161" s="1513">
        <f t="shared" si="99"/>
        <v>20405.559977125085</v>
      </c>
      <c r="J161" s="1506">
        <f t="shared" si="132"/>
        <v>0.2</v>
      </c>
      <c r="K161" s="1514">
        <f t="shared" si="126"/>
        <v>2825.1959240649376</v>
      </c>
      <c r="L161" s="1514">
        <f t="shared" si="101"/>
        <v>0</v>
      </c>
      <c r="M161" s="1511">
        <f t="shared" si="127"/>
        <v>2825.1959240649376</v>
      </c>
      <c r="N161" s="1456">
        <f t="shared" si="131"/>
        <v>0.5</v>
      </c>
      <c r="O161" s="1513">
        <f t="shared" si="102"/>
        <v>751.91700000000026</v>
      </c>
      <c r="P161" s="1698">
        <f t="shared" si="130"/>
        <v>3577.1129240649379</v>
      </c>
      <c r="Q161" s="1366">
        <f t="shared" si="103"/>
        <v>15572.530981700067</v>
      </c>
      <c r="R161" s="1366">
        <f t="shared" si="128"/>
        <v>-7077.6871923491744</v>
      </c>
      <c r="S161" s="1091">
        <f t="shared" si="104"/>
        <v>9.412856993988914</v>
      </c>
      <c r="T161" s="135" t="str">
        <f t="shared" si="105"/>
        <v>No</v>
      </c>
      <c r="U161" s="1091">
        <f t="shared" si="106"/>
        <v>1</v>
      </c>
      <c r="V161" s="1496">
        <f t="shared" si="97"/>
        <v>21157.476977125087</v>
      </c>
      <c r="W161" s="1493">
        <f t="shared" si="98"/>
        <v>-3.6848633452985835E-2</v>
      </c>
      <c r="X161" s="527">
        <f t="shared" si="107"/>
        <v>16324.447981700068</v>
      </c>
      <c r="Y161" s="1511">
        <f t="shared" si="108"/>
        <v>4081.1119954250171</v>
      </c>
      <c r="Z161" s="528">
        <f t="shared" si="109"/>
        <v>751.91700000000026</v>
      </c>
      <c r="AA161" s="528">
        <f t="shared" si="110"/>
        <v>0</v>
      </c>
      <c r="AB161" s="528">
        <f t="shared" si="111"/>
        <v>0</v>
      </c>
      <c r="AC161" s="528">
        <f t="shared" si="112"/>
        <v>21157.476977125087</v>
      </c>
      <c r="AD161" s="1489">
        <f t="shared" si="113"/>
        <v>-6325.7701923491732</v>
      </c>
      <c r="AE161" s="1506">
        <f t="shared" si="114"/>
        <v>0.77156874609149462</v>
      </c>
      <c r="AF161" s="1506">
        <f t="shared" si="115"/>
        <v>0.19289218652287365</v>
      </c>
      <c r="AG161" s="1506">
        <f t="shared" si="116"/>
        <v>3.5539067385631722E-2</v>
      </c>
      <c r="AH161" s="1506">
        <f t="shared" si="129"/>
        <v>0</v>
      </c>
      <c r="AI161" s="1506">
        <f t="shared" si="117"/>
        <v>0</v>
      </c>
      <c r="AJ161" s="1543">
        <f t="shared" si="118"/>
        <v>1</v>
      </c>
      <c r="AK161" s="1557">
        <f t="shared" si="119"/>
        <v>16324.447981700068</v>
      </c>
      <c r="AL161" s="1500">
        <f t="shared" si="120"/>
        <v>0</v>
      </c>
      <c r="AM161" s="1500">
        <f t="shared" si="121"/>
        <v>0</v>
      </c>
      <c r="AN161" s="1500">
        <f t="shared" si="122"/>
        <v>16324.447981700068</v>
      </c>
      <c r="AO161" s="1565">
        <f t="shared" si="123"/>
        <v>0</v>
      </c>
    </row>
    <row r="162" spans="1:41">
      <c r="A162" s="873">
        <f>'Input data'!A142</f>
        <v>2042</v>
      </c>
      <c r="B162" s="1553">
        <f>'Input data'!B142</f>
        <v>72.264673338395411</v>
      </c>
      <c r="C162" s="1552">
        <f>'Input data'!C142</f>
        <v>0</v>
      </c>
      <c r="D162" s="1552">
        <f>'Input data'!D142</f>
        <v>18797490.33653174</v>
      </c>
      <c r="E162" s="1510">
        <f>'Input data'!J142*C162</f>
        <v>0</v>
      </c>
      <c r="F162" s="1511">
        <f>'Input data'!L142</f>
        <v>18797.49033653174</v>
      </c>
      <c r="G162" s="1511">
        <f t="shared" ref="G162:G169" si="134">$G$160*(1+((($G$170/$G$160)^(1/($A$170-$A$160)))-1))^(A162-$A$160)</f>
        <v>21417.490590039302</v>
      </c>
      <c r="H162" s="1511">
        <f t="shared" si="125"/>
        <v>-3776.9432749855805</v>
      </c>
      <c r="I162" s="1513">
        <f t="shared" si="99"/>
        <v>18797.49033653174</v>
      </c>
      <c r="J162" s="1506">
        <f t="shared" si="132"/>
        <v>0.2</v>
      </c>
      <c r="K162" s="1514">
        <f t="shared" si="126"/>
        <v>2602.555045828331</v>
      </c>
      <c r="L162" s="1514">
        <f t="shared" si="101"/>
        <v>0</v>
      </c>
      <c r="M162" s="1511">
        <f t="shared" si="127"/>
        <v>2602.555045828331</v>
      </c>
      <c r="N162" s="1456">
        <f t="shared" si="131"/>
        <v>0.5</v>
      </c>
      <c r="O162" s="1513">
        <f t="shared" si="102"/>
        <v>751.91700000000026</v>
      </c>
      <c r="P162" s="1698">
        <f t="shared" si="130"/>
        <v>3354.4720458283314</v>
      </c>
      <c r="Q162" s="1366">
        <f t="shared" si="103"/>
        <v>14286.07526922539</v>
      </c>
      <c r="R162" s="1366">
        <f t="shared" si="128"/>
        <v>-7131.4153208139123</v>
      </c>
      <c r="S162" s="1091">
        <f t="shared" si="104"/>
        <v>9.4843118599710916</v>
      </c>
      <c r="T162" s="135" t="str">
        <f t="shared" si="105"/>
        <v>No</v>
      </c>
      <c r="U162" s="1091">
        <f t="shared" si="106"/>
        <v>1</v>
      </c>
      <c r="V162" s="1496">
        <f t="shared" si="97"/>
        <v>19549.407336531742</v>
      </c>
      <c r="W162" s="1493">
        <f t="shared" si="98"/>
        <v>-4.0000924939362692E-2</v>
      </c>
      <c r="X162" s="527">
        <f t="shared" si="107"/>
        <v>15037.992269225393</v>
      </c>
      <c r="Y162" s="1511">
        <f t="shared" si="108"/>
        <v>3759.4980673063483</v>
      </c>
      <c r="Z162" s="528">
        <f t="shared" si="109"/>
        <v>751.91700000000026</v>
      </c>
      <c r="AA162" s="528">
        <f t="shared" si="110"/>
        <v>0</v>
      </c>
      <c r="AB162" s="528">
        <f t="shared" si="111"/>
        <v>0</v>
      </c>
      <c r="AC162" s="528">
        <f t="shared" si="112"/>
        <v>19549.407336531742</v>
      </c>
      <c r="AD162" s="1489">
        <f t="shared" si="113"/>
        <v>-6379.4983208139092</v>
      </c>
      <c r="AE162" s="1506">
        <f t="shared" si="114"/>
        <v>0.7692300851046302</v>
      </c>
      <c r="AF162" s="1506">
        <f t="shared" si="115"/>
        <v>0.19230752127615755</v>
      </c>
      <c r="AG162" s="1506">
        <f t="shared" si="116"/>
        <v>3.8462393619212283E-2</v>
      </c>
      <c r="AH162" s="1506">
        <f t="shared" si="129"/>
        <v>0</v>
      </c>
      <c r="AI162" s="1506">
        <f t="shared" si="117"/>
        <v>0</v>
      </c>
      <c r="AJ162" s="1543">
        <f t="shared" si="118"/>
        <v>1</v>
      </c>
      <c r="AK162" s="1557">
        <f t="shared" si="119"/>
        <v>15037.992269225391</v>
      </c>
      <c r="AL162" s="1500">
        <f t="shared" si="120"/>
        <v>0</v>
      </c>
      <c r="AM162" s="1500">
        <f t="shared" si="121"/>
        <v>0</v>
      </c>
      <c r="AN162" s="1500">
        <f t="shared" si="122"/>
        <v>15037.992269225391</v>
      </c>
      <c r="AO162" s="1565">
        <f t="shared" si="123"/>
        <v>0</v>
      </c>
    </row>
    <row r="163" spans="1:41">
      <c r="A163" s="873">
        <f>'Input data'!A143</f>
        <v>2043</v>
      </c>
      <c r="B163" s="1553">
        <f>'Input data'!B143</f>
        <v>72.713504131197794</v>
      </c>
      <c r="C163" s="1552">
        <f>'Input data'!C143</f>
        <v>0</v>
      </c>
      <c r="D163" s="1552">
        <f>'Input data'!D143</f>
        <v>17189420.695938386</v>
      </c>
      <c r="E163" s="1510">
        <f>'Input data'!J143*C163</f>
        <v>0</v>
      </c>
      <c r="F163" s="1511">
        <f>'Input data'!L143</f>
        <v>17189.420695938385</v>
      </c>
      <c r="G163" s="1511">
        <f t="shared" si="134"/>
        <v>20251.853631148377</v>
      </c>
      <c r="H163" s="1511">
        <f t="shared" si="125"/>
        <v>-4120.4029068059463</v>
      </c>
      <c r="I163" s="1513">
        <f t="shared" si="99"/>
        <v>17189.420695938385</v>
      </c>
      <c r="J163" s="1506">
        <f t="shared" si="132"/>
        <v>0.2</v>
      </c>
      <c r="K163" s="1514">
        <f t="shared" si="126"/>
        <v>2379.9141675917226</v>
      </c>
      <c r="L163" s="1514">
        <f t="shared" si="101"/>
        <v>0</v>
      </c>
      <c r="M163" s="1511">
        <f t="shared" si="127"/>
        <v>2379.9141675917226</v>
      </c>
      <c r="N163" s="1456">
        <f t="shared" si="131"/>
        <v>0.5</v>
      </c>
      <c r="O163" s="1513">
        <f t="shared" si="102"/>
        <v>751.91700000000026</v>
      </c>
      <c r="P163" s="1698">
        <f t="shared" si="130"/>
        <v>3131.831167591723</v>
      </c>
      <c r="Q163" s="1366">
        <f t="shared" si="103"/>
        <v>12999.619556750707</v>
      </c>
      <c r="R163" s="1366">
        <f t="shared" si="128"/>
        <v>-7252.2340743976692</v>
      </c>
      <c r="S163" s="1091">
        <f t="shared" si="104"/>
        <v>9.6449928308545445</v>
      </c>
      <c r="T163" s="135" t="str">
        <f t="shared" si="105"/>
        <v>No</v>
      </c>
      <c r="U163" s="1091">
        <f t="shared" si="106"/>
        <v>1</v>
      </c>
      <c r="V163" s="1496">
        <f t="shared" si="97"/>
        <v>17941.337695938386</v>
      </c>
      <c r="W163" s="1493">
        <f t="shared" si="98"/>
        <v>-4.3743009918750131E-2</v>
      </c>
      <c r="X163" s="527">
        <f t="shared" si="107"/>
        <v>13751.536556750709</v>
      </c>
      <c r="Y163" s="1511">
        <f t="shared" si="108"/>
        <v>3437.8841391876772</v>
      </c>
      <c r="Z163" s="528">
        <f t="shared" si="109"/>
        <v>751.91700000000026</v>
      </c>
      <c r="AA163" s="528">
        <f t="shared" si="110"/>
        <v>0</v>
      </c>
      <c r="AB163" s="528">
        <f t="shared" si="111"/>
        <v>0</v>
      </c>
      <c r="AC163" s="528">
        <f t="shared" si="112"/>
        <v>17941.337695938386</v>
      </c>
      <c r="AD163" s="1489">
        <f t="shared" si="113"/>
        <v>-6500.317074397668</v>
      </c>
      <c r="AE163" s="1506">
        <f t="shared" si="114"/>
        <v>0.76647219899683527</v>
      </c>
      <c r="AF163" s="1506">
        <f t="shared" si="115"/>
        <v>0.19161804974920882</v>
      </c>
      <c r="AG163" s="1506">
        <f t="shared" si="116"/>
        <v>4.1909751253955914E-2</v>
      </c>
      <c r="AH163" s="1506">
        <f t="shared" si="129"/>
        <v>0</v>
      </c>
      <c r="AI163" s="1506">
        <f t="shared" si="117"/>
        <v>0</v>
      </c>
      <c r="AJ163" s="1543">
        <f t="shared" si="118"/>
        <v>1</v>
      </c>
      <c r="AK163" s="1557">
        <f t="shared" si="119"/>
        <v>13751.536556750707</v>
      </c>
      <c r="AL163" s="1500">
        <f t="shared" si="120"/>
        <v>0</v>
      </c>
      <c r="AM163" s="1500">
        <f t="shared" si="121"/>
        <v>0</v>
      </c>
      <c r="AN163" s="1500">
        <f t="shared" si="122"/>
        <v>13751.536556750707</v>
      </c>
      <c r="AO163" s="1565">
        <f t="shared" si="123"/>
        <v>0</v>
      </c>
    </row>
    <row r="164" spans="1:41">
      <c r="A164" s="873">
        <f>'Input data'!A144</f>
        <v>2044</v>
      </c>
      <c r="B164" s="1553">
        <f>'Input data'!B144</f>
        <v>73.165122580420132</v>
      </c>
      <c r="C164" s="1552">
        <f>'Input data'!C144</f>
        <v>0</v>
      </c>
      <c r="D164" s="1552">
        <f>'Input data'!D144</f>
        <v>15581351.055345042</v>
      </c>
      <c r="E164" s="1510">
        <f>'Input data'!J144*C164</f>
        <v>0</v>
      </c>
      <c r="F164" s="1511">
        <f>'Input data'!L144</f>
        <v>15581.351055345041</v>
      </c>
      <c r="G164" s="1511">
        <f t="shared" si="134"/>
        <v>19149.655921324487</v>
      </c>
      <c r="H164" s="1511">
        <f t="shared" si="125"/>
        <v>-4527.3017876933391</v>
      </c>
      <c r="I164" s="1513">
        <f t="shared" si="99"/>
        <v>15581.351055345041</v>
      </c>
      <c r="J164" s="1506">
        <f t="shared" si="132"/>
        <v>0.2</v>
      </c>
      <c r="K164" s="1514">
        <f t="shared" si="126"/>
        <v>2157.2732893551156</v>
      </c>
      <c r="L164" s="1514">
        <f t="shared" si="101"/>
        <v>0</v>
      </c>
      <c r="M164" s="1511">
        <f t="shared" si="127"/>
        <v>2157.2732893551156</v>
      </c>
      <c r="N164" s="1456">
        <f t="shared" si="131"/>
        <v>0.5</v>
      </c>
      <c r="O164" s="1513">
        <f t="shared" si="102"/>
        <v>751.91700000000026</v>
      </c>
      <c r="P164" s="1698">
        <f t="shared" si="130"/>
        <v>2909.190289355116</v>
      </c>
      <c r="Q164" s="1366">
        <f t="shared" si="103"/>
        <v>11713.163844276032</v>
      </c>
      <c r="R164" s="1366">
        <f t="shared" si="128"/>
        <v>-7436.492077048455</v>
      </c>
      <c r="S164" s="1091">
        <f t="shared" si="104"/>
        <v>9.8900438174006471</v>
      </c>
      <c r="T164" s="135" t="str">
        <f t="shared" si="105"/>
        <v>No</v>
      </c>
      <c r="U164" s="1091">
        <f t="shared" si="106"/>
        <v>1</v>
      </c>
      <c r="V164" s="1496">
        <f>AC164</f>
        <v>16333.268055345041</v>
      </c>
      <c r="W164" s="1493">
        <f t="shared" si="98"/>
        <v>-4.8257496883882922E-2</v>
      </c>
      <c r="X164" s="527">
        <f t="shared" si="107"/>
        <v>12465.080844276034</v>
      </c>
      <c r="Y164" s="1511">
        <f t="shared" si="108"/>
        <v>3116.2702110690084</v>
      </c>
      <c r="Z164" s="528">
        <f t="shared" si="109"/>
        <v>751.91700000000026</v>
      </c>
      <c r="AA164" s="528">
        <f t="shared" si="110"/>
        <v>0</v>
      </c>
      <c r="AB164" s="528">
        <f t="shared" si="111"/>
        <v>0</v>
      </c>
      <c r="AC164" s="528">
        <f t="shared" si="112"/>
        <v>16333.268055345041</v>
      </c>
      <c r="AD164" s="1489">
        <f t="shared" si="113"/>
        <v>-6684.5750770484537</v>
      </c>
      <c r="AE164" s="1506">
        <f t="shared" si="114"/>
        <v>0.76317126505475141</v>
      </c>
      <c r="AF164" s="1506">
        <f t="shared" si="115"/>
        <v>0.19079281626368785</v>
      </c>
      <c r="AG164" s="1506">
        <f t="shared" si="116"/>
        <v>4.6035918681560879E-2</v>
      </c>
      <c r="AH164" s="1506">
        <f t="shared" si="129"/>
        <v>0</v>
      </c>
      <c r="AI164" s="1506">
        <f t="shared" si="117"/>
        <v>0</v>
      </c>
      <c r="AJ164" s="1543">
        <f t="shared" si="118"/>
        <v>1.0000000000000002</v>
      </c>
      <c r="AK164" s="1557">
        <f t="shared" si="119"/>
        <v>12465.080844276032</v>
      </c>
      <c r="AL164" s="1500">
        <f t="shared" si="120"/>
        <v>0</v>
      </c>
      <c r="AM164" s="1500">
        <f t="shared" si="121"/>
        <v>0</v>
      </c>
      <c r="AN164" s="1500">
        <f t="shared" si="122"/>
        <v>12465.080844276032</v>
      </c>
      <c r="AO164" s="1565">
        <f t="shared" si="123"/>
        <v>0</v>
      </c>
    </row>
    <row r="165" spans="1:41">
      <c r="A165" s="873">
        <f>'Input data'!A145</f>
        <v>2045</v>
      </c>
      <c r="B165" s="1553">
        <f>'Input data'!B145</f>
        <v>73.619545999999971</v>
      </c>
      <c r="C165" s="1552">
        <f>'Input data'!C145</f>
        <v>0</v>
      </c>
      <c r="D165" s="1552">
        <f>'Input data'!D145</f>
        <v>13973281.414751694</v>
      </c>
      <c r="E165" s="1510">
        <f>'Input data'!J145*C165</f>
        <v>0</v>
      </c>
      <c r="F165" s="1511">
        <f>'Input data'!L145</f>
        <v>13973.281414751693</v>
      </c>
      <c r="G165" s="1511">
        <f t="shared" si="134"/>
        <v>18107.444808958157</v>
      </c>
      <c r="H165" s="1511">
        <f t="shared" si="125"/>
        <v>-4994.1872660382942</v>
      </c>
      <c r="I165" s="1513">
        <f t="shared" si="99"/>
        <v>13973.281414751693</v>
      </c>
      <c r="J165" s="1506">
        <f t="shared" si="132"/>
        <v>0.2</v>
      </c>
      <c r="K165" s="1514">
        <f t="shared" si="126"/>
        <v>1934.6324111185081</v>
      </c>
      <c r="L165" s="1514">
        <f t="shared" si="101"/>
        <v>0</v>
      </c>
      <c r="M165" s="1511">
        <f t="shared" si="127"/>
        <v>1934.6324111185081</v>
      </c>
      <c r="N165" s="1456">
        <f t="shared" si="131"/>
        <v>0.5</v>
      </c>
      <c r="O165" s="1513">
        <f t="shared" si="102"/>
        <v>751.91700000000026</v>
      </c>
      <c r="P165" s="1698">
        <f t="shared" si="130"/>
        <v>2686.5494111185085</v>
      </c>
      <c r="Q165" s="1366">
        <f t="shared" si="103"/>
        <v>10426.708131801353</v>
      </c>
      <c r="R165" s="1366">
        <f t="shared" si="128"/>
        <v>-7680.7366771568031</v>
      </c>
      <c r="S165" s="1091">
        <f t="shared" si="104"/>
        <v>10.214873020767971</v>
      </c>
      <c r="T165" s="135" t="str">
        <f t="shared" si="105"/>
        <v>No</v>
      </c>
      <c r="U165" s="1091">
        <f t="shared" si="106"/>
        <v>1</v>
      </c>
      <c r="V165" s="1496">
        <f t="shared" si="97"/>
        <v>14725.198414751692</v>
      </c>
      <c r="W165" s="1493">
        <f t="shared" si="98"/>
        <v>-5.3811053945152398E-2</v>
      </c>
      <c r="X165" s="527">
        <f t="shared" si="107"/>
        <v>11178.625131801355</v>
      </c>
      <c r="Y165" s="1511">
        <f t="shared" si="108"/>
        <v>2794.6562829503387</v>
      </c>
      <c r="Z165" s="528">
        <f t="shared" si="109"/>
        <v>751.91700000000026</v>
      </c>
      <c r="AA165" s="528">
        <f t="shared" si="110"/>
        <v>0</v>
      </c>
      <c r="AB165" s="528">
        <f t="shared" si="111"/>
        <v>0</v>
      </c>
      <c r="AC165" s="528">
        <f t="shared" si="112"/>
        <v>14725.198414751692</v>
      </c>
      <c r="AD165" s="1489">
        <f t="shared" si="113"/>
        <v>-6928.8196771568018</v>
      </c>
      <c r="AE165" s="1506">
        <f t="shared" si="114"/>
        <v>0.75914937218113254</v>
      </c>
      <c r="AF165" s="1506">
        <f t="shared" si="115"/>
        <v>0.18978734304528314</v>
      </c>
      <c r="AG165" s="1506">
        <f t="shared" si="116"/>
        <v>5.1063284773584468E-2</v>
      </c>
      <c r="AH165" s="1506">
        <f t="shared" si="129"/>
        <v>0</v>
      </c>
      <c r="AI165" s="1506">
        <f t="shared" si="117"/>
        <v>0</v>
      </c>
      <c r="AJ165" s="1543">
        <f t="shared" si="118"/>
        <v>1.0000000000000002</v>
      </c>
      <c r="AK165" s="1557">
        <f t="shared" si="119"/>
        <v>11178.625131801355</v>
      </c>
      <c r="AL165" s="1500">
        <f t="shared" si="120"/>
        <v>0</v>
      </c>
      <c r="AM165" s="1500">
        <f t="shared" si="121"/>
        <v>0</v>
      </c>
      <c r="AN165" s="1500">
        <f t="shared" si="122"/>
        <v>11178.625131801355</v>
      </c>
      <c r="AO165" s="1565">
        <f t="shared" si="123"/>
        <v>0</v>
      </c>
    </row>
    <row r="166" spans="1:41">
      <c r="A166" s="873">
        <f>'Input data'!A146</f>
        <v>2046</v>
      </c>
      <c r="B166" s="1553">
        <f>'Input data'!B146</f>
        <v>73.995362001779526</v>
      </c>
      <c r="C166" s="1552">
        <f>'Input data'!C146</f>
        <v>0</v>
      </c>
      <c r="D166" s="1552">
        <f>'Input data'!D146</f>
        <v>11178944.368399095</v>
      </c>
      <c r="E166" s="1510">
        <f>'Input data'!J146*C166</f>
        <v>0</v>
      </c>
      <c r="F166" s="1511">
        <f>'Input data'!L146</f>
        <v>11178.944368399094</v>
      </c>
      <c r="G166" s="1511">
        <f t="shared" si="134"/>
        <v>17121.955551397077</v>
      </c>
      <c r="H166" s="1511">
        <f t="shared" si="125"/>
        <v>-6631.0499287541152</v>
      </c>
      <c r="I166" s="1513">
        <f t="shared" si="99"/>
        <v>11178.944368399094</v>
      </c>
      <c r="J166" s="1506">
        <f t="shared" si="132"/>
        <v>0.2</v>
      </c>
      <c r="K166" s="1514">
        <f t="shared" si="126"/>
        <v>1547.7501279236867</v>
      </c>
      <c r="L166" s="1514">
        <f t="shared" si="101"/>
        <v>0</v>
      </c>
      <c r="M166" s="1511">
        <f t="shared" si="127"/>
        <v>1547.7501279236867</v>
      </c>
      <c r="N166" s="1456">
        <f t="shared" si="131"/>
        <v>0.5</v>
      </c>
      <c r="O166" s="1513">
        <f t="shared" si="102"/>
        <v>751.91700000000026</v>
      </c>
      <c r="P166" s="1698">
        <f t="shared" si="130"/>
        <v>2299.6671279236871</v>
      </c>
      <c r="Q166" s="1366">
        <f t="shared" si="103"/>
        <v>8191.238494719275</v>
      </c>
      <c r="R166" s="1366">
        <f t="shared" si="128"/>
        <v>-8930.7170566778022</v>
      </c>
      <c r="S166" s="1091">
        <f t="shared" si="104"/>
        <v>11.877264454291879</v>
      </c>
      <c r="T166" s="135" t="str">
        <f t="shared" si="105"/>
        <v>No</v>
      </c>
      <c r="U166" s="1091">
        <f t="shared" si="106"/>
        <v>1</v>
      </c>
      <c r="V166" s="1496">
        <f t="shared" si="97"/>
        <v>11930.861368399095</v>
      </c>
      <c r="W166" s="1493">
        <f t="shared" si="98"/>
        <v>-6.7261896581714664E-2</v>
      </c>
      <c r="X166" s="527">
        <f t="shared" si="107"/>
        <v>8943.1554947192762</v>
      </c>
      <c r="Y166" s="1511">
        <f t="shared" si="108"/>
        <v>2235.7888736798191</v>
      </c>
      <c r="Z166" s="528">
        <f t="shared" si="109"/>
        <v>751.91700000000026</v>
      </c>
      <c r="AA166" s="528">
        <f t="shared" si="110"/>
        <v>0</v>
      </c>
      <c r="AB166" s="528">
        <f t="shared" si="111"/>
        <v>0</v>
      </c>
      <c r="AC166" s="528">
        <f t="shared" si="112"/>
        <v>11930.861368399095</v>
      </c>
      <c r="AD166" s="1489">
        <f t="shared" si="113"/>
        <v>-8178.800056677801</v>
      </c>
      <c r="AE166" s="1506">
        <f t="shared" si="114"/>
        <v>0.74958171238220372</v>
      </c>
      <c r="AF166" s="1506">
        <f t="shared" si="115"/>
        <v>0.18739542809555093</v>
      </c>
      <c r="AG166" s="1506">
        <f t="shared" si="116"/>
        <v>6.3022859522245359E-2</v>
      </c>
      <c r="AH166" s="1506">
        <f t="shared" si="129"/>
        <v>0</v>
      </c>
      <c r="AI166" s="1506">
        <f t="shared" si="117"/>
        <v>0</v>
      </c>
      <c r="AJ166" s="1543">
        <f t="shared" si="118"/>
        <v>1</v>
      </c>
      <c r="AK166" s="1557">
        <f t="shared" si="119"/>
        <v>8943.1554947192744</v>
      </c>
      <c r="AL166" s="1500">
        <f t="shared" si="120"/>
        <v>0</v>
      </c>
      <c r="AM166" s="1500">
        <f t="shared" si="121"/>
        <v>0</v>
      </c>
      <c r="AN166" s="1500">
        <f t="shared" si="122"/>
        <v>8943.1554947192744</v>
      </c>
      <c r="AO166" s="1565">
        <f t="shared" si="123"/>
        <v>0</v>
      </c>
    </row>
    <row r="167" spans="1:41">
      <c r="A167" s="873">
        <f>'Input data'!A147</f>
        <v>2047</v>
      </c>
      <c r="B167" s="1553">
        <f>'Input data'!B147</f>
        <v>74.373096484110363</v>
      </c>
      <c r="C167" s="1552">
        <f>'Input data'!C147</f>
        <v>0</v>
      </c>
      <c r="D167" s="1552">
        <f>'Input data'!D147</f>
        <v>8384607.3220464904</v>
      </c>
      <c r="E167" s="1510">
        <f>'Input data'!J147*C167</f>
        <v>0</v>
      </c>
      <c r="F167" s="1511">
        <f>'Input data'!L147</f>
        <v>8384.6073220464896</v>
      </c>
      <c r="G167" s="1511">
        <f t="shared" si="134"/>
        <v>16190.101088088571</v>
      </c>
      <c r="H167" s="1511">
        <f t="shared" si="125"/>
        <v>-8321.5473857225152</v>
      </c>
      <c r="I167" s="1513">
        <f t="shared" si="99"/>
        <v>8384.6073220464896</v>
      </c>
      <c r="J167" s="1506">
        <f t="shared" si="132"/>
        <v>0.2</v>
      </c>
      <c r="K167" s="1514">
        <f t="shared" si="126"/>
        <v>1160.8678447288648</v>
      </c>
      <c r="L167" s="1514">
        <f t="shared" si="101"/>
        <v>0</v>
      </c>
      <c r="M167" s="1511">
        <f t="shared" si="127"/>
        <v>1160.8678447288648</v>
      </c>
      <c r="N167" s="1456">
        <f t="shared" si="131"/>
        <v>0.5</v>
      </c>
      <c r="O167" s="1513">
        <f t="shared" si="102"/>
        <v>751.91700000000026</v>
      </c>
      <c r="P167" s="1698">
        <f t="shared" si="130"/>
        <v>1912.7848447288652</v>
      </c>
      <c r="Q167" s="1366">
        <f t="shared" si="103"/>
        <v>5955.7688576371911</v>
      </c>
      <c r="R167" s="1366">
        <f t="shared" si="128"/>
        <v>-10234.33223045138</v>
      </c>
      <c r="S167" s="1091">
        <f t="shared" si="104"/>
        <v>13.610986625453824</v>
      </c>
      <c r="T167" s="135" t="str">
        <f t="shared" si="105"/>
        <v>No</v>
      </c>
      <c r="U167" s="1091">
        <f t="shared" si="106"/>
        <v>1</v>
      </c>
      <c r="V167" s="1496">
        <f t="shared" si="97"/>
        <v>9136.524322046489</v>
      </c>
      <c r="W167" s="1493">
        <f t="shared" si="98"/>
        <v>-8.9678260545715593E-2</v>
      </c>
      <c r="X167" s="527">
        <f t="shared" si="107"/>
        <v>6707.6858576371924</v>
      </c>
      <c r="Y167" s="1511">
        <f t="shared" si="108"/>
        <v>1676.9214644092981</v>
      </c>
      <c r="Z167" s="528">
        <f t="shared" si="109"/>
        <v>751.91700000000026</v>
      </c>
      <c r="AA167" s="528">
        <f t="shared" si="110"/>
        <v>0</v>
      </c>
      <c r="AB167" s="528">
        <f t="shared" si="111"/>
        <v>0</v>
      </c>
      <c r="AC167" s="528">
        <f t="shared" si="112"/>
        <v>9136.524322046489</v>
      </c>
      <c r="AD167" s="1489">
        <f t="shared" si="113"/>
        <v>-9482.4152304513791</v>
      </c>
      <c r="AE167" s="1506">
        <f t="shared" si="114"/>
        <v>0.73416165942354095</v>
      </c>
      <c r="AF167" s="1506">
        <f t="shared" si="115"/>
        <v>0.18354041485588524</v>
      </c>
      <c r="AG167" s="1506">
        <f t="shared" si="116"/>
        <v>8.2297925720574067E-2</v>
      </c>
      <c r="AH167" s="1506">
        <f t="shared" si="129"/>
        <v>0</v>
      </c>
      <c r="AI167" s="1506">
        <f t="shared" si="117"/>
        <v>0</v>
      </c>
      <c r="AJ167" s="1543">
        <f t="shared" si="118"/>
        <v>1.0000000000000002</v>
      </c>
      <c r="AK167" s="1557">
        <f t="shared" si="119"/>
        <v>6707.6858576371915</v>
      </c>
      <c r="AL167" s="1500">
        <f t="shared" si="120"/>
        <v>0</v>
      </c>
      <c r="AM167" s="1500">
        <f t="shared" si="121"/>
        <v>0</v>
      </c>
      <c r="AN167" s="1500">
        <f t="shared" si="122"/>
        <v>6707.6858576371915</v>
      </c>
      <c r="AO167" s="1565">
        <f t="shared" si="123"/>
        <v>0</v>
      </c>
    </row>
    <row r="168" spans="1:41">
      <c r="A168" s="873">
        <f>'Input data'!A148</f>
        <v>2048</v>
      </c>
      <c r="B168" s="1553">
        <f>'Input data'!B148</f>
        <v>74.752759240528661</v>
      </c>
      <c r="C168" s="1552">
        <f>'Input data'!C148</f>
        <v>0</v>
      </c>
      <c r="D168" s="1552">
        <f>'Input data'!D148</f>
        <v>5590270.2756938878</v>
      </c>
      <c r="E168" s="1510">
        <f>'Input data'!J148*C168</f>
        <v>0</v>
      </c>
      <c r="F168" s="1511">
        <f>'Input data'!L148</f>
        <v>5590.2702756938879</v>
      </c>
      <c r="G168" s="1511">
        <f t="shared" si="134"/>
        <v>15308.962370313993</v>
      </c>
      <c r="H168" s="1511">
        <f t="shared" si="125"/>
        <v>-10062.760588224839</v>
      </c>
      <c r="I168" s="1513">
        <f t="shared" si="99"/>
        <v>5590.2702756938879</v>
      </c>
      <c r="J168" s="417">
        <f t="shared" si="132"/>
        <v>0.2</v>
      </c>
      <c r="K168" s="1514">
        <f t="shared" si="126"/>
        <v>773.98556153404274</v>
      </c>
      <c r="L168" s="1514">
        <f t="shared" si="101"/>
        <v>0</v>
      </c>
      <c r="M168" s="1511">
        <f t="shared" si="127"/>
        <v>773.98556153404274</v>
      </c>
      <c r="N168" s="1456">
        <f t="shared" si="131"/>
        <v>0.5</v>
      </c>
      <c r="O168" s="1513">
        <f t="shared" si="102"/>
        <v>751.91700000000026</v>
      </c>
      <c r="P168" s="1698">
        <f t="shared" si="130"/>
        <v>1525.9025615340429</v>
      </c>
      <c r="Q168" s="1366">
        <f t="shared" si="103"/>
        <v>3720.2992205551104</v>
      </c>
      <c r="R168" s="1366">
        <f t="shared" si="128"/>
        <v>-11588.663149758882</v>
      </c>
      <c r="S168" s="1091">
        <f t="shared" si="104"/>
        <v>15.412157392051096</v>
      </c>
      <c r="T168" s="135" t="str">
        <f t="shared" si="105"/>
        <v>No</v>
      </c>
      <c r="U168" s="1091">
        <f t="shared" si="106"/>
        <v>1</v>
      </c>
      <c r="V168" s="1496">
        <f t="shared" si="97"/>
        <v>6342.1872756938883</v>
      </c>
      <c r="W168" s="1493">
        <f t="shared" si="98"/>
        <v>-0.13450458795691578</v>
      </c>
      <c r="X168" s="527">
        <f t="shared" si="107"/>
        <v>4472.2162205551103</v>
      </c>
      <c r="Y168" s="1511">
        <f t="shared" si="108"/>
        <v>1118.0540551387776</v>
      </c>
      <c r="Z168" s="528">
        <f t="shared" si="109"/>
        <v>751.91700000000026</v>
      </c>
      <c r="AA168" s="528">
        <f t="shared" si="110"/>
        <v>0</v>
      </c>
      <c r="AB168" s="528">
        <f t="shared" si="111"/>
        <v>0</v>
      </c>
      <c r="AC168" s="528">
        <f t="shared" si="112"/>
        <v>6342.1872756938883</v>
      </c>
      <c r="AD168" s="1489">
        <f t="shared" si="113"/>
        <v>-10836.746149758883</v>
      </c>
      <c r="AE168" s="1506">
        <f t="shared" si="114"/>
        <v>0.70515360492343904</v>
      </c>
      <c r="AF168" s="1506">
        <f t="shared" si="115"/>
        <v>0.17628840123085976</v>
      </c>
      <c r="AG168" s="1506">
        <f t="shared" si="116"/>
        <v>0.11855799384570116</v>
      </c>
      <c r="AH168" s="1506">
        <f t="shared" si="129"/>
        <v>0</v>
      </c>
      <c r="AI168" s="1506">
        <f t="shared" si="117"/>
        <v>0</v>
      </c>
      <c r="AJ168" s="1543">
        <f t="shared" si="118"/>
        <v>1</v>
      </c>
      <c r="AK168" s="1557">
        <f t="shared" si="119"/>
        <v>4472.2162205551103</v>
      </c>
      <c r="AL168" s="1500">
        <f t="shared" si="120"/>
        <v>0</v>
      </c>
      <c r="AM168" s="1500">
        <f t="shared" si="121"/>
        <v>0</v>
      </c>
      <c r="AN168" s="1500">
        <f t="shared" si="122"/>
        <v>4472.2162205551103</v>
      </c>
      <c r="AO168" s="1565">
        <f t="shared" si="123"/>
        <v>0</v>
      </c>
    </row>
    <row r="169" spans="1:41">
      <c r="A169" s="873">
        <f>'Input data'!A149</f>
        <v>2049</v>
      </c>
      <c r="B169" s="1553">
        <f>'Input data'!B149</f>
        <v>75.134360114565098</v>
      </c>
      <c r="C169" s="1552">
        <f>'Input data'!C149</f>
        <v>0</v>
      </c>
      <c r="D169" s="1552">
        <f>'Input data'!D149</f>
        <v>2795933.2293412867</v>
      </c>
      <c r="E169" s="1510">
        <f>'Input data'!J149*C169</f>
        <v>0</v>
      </c>
      <c r="F169" s="1511">
        <f>'Input data'!L149</f>
        <v>2795.9332293412867</v>
      </c>
      <c r="G169" s="1511">
        <f t="shared" si="134"/>
        <v>14475.779217222871</v>
      </c>
      <c r="H169" s="1511">
        <f t="shared" si="125"/>
        <v>-11851.929355410621</v>
      </c>
      <c r="I169" s="1513">
        <f t="shared" si="99"/>
        <v>2795.9332293412867</v>
      </c>
      <c r="J169" s="417">
        <f t="shared" si="132"/>
        <v>0.2</v>
      </c>
      <c r="K169" s="1514">
        <f t="shared" si="126"/>
        <v>387.10327833922116</v>
      </c>
      <c r="L169" s="1514">
        <f t="shared" si="101"/>
        <v>0</v>
      </c>
      <c r="M169" s="1511">
        <f t="shared" si="127"/>
        <v>387.10327833922116</v>
      </c>
      <c r="N169" s="1456">
        <f t="shared" si="131"/>
        <v>0.5</v>
      </c>
      <c r="O169" s="1513">
        <f t="shared" si="102"/>
        <v>751.91700000000026</v>
      </c>
      <c r="P169" s="1698">
        <f t="shared" si="130"/>
        <v>1139.0202783392215</v>
      </c>
      <c r="Q169" s="1366">
        <f t="shared" si="103"/>
        <v>1484.8295834730288</v>
      </c>
      <c r="R169" s="1366">
        <f t="shared" si="128"/>
        <v>-12990.949633749842</v>
      </c>
      <c r="S169" s="1091">
        <f t="shared" si="104"/>
        <v>17.277105895663787</v>
      </c>
      <c r="T169" s="135" t="str">
        <f t="shared" si="105"/>
        <v>No</v>
      </c>
      <c r="U169" s="1091">
        <f t="shared" si="106"/>
        <v>1</v>
      </c>
      <c r="V169" s="1496">
        <f t="shared" si="97"/>
        <v>3547.8502293412876</v>
      </c>
      <c r="W169" s="1493">
        <f t="shared" si="98"/>
        <v>-0.26893238798022012</v>
      </c>
      <c r="X169" s="527">
        <f t="shared" si="107"/>
        <v>2236.7465834730297</v>
      </c>
      <c r="Y169" s="1511">
        <f t="shared" si="108"/>
        <v>559.18664586825741</v>
      </c>
      <c r="Z169" s="528">
        <f t="shared" si="109"/>
        <v>751.91700000000026</v>
      </c>
      <c r="AA169" s="528">
        <f t="shared" si="110"/>
        <v>0</v>
      </c>
      <c r="AB169" s="528">
        <f t="shared" si="111"/>
        <v>0</v>
      </c>
      <c r="AC169" s="528">
        <f t="shared" si="112"/>
        <v>3547.8502293412876</v>
      </c>
      <c r="AD169" s="1489">
        <f t="shared" si="113"/>
        <v>-12239.032633749841</v>
      </c>
      <c r="AE169" s="417">
        <f t="shared" si="114"/>
        <v>0.63045124198726832</v>
      </c>
      <c r="AF169" s="417">
        <f t="shared" si="115"/>
        <v>0.15761281049681708</v>
      </c>
      <c r="AG169" s="417">
        <f t="shared" si="116"/>
        <v>0.21193594751591446</v>
      </c>
      <c r="AH169" s="417">
        <f t="shared" si="129"/>
        <v>0</v>
      </c>
      <c r="AI169" s="417">
        <f t="shared" si="117"/>
        <v>0</v>
      </c>
      <c r="AJ169" s="525">
        <f t="shared" si="118"/>
        <v>0.99999999999999989</v>
      </c>
      <c r="AK169" s="1499">
        <f t="shared" si="119"/>
        <v>2236.7465834730292</v>
      </c>
      <c r="AL169" s="1500">
        <f t="shared" si="120"/>
        <v>0</v>
      </c>
      <c r="AM169" s="1500">
        <f t="shared" si="121"/>
        <v>0</v>
      </c>
      <c r="AN169" s="1500">
        <f t="shared" si="122"/>
        <v>2236.7465834730292</v>
      </c>
      <c r="AO169" s="1565">
        <f t="shared" si="123"/>
        <v>0</v>
      </c>
    </row>
    <row r="170" spans="1:41" ht="15.75" thickBot="1">
      <c r="A170" s="1568">
        <f>'Input data'!A150</f>
        <v>2050</v>
      </c>
      <c r="B170" s="1569">
        <f>'Input data'!B150</f>
        <v>75.517908999999989</v>
      </c>
      <c r="C170" s="1570">
        <f>'Input data'!C150</f>
        <v>0</v>
      </c>
      <c r="D170" s="1570">
        <f>'Input data'!D150</f>
        <v>1596.1829886855978</v>
      </c>
      <c r="E170" s="670">
        <f>'Input data'!J150*C170</f>
        <v>0</v>
      </c>
      <c r="F170" s="667">
        <f>'Input data'!L150</f>
        <v>1.5961829886855978</v>
      </c>
      <c r="G170" s="667">
        <f>G137*(1-$C$6)</f>
        <v>13687.941669523079</v>
      </c>
      <c r="H170" s="667">
        <f t="shared" si="125"/>
        <v>-13686.443727987731</v>
      </c>
      <c r="I170" s="659">
        <f t="shared" si="99"/>
        <v>1.5961829886855978</v>
      </c>
      <c r="J170" s="651">
        <f t="shared" si="132"/>
        <v>0.2</v>
      </c>
      <c r="K170" s="1520">
        <f t="shared" si="126"/>
        <v>0.22099514439944737</v>
      </c>
      <c r="L170" s="1520">
        <f t="shared" si="101"/>
        <v>0</v>
      </c>
      <c r="M170" s="1520">
        <f t="shared" si="127"/>
        <v>0.22099514439944737</v>
      </c>
      <c r="N170" s="1524">
        <f t="shared" si="131"/>
        <v>0.5</v>
      </c>
      <c r="O170" s="1522">
        <f t="shared" si="102"/>
        <v>751.91700000000026</v>
      </c>
      <c r="P170" s="1699">
        <f t="shared" si="130"/>
        <v>752.13799514439972</v>
      </c>
      <c r="Q170" s="1487">
        <f t="shared" si="103"/>
        <v>-750.64005360905185</v>
      </c>
      <c r="R170" s="1487">
        <f t="shared" si="128"/>
        <v>-14438.581723132131</v>
      </c>
      <c r="S170" s="1094">
        <f t="shared" si="104"/>
        <v>19.202361062633408</v>
      </c>
      <c r="T170" s="1105" t="str">
        <f t="shared" si="105"/>
        <v>No</v>
      </c>
      <c r="U170" s="1094">
        <f t="shared" si="106"/>
        <v>1</v>
      </c>
      <c r="V170" s="1497">
        <f t="shared" si="97"/>
        <v>753.51318298868591</v>
      </c>
      <c r="W170" s="1494">
        <f t="shared" si="98"/>
        <v>-471.0719293025283</v>
      </c>
      <c r="X170" s="670">
        <f t="shared" si="107"/>
        <v>1.2769463909484784</v>
      </c>
      <c r="Y170" s="1520">
        <f t="shared" si="108"/>
        <v>0.3192365977371196</v>
      </c>
      <c r="Z170" s="667">
        <f t="shared" si="109"/>
        <v>751.91700000000026</v>
      </c>
      <c r="AA170" s="667">
        <f t="shared" si="110"/>
        <v>0</v>
      </c>
      <c r="AB170" s="667">
        <f t="shared" si="111"/>
        <v>0</v>
      </c>
      <c r="AC170" s="667">
        <f t="shared" si="112"/>
        <v>753.51318298868591</v>
      </c>
      <c r="AD170" s="1490">
        <f t="shared" si="113"/>
        <v>-13686.664723132131</v>
      </c>
      <c r="AE170" s="651">
        <f t="shared" si="114"/>
        <v>1.6946570010675606E-3</v>
      </c>
      <c r="AF170" s="651">
        <f t="shared" si="115"/>
        <v>4.2366425026689014E-4</v>
      </c>
      <c r="AG170" s="651">
        <f t="shared" si="116"/>
        <v>0.99788167874866551</v>
      </c>
      <c r="AH170" s="651">
        <f t="shared" si="129"/>
        <v>0</v>
      </c>
      <c r="AI170" s="651">
        <f>AB170/AC170</f>
        <v>0</v>
      </c>
      <c r="AJ170" s="652">
        <f t="shared" si="118"/>
        <v>1</v>
      </c>
      <c r="AK170" s="1501">
        <f t="shared" si="119"/>
        <v>1.2769463909484782</v>
      </c>
      <c r="AL170" s="1502">
        <f t="shared" si="120"/>
        <v>0</v>
      </c>
      <c r="AM170" s="1502">
        <f t="shared" si="121"/>
        <v>0</v>
      </c>
      <c r="AN170" s="1502">
        <f t="shared" si="122"/>
        <v>1.2769463909484782</v>
      </c>
      <c r="AO170" s="1566">
        <f t="shared" si="123"/>
        <v>0</v>
      </c>
    </row>
    <row r="172" spans="1:41" ht="23.25">
      <c r="A172" s="686" t="s">
        <v>640</v>
      </c>
    </row>
    <row r="173" spans="1:41" ht="24" thickBot="1">
      <c r="A173" s="686"/>
    </row>
    <row r="174" spans="1:41" ht="21.6" customHeight="1" thickBot="1">
      <c r="A174" s="1874" t="s">
        <v>602</v>
      </c>
      <c r="B174" s="1875"/>
      <c r="C174" s="1875"/>
      <c r="D174" s="1876"/>
      <c r="E174" s="1806" t="s">
        <v>603</v>
      </c>
      <c r="F174" s="1807"/>
      <c r="G174" s="1807"/>
      <c r="H174" s="1807"/>
      <c r="I174" s="1808"/>
      <c r="J174" s="1823" t="s">
        <v>604</v>
      </c>
      <c r="K174" s="1824"/>
      <c r="L174" s="1825"/>
      <c r="M174" s="1826" t="s">
        <v>764</v>
      </c>
      <c r="N174" s="1809" t="s">
        <v>607</v>
      </c>
      <c r="O174" s="1898"/>
      <c r="P174" s="1896" t="s">
        <v>594</v>
      </c>
      <c r="Q174" s="1815" t="s">
        <v>772</v>
      </c>
      <c r="R174" s="1815" t="s">
        <v>775</v>
      </c>
      <c r="S174" s="1815" t="s">
        <v>774</v>
      </c>
      <c r="T174" s="1839" t="s">
        <v>776</v>
      </c>
      <c r="U174" s="1837" t="s">
        <v>777</v>
      </c>
      <c r="V174" s="1813" t="s">
        <v>767</v>
      </c>
      <c r="W174" s="1835" t="s">
        <v>768</v>
      </c>
      <c r="X174" s="1104" t="s">
        <v>592</v>
      </c>
      <c r="Y174" s="1097"/>
      <c r="Z174" s="1097"/>
      <c r="AA174" s="1097"/>
      <c r="AB174" s="1097"/>
      <c r="AC174" s="1097"/>
      <c r="AD174" s="1097"/>
      <c r="AE174" s="1097"/>
      <c r="AF174" s="1097"/>
      <c r="AG174" s="1097"/>
      <c r="AH174" s="1097"/>
      <c r="AI174" s="1097"/>
      <c r="AJ174" s="1097"/>
      <c r="AK174" s="1851" t="s">
        <v>730</v>
      </c>
      <c r="AL174" s="1852"/>
      <c r="AM174" s="1852"/>
      <c r="AN174" s="1852"/>
      <c r="AO174" s="1853"/>
    </row>
    <row r="175" spans="1:41" ht="58.9" customHeight="1">
      <c r="A175" s="1869" t="s">
        <v>217</v>
      </c>
      <c r="B175" s="703" t="s">
        <v>218</v>
      </c>
      <c r="C175" s="703" t="s">
        <v>390</v>
      </c>
      <c r="D175" s="469" t="s">
        <v>630</v>
      </c>
      <c r="E175" s="704" t="s">
        <v>786</v>
      </c>
      <c r="F175" s="704" t="s">
        <v>787</v>
      </c>
      <c r="G175" s="704" t="s">
        <v>771</v>
      </c>
      <c r="H175" s="705" t="s">
        <v>597</v>
      </c>
      <c r="I175" s="705" t="s">
        <v>626</v>
      </c>
      <c r="J175" s="1463" t="s">
        <v>326</v>
      </c>
      <c r="K175" s="1463" t="s">
        <v>765</v>
      </c>
      <c r="L175" s="706" t="s">
        <v>766</v>
      </c>
      <c r="M175" s="1827"/>
      <c r="N175" s="508" t="s">
        <v>605</v>
      </c>
      <c r="O175" s="559" t="s">
        <v>606</v>
      </c>
      <c r="P175" s="1897"/>
      <c r="Q175" s="1816"/>
      <c r="R175" s="1816"/>
      <c r="S175" s="1816"/>
      <c r="T175" s="1840"/>
      <c r="U175" s="1838"/>
      <c r="V175" s="1814"/>
      <c r="W175" s="1836"/>
      <c r="X175" s="1394" t="s">
        <v>473</v>
      </c>
      <c r="Y175" s="1395" t="s">
        <v>489</v>
      </c>
      <c r="Z175" s="1395" t="s">
        <v>376</v>
      </c>
      <c r="AA175" s="1395" t="s">
        <v>377</v>
      </c>
      <c r="AB175" s="1395" t="s">
        <v>477</v>
      </c>
      <c r="AC175" s="1395" t="s">
        <v>225</v>
      </c>
      <c r="AD175" s="713" t="s">
        <v>617</v>
      </c>
      <c r="AE175" s="1092" t="s">
        <v>473</v>
      </c>
      <c r="AF175" s="710" t="s">
        <v>489</v>
      </c>
      <c r="AG175" s="710" t="s">
        <v>376</v>
      </c>
      <c r="AH175" s="710" t="s">
        <v>377</v>
      </c>
      <c r="AI175" s="710" t="s">
        <v>477</v>
      </c>
      <c r="AJ175" s="718" t="s">
        <v>225</v>
      </c>
      <c r="AK175" s="1571" t="s">
        <v>731</v>
      </c>
      <c r="AL175" s="1572" t="s">
        <v>493</v>
      </c>
      <c r="AM175" s="1572" t="s">
        <v>732</v>
      </c>
      <c r="AN175" s="1572" t="s">
        <v>225</v>
      </c>
      <c r="AO175" s="1573" t="s">
        <v>617</v>
      </c>
    </row>
    <row r="176" spans="1:41" ht="61.15" customHeight="1" thickBot="1">
      <c r="A176" s="1863"/>
      <c r="B176" s="1126" t="s">
        <v>232</v>
      </c>
      <c r="C176" s="1127" t="s">
        <v>482</v>
      </c>
      <c r="D176" s="1128" t="s">
        <v>480</v>
      </c>
      <c r="E176" s="1129" t="s">
        <v>228</v>
      </c>
      <c r="F176" s="1129" t="s">
        <v>228</v>
      </c>
      <c r="G176" s="1129" t="s">
        <v>228</v>
      </c>
      <c r="H176" s="1481" t="str">
        <f>G176</f>
        <v>Gg</v>
      </c>
      <c r="I176" s="1129" t="s">
        <v>228</v>
      </c>
      <c r="J176" s="707" t="s">
        <v>229</v>
      </c>
      <c r="K176" s="1114" t="s">
        <v>228</v>
      </c>
      <c r="L176" s="1114" t="s">
        <v>228</v>
      </c>
      <c r="M176" s="1114" t="s">
        <v>228</v>
      </c>
      <c r="N176" s="688" t="s">
        <v>229</v>
      </c>
      <c r="O176" s="690" t="s">
        <v>228</v>
      </c>
      <c r="P176" s="1115" t="s">
        <v>228</v>
      </c>
      <c r="Q176" s="1116" t="s">
        <v>228</v>
      </c>
      <c r="R176" s="1116" t="s">
        <v>228</v>
      </c>
      <c r="S176" s="1117" t="s">
        <v>28</v>
      </c>
      <c r="T176" s="1840"/>
      <c r="U176" s="1117" t="s">
        <v>28</v>
      </c>
      <c r="V176" s="1116" t="s">
        <v>228</v>
      </c>
      <c r="W176" s="1498" t="s">
        <v>28</v>
      </c>
      <c r="X176" s="191" t="s">
        <v>228</v>
      </c>
      <c r="Y176" s="1095" t="s">
        <v>228</v>
      </c>
      <c r="Z176" s="1095" t="s">
        <v>228</v>
      </c>
      <c r="AA176" s="1095" t="s">
        <v>228</v>
      </c>
      <c r="AB176" s="1095" t="s">
        <v>228</v>
      </c>
      <c r="AC176" s="1095" t="s">
        <v>228</v>
      </c>
      <c r="AD176" s="1096" t="s">
        <v>769</v>
      </c>
      <c r="AE176" s="1093" t="s">
        <v>229</v>
      </c>
      <c r="AF176" s="711" t="s">
        <v>229</v>
      </c>
      <c r="AG176" s="711" t="s">
        <v>229</v>
      </c>
      <c r="AH176" s="711" t="s">
        <v>229</v>
      </c>
      <c r="AI176" s="711" t="s">
        <v>229</v>
      </c>
      <c r="AJ176" s="1178" t="s">
        <v>229</v>
      </c>
      <c r="AK176" s="191" t="s">
        <v>228</v>
      </c>
      <c r="AL176" s="1095" t="s">
        <v>228</v>
      </c>
      <c r="AM176" s="1095" t="s">
        <v>228</v>
      </c>
      <c r="AN176" s="1095" t="s">
        <v>228</v>
      </c>
      <c r="AO176" s="1096" t="s">
        <v>590</v>
      </c>
    </row>
    <row r="177" spans="1:41" ht="15" customHeight="1">
      <c r="A177" s="736">
        <f>'Input data'!A117</f>
        <v>2017</v>
      </c>
      <c r="B177" s="737">
        <f>'Input data'!B117</f>
        <v>56.521948041648095</v>
      </c>
      <c r="C177" s="738">
        <f>'Input data'!C117</f>
        <v>3107.1496601967842</v>
      </c>
      <c r="D177" s="957">
        <f>'Input data'!E117</f>
        <v>49995051</v>
      </c>
      <c r="E177" s="956">
        <f>'Input data'!J117*C177</f>
        <v>37506.923384615395</v>
      </c>
      <c r="F177" s="957">
        <f>'Input data'!L117</f>
        <v>87501.974384615402</v>
      </c>
      <c r="G177" s="957">
        <f>F137*B11</f>
        <v>68439.708347615408</v>
      </c>
      <c r="H177" s="677">
        <f t="shared" ref="H177:H210" si="135">E177*$B$12+I177*$E$80-G177</f>
        <v>0</v>
      </c>
      <c r="I177" s="1469">
        <f>D177/1000</f>
        <v>49995.050999999999</v>
      </c>
      <c r="J177" s="647">
        <f>$H$17</f>
        <v>6.154773859516615E-2</v>
      </c>
      <c r="K177" s="957">
        <f>(I177)*J177-(I177)*$J$137</f>
        <v>0</v>
      </c>
      <c r="L177" s="957">
        <f>(E177)*$C$12*$G$12-(E177)*$C$12*$G$12</f>
        <v>0</v>
      </c>
      <c r="M177" s="1469">
        <f>L177+K177</f>
        <v>0</v>
      </c>
      <c r="N177" s="708">
        <v>0</v>
      </c>
      <c r="O177" s="1469">
        <f>N177*$E$177*($C$85)*$B$12</f>
        <v>0</v>
      </c>
      <c r="P177" s="1482">
        <f>O177+M177</f>
        <v>0</v>
      </c>
      <c r="Q177" s="1486">
        <f>E177*$B$12+(1-$J$137)*I177-P177</f>
        <v>68439.708347615408</v>
      </c>
      <c r="R177" s="1486">
        <f>Q177-G177</f>
        <v>0</v>
      </c>
      <c r="S177" s="1220">
        <f>R177/(Q177-I177*(1-J177))</f>
        <v>0</v>
      </c>
      <c r="T177" s="1491" t="str">
        <f>IF(AND(S177&gt;=0,S177&lt;=1),"Yes","No")</f>
        <v>Yes</v>
      </c>
      <c r="U177" s="1119">
        <f>IF(S177&lt;=0,0,IF(S177&gt;=1,1,S177))</f>
        <v>0</v>
      </c>
      <c r="V177" s="1495">
        <f t="shared" ref="V177:V210" si="136">AC177</f>
        <v>87501.974384615402</v>
      </c>
      <c r="W177" s="1492">
        <f t="shared" ref="W177:W210" si="137">(1-V177/F177)</f>
        <v>0</v>
      </c>
      <c r="X177" s="956">
        <f>(E177*$B$12-O177-L177)*(1-U177)+I177*(1-J177)</f>
        <v>68439.708347615408</v>
      </c>
      <c r="Y177" s="1503">
        <f>I177*J177+E177*$G$12*$C$12</f>
        <v>6080.5670370000007</v>
      </c>
      <c r="Z177" s="1532">
        <f>($C$12*$H$12*E177+O177)</f>
        <v>1694.9190000000001</v>
      </c>
      <c r="AA177" s="1532">
        <f>$F$137*$D$11</f>
        <v>0</v>
      </c>
      <c r="AB177" s="1532">
        <f>E177*$E$12</f>
        <v>11286.78</v>
      </c>
      <c r="AC177" s="1532">
        <f>SUM(X177:AB177)</f>
        <v>87501.974384615402</v>
      </c>
      <c r="AD177" s="1488">
        <f>X177-G177</f>
        <v>0</v>
      </c>
      <c r="AE177" s="708">
        <f>X177/AC177</f>
        <v>0.7821504466492184</v>
      </c>
      <c r="AF177" s="647">
        <f>Y177/AC177</f>
        <v>6.9490626694579893E-2</v>
      </c>
      <c r="AG177" s="647">
        <f>Z177/AC177</f>
        <v>1.9370065783315637E-2</v>
      </c>
      <c r="AH177" s="647">
        <f>AA177/AC177</f>
        <v>0</v>
      </c>
      <c r="AI177" s="647">
        <f>AB177/AC177</f>
        <v>0.12898886087288611</v>
      </c>
      <c r="AJ177" s="715">
        <f>SUM(AE177:AI177)</f>
        <v>1</v>
      </c>
      <c r="AK177" s="1499">
        <f>I177*(1-$J$137)-K177</f>
        <v>46917.968670000002</v>
      </c>
      <c r="AL177" s="1500">
        <f>(E177*$C$86*$B$12-L177)*(1-U177)</f>
        <v>20017.905677615392</v>
      </c>
      <c r="AM177" s="1500">
        <f>(E177*($C$85)*$B$12-O177)*(1-U177)</f>
        <v>1503.8340000000005</v>
      </c>
      <c r="AN177" s="1500">
        <f>SUM(AK177:AM177)</f>
        <v>68439.708347615393</v>
      </c>
      <c r="AO177" s="1186">
        <f>AN177-X177</f>
        <v>0</v>
      </c>
    </row>
    <row r="178" spans="1:41">
      <c r="A178" s="127">
        <f>'Input data'!A118</f>
        <v>2018</v>
      </c>
      <c r="B178" s="662">
        <f>'Input data'!B118</f>
        <v>57.436000617299655</v>
      </c>
      <c r="C178" s="236">
        <f>'Input data'!C118</f>
        <v>3150.6223338999603</v>
      </c>
      <c r="D178" s="528">
        <f>'Input data'!E118</f>
        <v>50343843.445756853</v>
      </c>
      <c r="E178" s="527">
        <f>'Input data'!J118*C178</f>
        <v>38031.689302008039</v>
      </c>
      <c r="F178" s="528">
        <f>'Input data'!L118</f>
        <v>88375.532747764897</v>
      </c>
      <c r="G178" s="528">
        <f>$G$137*(1+((($G$150/$G$137)^(1/($A$150-$A$137)))-1))^(A178-$A$137)</f>
        <v>64886.148572305057</v>
      </c>
      <c r="H178" s="528">
        <f>E178*$B$12+I178*$E$80-G178</f>
        <v>4181.9992543882981</v>
      </c>
      <c r="I178" s="530">
        <f t="shared" ref="I178:I210" si="138">D178/1000</f>
        <v>50343.843445756851</v>
      </c>
      <c r="J178" s="417">
        <f t="shared" ref="J178:J188" si="139">$J$137*(1+((($J$150/$J$137)^(1/($A$150-$A$137)))-1))^(A178-$A$137)</f>
        <v>6.7388021833337503E-2</v>
      </c>
      <c r="K178" s="775">
        <f>(I178)*J178-(I178)*$J$137</f>
        <v>294.02230502137627</v>
      </c>
      <c r="L178" s="775">
        <f t="shared" ref="L178:L210" si="140">(E178)*$C$12*$G$12-(E178)*$C$12*$G$12</f>
        <v>0</v>
      </c>
      <c r="M178" s="530">
        <f>L178+K178</f>
        <v>294.02230502137627</v>
      </c>
      <c r="N178" s="649">
        <f>($N$142-$N$137)/($A$102-$A$97)+N177</f>
        <v>0.05</v>
      </c>
      <c r="O178" s="530">
        <f t="shared" ref="O178:O210" si="141">N178*$E$177*($C$85)*$B$12</f>
        <v>75.191700000000026</v>
      </c>
      <c r="P178" s="1483">
        <f>O178+M178</f>
        <v>369.21400502137629</v>
      </c>
      <c r="Q178" s="1366">
        <f t="shared" ref="Q178:Q210" si="142">E178*$B$12+(1-$J$137)*I178-P178</f>
        <v>68698.933821671977</v>
      </c>
      <c r="R178" s="1366">
        <f>Q178-G178</f>
        <v>3812.7852493669197</v>
      </c>
      <c r="S178" s="576">
        <f t="shared" ref="S178:S210" si="143">R178/(Q178-I178*(1-J178))</f>
        <v>0.17531931385212809</v>
      </c>
      <c r="T178" s="135" t="str">
        <f t="shared" ref="T178:T210" si="144">IF(AND(S178&gt;=0,S178&lt;=1),"Yes","No")</f>
        <v>Yes</v>
      </c>
      <c r="U178" s="1091">
        <f t="shared" ref="U178:U210" si="145">IF(S178&lt;=0,0,IF(S178&gt;=1,1,S178))</f>
        <v>0.17531931385212809</v>
      </c>
      <c r="V178" s="1496">
        <f t="shared" si="136"/>
        <v>84562.747498397977</v>
      </c>
      <c r="W178" s="1493">
        <f t="shared" si="137"/>
        <v>4.314299592681492E-2</v>
      </c>
      <c r="X178" s="527">
        <f t="shared" ref="X178:X210" si="146">(E178*$B$12-O178-L178)*(1-U178)+I178*(1-J178)</f>
        <v>64886.148572305057</v>
      </c>
      <c r="Y178" s="1511">
        <f t="shared" ref="Y178:Y210" si="147">I178*J178+E178*$G$12*$C$12</f>
        <v>6438.0790075299101</v>
      </c>
      <c r="Z178" s="1533">
        <f t="shared" ref="Z178:Z210" si="148">($C$12*$H$12*E178+O178)</f>
        <v>1793.8246078249765</v>
      </c>
      <c r="AA178" s="1533">
        <f t="shared" ref="AA178:AA210" si="149">$F$137*$D$11</f>
        <v>0</v>
      </c>
      <c r="AB178" s="1533">
        <f t="shared" ref="AB178:AB210" si="150">E178*$E$12</f>
        <v>11444.695310738029</v>
      </c>
      <c r="AC178" s="1533">
        <f t="shared" ref="AC178:AC210" si="151">SUM(X178:AB178)</f>
        <v>84562.747498397977</v>
      </c>
      <c r="AD178" s="1489">
        <f t="shared" ref="AD178:AD210" si="152">X178-G178</f>
        <v>0</v>
      </c>
      <c r="AE178" s="649">
        <f t="shared" ref="AE178:AE210" si="153">X178/AC178</f>
        <v>0.76731362794869351</v>
      </c>
      <c r="AF178" s="417">
        <f t="shared" ref="AF178:AF210" si="154">Y178/AC178</f>
        <v>7.6133749174267046E-2</v>
      </c>
      <c r="AG178" s="417">
        <f t="shared" ref="AG178:AG210" si="155">Z178/AC178</f>
        <v>2.121294140613111E-2</v>
      </c>
      <c r="AH178" s="417">
        <f>AA178/AC178</f>
        <v>0</v>
      </c>
      <c r="AI178" s="417">
        <f t="shared" ref="AI178:AI209" si="156">AB178/AC178</f>
        <v>0.13533968147090827</v>
      </c>
      <c r="AJ178" s="525">
        <f t="shared" ref="AJ178:AJ210" si="157">SUM(AE178:AI178)</f>
        <v>0.99999999999999989</v>
      </c>
      <c r="AK178" s="1499">
        <f t="shared" ref="AK178:AK210" si="158">I178*(1-$J$137)-K178</f>
        <v>46951.271424460065</v>
      </c>
      <c r="AL178" s="1500">
        <f t="shared" ref="AL178:AL210" si="159">(E178*$C$86*$B$12-L178)*(1-U178)</f>
        <v>16739.351820641918</v>
      </c>
      <c r="AM178" s="1500">
        <f t="shared" ref="AM178:AM210" si="160">(E178*($C$85)*$B$12-O178)*(1-U178)</f>
        <v>1195.5253272030761</v>
      </c>
      <c r="AN178" s="1500">
        <f t="shared" ref="AN178:AN210" si="161">SUM(AK178:AM178)</f>
        <v>64886.148572305057</v>
      </c>
      <c r="AO178" s="1186">
        <f t="shared" ref="AO178:AO210" si="162">AN178-X178</f>
        <v>0</v>
      </c>
    </row>
    <row r="179" spans="1:41">
      <c r="A179" s="127">
        <f>'Input data'!A119</f>
        <v>2019</v>
      </c>
      <c r="B179" s="662">
        <f>'Input data'!B119</f>
        <v>58.364834921819444</v>
      </c>
      <c r="C179" s="236">
        <f>'Input data'!C119</f>
        <v>3168.3184457469288</v>
      </c>
      <c r="D179" s="528">
        <f>'Input data'!E119</f>
        <v>48412890.850439847</v>
      </c>
      <c r="E179" s="527">
        <f>'Input data'!J119*C179</f>
        <v>38245.302028730643</v>
      </c>
      <c r="F179" s="528">
        <f>'Input data'!L119</f>
        <v>86658.1928791705</v>
      </c>
      <c r="G179" s="528">
        <f t="shared" ref="G179:G189" si="163">$G$137*(1+((($G$150/$G$137)^(1/($A$150-$A$137)))-1))^(A179-$A$137)</f>
        <v>61517.098453473154</v>
      </c>
      <c r="H179" s="528">
        <f t="shared" si="135"/>
        <v>5861.5150469398213</v>
      </c>
      <c r="I179" s="530">
        <f t="shared" si="138"/>
        <v>48412.89085043985</v>
      </c>
      <c r="J179" s="417">
        <f t="shared" si="139"/>
        <v>7.3782491286642105E-2</v>
      </c>
      <c r="K179" s="775">
        <f t="shared" ref="K179:K210" si="164">(I179)*J179-(I179)*$J$137</f>
        <v>592.31974663455048</v>
      </c>
      <c r="L179" s="1514">
        <f t="shared" si="140"/>
        <v>0</v>
      </c>
      <c r="M179" s="1513">
        <f t="shared" ref="M179:M210" si="165">L179+K179</f>
        <v>592.31974663455048</v>
      </c>
      <c r="N179" s="1456">
        <f>($N$142-$N$137)/($A$102-$A$97)+N178</f>
        <v>0.1</v>
      </c>
      <c r="O179" s="530">
        <f t="shared" si="141"/>
        <v>150.38340000000005</v>
      </c>
      <c r="P179" s="1483">
        <f>O179+M179</f>
        <v>742.70314663455054</v>
      </c>
      <c r="Q179" s="1366">
        <f t="shared" si="142"/>
        <v>66635.910353778425</v>
      </c>
      <c r="R179" s="1366">
        <f t="shared" ref="R179:R210" si="166">Q179-G179</f>
        <v>5118.8119003052707</v>
      </c>
      <c r="S179" s="576">
        <f t="shared" si="143"/>
        <v>0.23486128718237054</v>
      </c>
      <c r="T179" s="135" t="str">
        <f t="shared" si="144"/>
        <v>Yes</v>
      </c>
      <c r="U179" s="1091">
        <f t="shared" si="145"/>
        <v>0.23486128718237054</v>
      </c>
      <c r="V179" s="1496">
        <f t="shared" si="136"/>
        <v>81539.380978865214</v>
      </c>
      <c r="W179" s="1493">
        <f t="shared" si="137"/>
        <v>5.9068989673516037E-2</v>
      </c>
      <c r="X179" s="527">
        <f t="shared" si="146"/>
        <v>61517.098453473154</v>
      </c>
      <c r="Y179" s="1511">
        <f t="shared" si="147"/>
        <v>6634.6363936607713</v>
      </c>
      <c r="Z179" s="1533">
        <f t="shared" si="148"/>
        <v>1878.6693594882986</v>
      </c>
      <c r="AA179" s="1533">
        <f t="shared" si="149"/>
        <v>0</v>
      </c>
      <c r="AB179" s="1533">
        <f t="shared" si="150"/>
        <v>11508.976772243002</v>
      </c>
      <c r="AC179" s="1533">
        <f t="shared" si="151"/>
        <v>81539.380978865214</v>
      </c>
      <c r="AD179" s="1489">
        <f t="shared" si="152"/>
        <v>0</v>
      </c>
      <c r="AE179" s="649">
        <f t="shared" si="153"/>
        <v>0.75444647377710927</v>
      </c>
      <c r="AF179" s="417">
        <f t="shared" si="154"/>
        <v>8.136726467644452E-2</v>
      </c>
      <c r="AG179" s="417">
        <f t="shared" si="155"/>
        <v>2.3040024794586614E-2</v>
      </c>
      <c r="AH179" s="417">
        <f t="shared" ref="AH179:AH210" si="167">AA179/AC179</f>
        <v>0</v>
      </c>
      <c r="AI179" s="417">
        <f t="shared" si="156"/>
        <v>0.14114623675185978</v>
      </c>
      <c r="AJ179" s="525">
        <f t="shared" si="157"/>
        <v>1.0000000000000002</v>
      </c>
      <c r="AK179" s="1499">
        <f t="shared" si="158"/>
        <v>44840.867153106112</v>
      </c>
      <c r="AL179" s="1500">
        <f t="shared" si="159"/>
        <v>15618.001787389161</v>
      </c>
      <c r="AM179" s="1500">
        <f t="shared" si="160"/>
        <v>1058.2295129778754</v>
      </c>
      <c r="AN179" s="1500">
        <f t="shared" si="161"/>
        <v>61517.098453473147</v>
      </c>
      <c r="AO179" s="1186">
        <f t="shared" si="162"/>
        <v>0</v>
      </c>
    </row>
    <row r="180" spans="1:41">
      <c r="A180" s="127">
        <f>'Input data'!A120</f>
        <v>2020</v>
      </c>
      <c r="B180" s="662">
        <f>'Input data'!B120</f>
        <v>59.308690000000006</v>
      </c>
      <c r="C180" s="236">
        <f>'Input data'!C120</f>
        <v>2944.9182124750064</v>
      </c>
      <c r="D180" s="528">
        <f>'Input data'!E120</f>
        <v>45517474.780710384</v>
      </c>
      <c r="E180" s="527">
        <f>'Input data'!J120*C180</f>
        <v>35548.600437309862</v>
      </c>
      <c r="F180" s="528">
        <f>'Input data'!L120</f>
        <v>81066.07521802024</v>
      </c>
      <c r="G180" s="528">
        <f t="shared" si="163"/>
        <v>58322.977791126912</v>
      </c>
      <c r="H180" s="528">
        <f t="shared" si="135"/>
        <v>4791.0393779705264</v>
      </c>
      <c r="I180" s="530">
        <f t="shared" si="138"/>
        <v>45517.474780710385</v>
      </c>
      <c r="J180" s="417">
        <f t="shared" si="139"/>
        <v>8.0783733850016193E-2</v>
      </c>
      <c r="K180" s="775">
        <f t="shared" si="164"/>
        <v>875.57392889450148</v>
      </c>
      <c r="L180" s="1514">
        <f t="shared" si="140"/>
        <v>0</v>
      </c>
      <c r="M180" s="1513">
        <f t="shared" si="165"/>
        <v>875.57392889450148</v>
      </c>
      <c r="N180" s="1456">
        <f>($N$142-$N$137)/($A$102-$A$97)+N179</f>
        <v>0.15000000000000002</v>
      </c>
      <c r="O180" s="530">
        <f t="shared" si="141"/>
        <v>225.57510000000011</v>
      </c>
      <c r="P180" s="1483">
        <f t="shared" ref="P180:P210" si="168">O180+M180</f>
        <v>1101.1490288945015</v>
      </c>
      <c r="Q180" s="1366">
        <f t="shared" si="142"/>
        <v>62012.86814020294</v>
      </c>
      <c r="R180" s="1366">
        <f t="shared" si="166"/>
        <v>3689.8903490760276</v>
      </c>
      <c r="S180" s="576">
        <f t="shared" si="143"/>
        <v>0.18291717756360076</v>
      </c>
      <c r="T180" s="135" t="str">
        <f t="shared" si="144"/>
        <v>Yes</v>
      </c>
      <c r="U180" s="1091">
        <f t="shared" si="145"/>
        <v>0.18291717756360076</v>
      </c>
      <c r="V180" s="1496">
        <f t="shared" si="136"/>
        <v>77376.184868944227</v>
      </c>
      <c r="W180" s="1493">
        <f t="shared" si="137"/>
        <v>4.5517071588236813E-2</v>
      </c>
      <c r="X180" s="527">
        <f t="shared" si="146"/>
        <v>58322.977791126912</v>
      </c>
      <c r="Y180" s="1511">
        <f t="shared" si="147"/>
        <v>6523.7374137082334</v>
      </c>
      <c r="Z180" s="1533">
        <f t="shared" si="148"/>
        <v>1831.998471140033</v>
      </c>
      <c r="AA180" s="1533">
        <f t="shared" si="149"/>
        <v>0</v>
      </c>
      <c r="AB180" s="1533">
        <f t="shared" si="150"/>
        <v>10697.471192969046</v>
      </c>
      <c r="AC180" s="1533">
        <f t="shared" si="151"/>
        <v>77376.184868944227</v>
      </c>
      <c r="AD180" s="1489">
        <f t="shared" si="152"/>
        <v>0</v>
      </c>
      <c r="AE180" s="649">
        <f t="shared" si="153"/>
        <v>0.75375876815213039</v>
      </c>
      <c r="AF180" s="417">
        <f t="shared" si="154"/>
        <v>8.4311954960790608E-2</v>
      </c>
      <c r="AG180" s="417">
        <f t="shared" si="155"/>
        <v>2.3676515897533293E-2</v>
      </c>
      <c r="AH180" s="417">
        <f t="shared" si="167"/>
        <v>0</v>
      </c>
      <c r="AI180" s="417">
        <f t="shared" si="156"/>
        <v>0.13825276098954567</v>
      </c>
      <c r="AJ180" s="525">
        <f t="shared" si="157"/>
        <v>0.99999999999999989</v>
      </c>
      <c r="AK180" s="1499">
        <f t="shared" si="158"/>
        <v>41840.403212500649</v>
      </c>
      <c r="AL180" s="1500">
        <f t="shared" si="159"/>
        <v>15502.287421152019</v>
      </c>
      <c r="AM180" s="1500">
        <f t="shared" si="160"/>
        <v>980.28715747423735</v>
      </c>
      <c r="AN180" s="1500">
        <f t="shared" si="161"/>
        <v>58322.977791126905</v>
      </c>
      <c r="AO180" s="1186">
        <f t="shared" si="162"/>
        <v>0</v>
      </c>
    </row>
    <row r="181" spans="1:41">
      <c r="A181" s="127">
        <f>'Input data'!A121</f>
        <v>2021</v>
      </c>
      <c r="B181" s="662">
        <f>'Input data'!B121</f>
        <v>59.991580449204264</v>
      </c>
      <c r="C181" s="236">
        <f>'Input data'!C121</f>
        <v>3018.4380966643439</v>
      </c>
      <c r="D181" s="528">
        <f>'Input data'!E121</f>
        <v>45871162.972715415</v>
      </c>
      <c r="E181" s="527">
        <f>'Input data'!J121*C181</f>
        <v>36436.071259478318</v>
      </c>
      <c r="F181" s="528">
        <f>'Input data'!L121</f>
        <v>82307.234232193732</v>
      </c>
      <c r="G181" s="528">
        <f t="shared" si="163"/>
        <v>55294.7038130703</v>
      </c>
      <c r="H181" s="528">
        <f t="shared" si="135"/>
        <v>8660.4699159677548</v>
      </c>
      <c r="I181" s="530">
        <f t="shared" si="138"/>
        <v>45871.162972715414</v>
      </c>
      <c r="J181" s="417">
        <f t="shared" si="139"/>
        <v>8.8449326404511766E-2</v>
      </c>
      <c r="K181" s="775">
        <f t="shared" si="164"/>
        <v>1234.0071186273071</v>
      </c>
      <c r="L181" s="1514">
        <f t="shared" si="140"/>
        <v>0</v>
      </c>
      <c r="M181" s="1513">
        <f t="shared" si="165"/>
        <v>1234.0071186273071</v>
      </c>
      <c r="N181" s="1456">
        <f>($N$142-$N$137)/($A$102-$A$97)+N180</f>
        <v>0.2</v>
      </c>
      <c r="O181" s="530">
        <f t="shared" si="141"/>
        <v>300.7668000000001</v>
      </c>
      <c r="P181" s="1483">
        <f t="shared" si="168"/>
        <v>1534.7739186273072</v>
      </c>
      <c r="Q181" s="1366">
        <f t="shared" si="142"/>
        <v>62420.399810410745</v>
      </c>
      <c r="R181" s="1366">
        <f t="shared" si="166"/>
        <v>7125.6959973404446</v>
      </c>
      <c r="S181" s="576">
        <f t="shared" si="143"/>
        <v>0.34579828860926021</v>
      </c>
      <c r="T181" s="135" t="str">
        <f t="shared" si="144"/>
        <v>Yes</v>
      </c>
      <c r="U181" s="1091">
        <f t="shared" si="145"/>
        <v>0.34579828860926021</v>
      </c>
      <c r="V181" s="1496">
        <f t="shared" si="136"/>
        <v>75181.538234853288</v>
      </c>
      <c r="W181" s="1493">
        <f t="shared" si="137"/>
        <v>8.6574358424417741E-2</v>
      </c>
      <c r="X181" s="527">
        <f t="shared" si="146"/>
        <v>55294.7038130703</v>
      </c>
      <c r="Y181" s="1511">
        <f t="shared" si="147"/>
        <v>6975.0063256406702</v>
      </c>
      <c r="Z181" s="1533">
        <f t="shared" si="148"/>
        <v>1947.2945311541612</v>
      </c>
      <c r="AA181" s="1533">
        <f t="shared" si="149"/>
        <v>0</v>
      </c>
      <c r="AB181" s="1533">
        <f t="shared" si="150"/>
        <v>10964.533564988158</v>
      </c>
      <c r="AC181" s="1533">
        <f t="shared" si="151"/>
        <v>75181.538234853288</v>
      </c>
      <c r="AD181" s="1489">
        <f t="shared" si="152"/>
        <v>0</v>
      </c>
      <c r="AE181" s="649">
        <f t="shared" si="153"/>
        <v>0.735482474970648</v>
      </c>
      <c r="AF181" s="417">
        <f t="shared" si="154"/>
        <v>9.277552028600472E-2</v>
      </c>
      <c r="AG181" s="417">
        <f t="shared" si="155"/>
        <v>2.5901232894054011E-2</v>
      </c>
      <c r="AH181" s="417">
        <f t="shared" si="167"/>
        <v>0</v>
      </c>
      <c r="AI181" s="417">
        <f t="shared" si="156"/>
        <v>0.14584077184929328</v>
      </c>
      <c r="AJ181" s="525">
        <f t="shared" si="157"/>
        <v>1</v>
      </c>
      <c r="AK181" s="1499">
        <f t="shared" si="158"/>
        <v>41813.889506387153</v>
      </c>
      <c r="AL181" s="1500">
        <f t="shared" si="159"/>
        <v>12721.854255997479</v>
      </c>
      <c r="AM181" s="1500">
        <f t="shared" si="160"/>
        <v>758.96005068566637</v>
      </c>
      <c r="AN181" s="1500">
        <f t="shared" si="161"/>
        <v>55294.7038130703</v>
      </c>
      <c r="AO181" s="1186">
        <f t="shared" si="162"/>
        <v>0</v>
      </c>
    </row>
    <row r="182" spans="1:41">
      <c r="A182" s="127">
        <f>'Input data'!A122</f>
        <v>2022</v>
      </c>
      <c r="B182" s="1553">
        <f>'Input data'!B122</f>
        <v>60.682333816399378</v>
      </c>
      <c r="C182" s="1552">
        <f>'Input data'!C122</f>
        <v>3086.0582602351519</v>
      </c>
      <c r="D182" s="1511">
        <f>'Input data'!E122</f>
        <v>45764081.347342722</v>
      </c>
      <c r="E182" s="1510">
        <f>'Input data'!J122*C182</f>
        <v>37252.325567017797</v>
      </c>
      <c r="F182" s="1511">
        <f>'Input data'!L122</f>
        <v>83016.406914360516</v>
      </c>
      <c r="G182" s="1511">
        <f t="shared" si="163"/>
        <v>52423.665347216396</v>
      </c>
      <c r="H182" s="1511">
        <f t="shared" si="135"/>
        <v>11899.389921519913</v>
      </c>
      <c r="I182" s="1513">
        <f t="shared" si="138"/>
        <v>45764.081347342719</v>
      </c>
      <c r="J182" s="1506">
        <f t="shared" si="139"/>
        <v>9.6842309318564565E-2</v>
      </c>
      <c r="K182" s="1514">
        <f t="shared" si="164"/>
        <v>1615.2236057051464</v>
      </c>
      <c r="L182" s="1514">
        <f t="shared" si="140"/>
        <v>0</v>
      </c>
      <c r="M182" s="1513">
        <f t="shared" si="165"/>
        <v>1615.2236057051464</v>
      </c>
      <c r="N182" s="1456">
        <f>$C$26</f>
        <v>0.25</v>
      </c>
      <c r="O182" s="530">
        <f t="shared" si="141"/>
        <v>375.95850000000013</v>
      </c>
      <c r="P182" s="1483">
        <f t="shared" si="168"/>
        <v>1991.1821057051466</v>
      </c>
      <c r="Q182" s="1366">
        <f t="shared" si="142"/>
        <v>62331.873163031159</v>
      </c>
      <c r="R182" s="1366">
        <f t="shared" si="166"/>
        <v>9908.2078158147633</v>
      </c>
      <c r="S182" s="576">
        <f t="shared" si="143"/>
        <v>0.47182635930578831</v>
      </c>
      <c r="T182" s="135" t="str">
        <f t="shared" si="144"/>
        <v>Yes</v>
      </c>
      <c r="U182" s="1091">
        <f t="shared" si="145"/>
        <v>0.47182635930578831</v>
      </c>
      <c r="V182" s="1496">
        <f t="shared" si="136"/>
        <v>73108.199098545752</v>
      </c>
      <c r="W182" s="1493">
        <f>(1-V182/F182)</f>
        <v>0.11935240495334909</v>
      </c>
      <c r="X182" s="527">
        <f t="shared" si="146"/>
        <v>52423.665347216403</v>
      </c>
      <c r="Y182" s="1511">
        <f t="shared" si="147"/>
        <v>7414.9963085309673</v>
      </c>
      <c r="Z182" s="1533">
        <f t="shared" si="148"/>
        <v>2059.3723526974704</v>
      </c>
      <c r="AA182" s="1533">
        <f t="shared" si="149"/>
        <v>0</v>
      </c>
      <c r="AB182" s="1533">
        <f t="shared" si="150"/>
        <v>11210.165090100914</v>
      </c>
      <c r="AC182" s="1533">
        <f t="shared" si="151"/>
        <v>73108.199098545752</v>
      </c>
      <c r="AD182" s="1489">
        <f t="shared" si="152"/>
        <v>0</v>
      </c>
      <c r="AE182" s="649">
        <f t="shared" si="153"/>
        <v>0.7170695762393523</v>
      </c>
      <c r="AF182" s="417">
        <f t="shared" si="154"/>
        <v>0.1014249619052436</v>
      </c>
      <c r="AG182" s="417">
        <f t="shared" si="155"/>
        <v>2.816882891509271E-2</v>
      </c>
      <c r="AH182" s="417">
        <f t="shared" si="167"/>
        <v>0</v>
      </c>
      <c r="AI182" s="417">
        <f t="shared" si="156"/>
        <v>0.15333663294031138</v>
      </c>
      <c r="AJ182" s="525">
        <f t="shared" si="157"/>
        <v>1</v>
      </c>
      <c r="AK182" s="1499">
        <f t="shared" si="158"/>
        <v>41332.1820258234</v>
      </c>
      <c r="AL182" s="1500">
        <f t="shared" si="159"/>
        <v>10501.160839538528</v>
      </c>
      <c r="AM182" s="1500">
        <f t="shared" si="160"/>
        <v>590.32248185446406</v>
      </c>
      <c r="AN182" s="1500">
        <f t="shared" si="161"/>
        <v>52423.665347216389</v>
      </c>
      <c r="AO182" s="1186">
        <f t="shared" si="162"/>
        <v>0</v>
      </c>
    </row>
    <row r="183" spans="1:41">
      <c r="A183" s="127">
        <f>'Input data'!A123</f>
        <v>2023</v>
      </c>
      <c r="B183" s="1553">
        <f>'Input data'!B123</f>
        <v>61.381040636574369</v>
      </c>
      <c r="C183" s="1552">
        <f>'Input data'!C123</f>
        <v>3153.9083559128044</v>
      </c>
      <c r="D183" s="1511">
        <f>'Input data'!E123</f>
        <v>45569695.474175937</v>
      </c>
      <c r="E183" s="1510">
        <f>'Input data'!J123*C183</f>
        <v>38071.355423487395</v>
      </c>
      <c r="F183" s="1511">
        <f>'Input data'!L123</f>
        <v>83641.050897663343</v>
      </c>
      <c r="G183" s="1511">
        <f t="shared" si="163"/>
        <v>49701.698334937471</v>
      </c>
      <c r="H183" s="1511">
        <f t="shared" si="135"/>
        <v>14908.900234461784</v>
      </c>
      <c r="I183" s="1513">
        <f t="shared" si="138"/>
        <v>45569.69547417594</v>
      </c>
      <c r="J183" s="1506">
        <f t="shared" si="139"/>
        <v>0.10603170487993842</v>
      </c>
      <c r="K183" s="1514">
        <f t="shared" si="164"/>
        <v>2027.1207970805822</v>
      </c>
      <c r="L183" s="1514">
        <f t="shared" si="140"/>
        <v>0</v>
      </c>
      <c r="M183" s="1513">
        <f t="shared" si="165"/>
        <v>2027.1207970805822</v>
      </c>
      <c r="N183" s="1456">
        <f>($N$147-$N$142)/($A$107-$A$102)+N182</f>
        <v>0.3</v>
      </c>
      <c r="O183" s="530">
        <f t="shared" si="141"/>
        <v>451.15020000000015</v>
      </c>
      <c r="P183" s="1483">
        <f t="shared" si="168"/>
        <v>2478.2709970805822</v>
      </c>
      <c r="Q183" s="1366">
        <f t="shared" si="142"/>
        <v>62132.327572318674</v>
      </c>
      <c r="R183" s="1366">
        <f t="shared" si="166"/>
        <v>12430.629237381203</v>
      </c>
      <c r="S183" s="576">
        <f t="shared" si="143"/>
        <v>0.58102081401495431</v>
      </c>
      <c r="T183" s="135" t="str">
        <f t="shared" si="144"/>
        <v>Yes</v>
      </c>
      <c r="U183" s="1091">
        <f t="shared" si="145"/>
        <v>0.58102081401495431</v>
      </c>
      <c r="V183" s="1496">
        <f t="shared" si="136"/>
        <v>71210.42166028214</v>
      </c>
      <c r="W183" s="1493">
        <f t="shared" si="137"/>
        <v>0.14861875961590143</v>
      </c>
      <c r="X183" s="527">
        <f t="shared" si="146"/>
        <v>49701.698334937471</v>
      </c>
      <c r="Y183" s="1511">
        <f t="shared" si="147"/>
        <v>7880.5158774965339</v>
      </c>
      <c r="Z183" s="1533">
        <f t="shared" si="148"/>
        <v>2171.5755999006997</v>
      </c>
      <c r="AA183" s="1533">
        <f t="shared" si="149"/>
        <v>0</v>
      </c>
      <c r="AB183" s="1533">
        <f t="shared" si="150"/>
        <v>11456.631847947434</v>
      </c>
      <c r="AC183" s="1533">
        <f t="shared" si="151"/>
        <v>71210.42166028214</v>
      </c>
      <c r="AD183" s="1489">
        <f t="shared" si="152"/>
        <v>0</v>
      </c>
      <c r="AE183" s="649">
        <f t="shared" si="153"/>
        <v>0.69795540001216938</v>
      </c>
      <c r="AF183" s="417">
        <f t="shared" si="154"/>
        <v>0.11066520452710532</v>
      </c>
      <c r="AG183" s="417">
        <f t="shared" si="155"/>
        <v>3.049519367067452E-2</v>
      </c>
      <c r="AH183" s="417">
        <f t="shared" si="167"/>
        <v>0</v>
      </c>
      <c r="AI183" s="417">
        <f t="shared" si="156"/>
        <v>0.16088420179005078</v>
      </c>
      <c r="AJ183" s="525">
        <f t="shared" si="157"/>
        <v>1</v>
      </c>
      <c r="AK183" s="1499">
        <f t="shared" si="158"/>
        <v>40737.862972189447</v>
      </c>
      <c r="AL183" s="1500">
        <f t="shared" si="159"/>
        <v>8513.3009223932186</v>
      </c>
      <c r="AM183" s="1500">
        <f t="shared" si="160"/>
        <v>450.53444035479725</v>
      </c>
      <c r="AN183" s="1500">
        <f t="shared" si="161"/>
        <v>49701.698334937464</v>
      </c>
      <c r="AO183" s="1186">
        <f t="shared" si="162"/>
        <v>0</v>
      </c>
    </row>
    <row r="184" spans="1:41">
      <c r="A184" s="127">
        <f>'Input data'!A124</f>
        <v>2024</v>
      </c>
      <c r="B184" s="1553">
        <f>'Input data'!B124</f>
        <v>62.087792487153699</v>
      </c>
      <c r="C184" s="1552">
        <f>'Input data'!C124</f>
        <v>3232.6126442228219</v>
      </c>
      <c r="D184" s="1511">
        <f>'Input data'!E124</f>
        <v>46327457.455900244</v>
      </c>
      <c r="E184" s="1510">
        <f>'Input data'!J124*C184</f>
        <v>39021.40805516448</v>
      </c>
      <c r="F184" s="1511">
        <f>'Input data'!L124</f>
        <v>85348.865511064723</v>
      </c>
      <c r="G184" s="1511">
        <f t="shared" si="163"/>
        <v>47121.062615822855</v>
      </c>
      <c r="H184" s="1511">
        <f t="shared" si="135"/>
        <v>18745.806363115727</v>
      </c>
      <c r="I184" s="1513">
        <f t="shared" si="138"/>
        <v>46327.457455900243</v>
      </c>
      <c r="J184" s="1506">
        <f t="shared" si="139"/>
        <v>0.11609308492183117</v>
      </c>
      <c r="K184" s="1514">
        <f t="shared" si="164"/>
        <v>2526.9472113659185</v>
      </c>
      <c r="L184" s="1514">
        <f t="shared" si="140"/>
        <v>0</v>
      </c>
      <c r="M184" s="1513">
        <f t="shared" si="165"/>
        <v>2526.9472113659185</v>
      </c>
      <c r="N184" s="1456">
        <f>($N$147-$N$142)/($A$107-$A$102)+N183</f>
        <v>0.35</v>
      </c>
      <c r="O184" s="530">
        <f t="shared" si="141"/>
        <v>526.34190000000012</v>
      </c>
      <c r="P184" s="1483">
        <f t="shared" si="168"/>
        <v>3053.2891113659189</v>
      </c>
      <c r="Q184" s="1366">
        <f t="shared" si="142"/>
        <v>62813.579867572662</v>
      </c>
      <c r="R184" s="1366">
        <f t="shared" si="166"/>
        <v>15692.517251749807</v>
      </c>
      <c r="S184" s="576">
        <f t="shared" si="143"/>
        <v>0.71771935176579849</v>
      </c>
      <c r="T184" s="135" t="str">
        <f t="shared" si="144"/>
        <v>Yes</v>
      </c>
      <c r="U184" s="1091">
        <f t="shared" si="145"/>
        <v>0.71771935176579849</v>
      </c>
      <c r="V184" s="1496">
        <f t="shared" si="136"/>
        <v>69656.348259314924</v>
      </c>
      <c r="W184" s="1493">
        <f t="shared" si="137"/>
        <v>0.18386322018205858</v>
      </c>
      <c r="X184" s="527">
        <f t="shared" si="146"/>
        <v>47121.062615822855</v>
      </c>
      <c r="Y184" s="1511">
        <f t="shared" si="147"/>
        <v>8503.0592769430677</v>
      </c>
      <c r="Z184" s="1533">
        <f t="shared" si="148"/>
        <v>2289.6997004049217</v>
      </c>
      <c r="AA184" s="1533">
        <f t="shared" si="149"/>
        <v>0</v>
      </c>
      <c r="AB184" s="1533">
        <f t="shared" si="150"/>
        <v>11742.526666144084</v>
      </c>
      <c r="AC184" s="1533">
        <f t="shared" si="151"/>
        <v>69656.348259314924</v>
      </c>
      <c r="AD184" s="1489">
        <f t="shared" si="152"/>
        <v>0</v>
      </c>
      <c r="AE184" s="649">
        <f t="shared" si="153"/>
        <v>0.67647908329046669</v>
      </c>
      <c r="AF184" s="417">
        <f t="shared" si="154"/>
        <v>0.12207156259883291</v>
      </c>
      <c r="AG184" s="417">
        <f t="shared" si="155"/>
        <v>3.2871371491954827E-2</v>
      </c>
      <c r="AH184" s="417">
        <f t="shared" si="167"/>
        <v>0</v>
      </c>
      <c r="AI184" s="417">
        <f t="shared" si="156"/>
        <v>0.16857798261874563</v>
      </c>
      <c r="AJ184" s="525">
        <f t="shared" si="157"/>
        <v>1</v>
      </c>
      <c r="AK184" s="1499">
        <f t="shared" si="158"/>
        <v>40949.160003259894</v>
      </c>
      <c r="AL184" s="1500">
        <f t="shared" si="159"/>
        <v>5878.8345763766965</v>
      </c>
      <c r="AM184" s="1500">
        <f t="shared" si="160"/>
        <v>293.06803618626037</v>
      </c>
      <c r="AN184" s="1500">
        <f t="shared" si="161"/>
        <v>47121.062615822855</v>
      </c>
      <c r="AO184" s="1186">
        <f t="shared" si="162"/>
        <v>0</v>
      </c>
    </row>
    <row r="185" spans="1:41">
      <c r="A185" s="127">
        <f>'Input data'!A125</f>
        <v>2025</v>
      </c>
      <c r="B185" s="1553">
        <f>'Input data'!B125</f>
        <v>62.802682000000026</v>
      </c>
      <c r="C185" s="1552">
        <f>'Input data'!C125</f>
        <v>3311.8439930677405</v>
      </c>
      <c r="D185" s="1511">
        <f>'Input data'!E125</f>
        <v>46801820.784301206</v>
      </c>
      <c r="E185" s="1510">
        <f>'Input data'!J125*C185</f>
        <v>39977.822922737316</v>
      </c>
      <c r="F185" s="1511">
        <f>'Input data'!L125</f>
        <v>86779.643707038515</v>
      </c>
      <c r="G185" s="1511">
        <f t="shared" si="163"/>
        <v>44674.419917829786</v>
      </c>
      <c r="H185" s="1511">
        <f t="shared" si="135"/>
        <v>22186.414059812174</v>
      </c>
      <c r="I185" s="1513">
        <f t="shared" si="138"/>
        <v>46801.820784301206</v>
      </c>
      <c r="J185" s="1506">
        <f t="shared" si="139"/>
        <v>0.12710919231119061</v>
      </c>
      <c r="K185" s="1514">
        <f t="shared" si="164"/>
        <v>3068.3954071756348</v>
      </c>
      <c r="L185" s="1514">
        <f t="shared" si="140"/>
        <v>0</v>
      </c>
      <c r="M185" s="1513">
        <f t="shared" si="165"/>
        <v>3068.3954071756348</v>
      </c>
      <c r="N185" s="1456">
        <f>($N$147-$N$142)/($A$107-$A$102)+N184</f>
        <v>0.39999999999999997</v>
      </c>
      <c r="O185" s="530">
        <f t="shared" si="141"/>
        <v>601.53360000000009</v>
      </c>
      <c r="P185" s="1483">
        <f t="shared" si="168"/>
        <v>3669.929007175635</v>
      </c>
      <c r="Q185" s="1366">
        <f t="shared" si="142"/>
        <v>63190.904970466327</v>
      </c>
      <c r="R185" s="1366">
        <f t="shared" si="166"/>
        <v>18516.485052636541</v>
      </c>
      <c r="S185" s="576">
        <f t="shared" si="143"/>
        <v>0.82892217951149916</v>
      </c>
      <c r="T185" s="135" t="str">
        <f t="shared" si="144"/>
        <v>Yes</v>
      </c>
      <c r="U185" s="1091">
        <f t="shared" si="145"/>
        <v>0.82892217951149916</v>
      </c>
      <c r="V185" s="1496">
        <f t="shared" si="136"/>
        <v>68263.158654401981</v>
      </c>
      <c r="W185" s="1493">
        <f t="shared" si="137"/>
        <v>0.21337360078530376</v>
      </c>
      <c r="X185" s="527">
        <f t="shared" si="146"/>
        <v>44674.419917829786</v>
      </c>
      <c r="Y185" s="1511">
        <f t="shared" si="147"/>
        <v>9150.2913877054598</v>
      </c>
      <c r="Z185" s="1533">
        <f t="shared" si="148"/>
        <v>2408.1113071487689</v>
      </c>
      <c r="AA185" s="1533">
        <f t="shared" si="149"/>
        <v>0</v>
      </c>
      <c r="AB185" s="1533">
        <f t="shared" si="150"/>
        <v>12030.33604171797</v>
      </c>
      <c r="AC185" s="1533">
        <f t="shared" si="151"/>
        <v>68263.158654401981</v>
      </c>
      <c r="AD185" s="1489">
        <f t="shared" si="152"/>
        <v>0</v>
      </c>
      <c r="AE185" s="649">
        <f t="shared" si="153"/>
        <v>0.65444407786642811</v>
      </c>
      <c r="AF185" s="417">
        <f t="shared" si="154"/>
        <v>0.13404435962348191</v>
      </c>
      <c r="AG185" s="417">
        <f t="shared" si="155"/>
        <v>3.5276880745299069E-2</v>
      </c>
      <c r="AH185" s="417">
        <f t="shared" si="167"/>
        <v>0</v>
      </c>
      <c r="AI185" s="417">
        <f t="shared" si="156"/>
        <v>0.17623468176479098</v>
      </c>
      <c r="AJ185" s="525">
        <f t="shared" si="157"/>
        <v>1.0000000000000002</v>
      </c>
      <c r="AK185" s="1499">
        <f t="shared" si="158"/>
        <v>40852.879145715582</v>
      </c>
      <c r="AL185" s="1500">
        <f t="shared" si="159"/>
        <v>3650.2284525923892</v>
      </c>
      <c r="AM185" s="1500">
        <f t="shared" si="160"/>
        <v>171.31231952181344</v>
      </c>
      <c r="AN185" s="1500">
        <f t="shared" si="161"/>
        <v>44674.419917829786</v>
      </c>
      <c r="AO185" s="1186">
        <f t="shared" si="162"/>
        <v>0</v>
      </c>
    </row>
    <row r="186" spans="1:41">
      <c r="A186" s="127">
        <f>'Input data'!A126</f>
        <v>2026</v>
      </c>
      <c r="B186" s="1553">
        <f>'Input data'!B126</f>
        <v>63.421065342005143</v>
      </c>
      <c r="C186" s="1552">
        <f>'Input data'!C126</f>
        <v>3393.1756913606432</v>
      </c>
      <c r="D186" s="1511">
        <f>'Input data'!E126</f>
        <v>46479674.028888769</v>
      </c>
      <c r="E186" s="1510">
        <f>'Input data'!J126*C186</f>
        <v>40959.591459892159</v>
      </c>
      <c r="F186" s="1511">
        <f>'Input data'!L126</f>
        <v>87439.265488780919</v>
      </c>
      <c r="G186" s="1511">
        <f t="shared" si="163"/>
        <v>42354.812990240433</v>
      </c>
      <c r="H186" s="1511">
        <f t="shared" si="135"/>
        <v>24767.047412836153</v>
      </c>
      <c r="I186" s="1513">
        <f t="shared" si="138"/>
        <v>46479.674028888767</v>
      </c>
      <c r="J186" s="1506">
        <f t="shared" si="139"/>
        <v>0.13917062141024203</v>
      </c>
      <c r="K186" s="1514">
        <f t="shared" si="164"/>
        <v>3607.8862904273583</v>
      </c>
      <c r="L186" s="1514">
        <f t="shared" si="140"/>
        <v>0</v>
      </c>
      <c r="M186" s="1513">
        <f t="shared" si="165"/>
        <v>3607.8862904273583</v>
      </c>
      <c r="N186" s="1456">
        <f>($N$147-$N$142)/($A$107-$A$102)+N185</f>
        <v>0.44999999999999996</v>
      </c>
      <c r="O186" s="530">
        <f t="shared" si="141"/>
        <v>676.72530000000006</v>
      </c>
      <c r="P186" s="1483">
        <f t="shared" si="168"/>
        <v>4284.6115904273584</v>
      </c>
      <c r="Q186" s="1366">
        <f t="shared" si="142"/>
        <v>62837.248812649224</v>
      </c>
      <c r="R186" s="1366">
        <f t="shared" si="166"/>
        <v>20482.435822408792</v>
      </c>
      <c r="S186" s="576">
        <f t="shared" si="143"/>
        <v>0.89732210606280804</v>
      </c>
      <c r="T186" s="135" t="str">
        <f t="shared" si="144"/>
        <v>Yes</v>
      </c>
      <c r="U186" s="1091">
        <f t="shared" si="145"/>
        <v>0.89732210606280804</v>
      </c>
      <c r="V186" s="1496">
        <f t="shared" si="136"/>
        <v>66956.829666372127</v>
      </c>
      <c r="W186" s="1493">
        <f t="shared" si="137"/>
        <v>0.23424757410658759</v>
      </c>
      <c r="X186" s="527">
        <f t="shared" si="146"/>
        <v>42354.812990240433</v>
      </c>
      <c r="Y186" s="1511">
        <f t="shared" si="147"/>
        <v>9748.5730662157803</v>
      </c>
      <c r="Z186" s="1533">
        <f t="shared" si="148"/>
        <v>2527.6686334669353</v>
      </c>
      <c r="AA186" s="1533">
        <f t="shared" si="149"/>
        <v>0</v>
      </c>
      <c r="AB186" s="1533">
        <f t="shared" si="150"/>
        <v>12325.774976448984</v>
      </c>
      <c r="AC186" s="1533">
        <f t="shared" si="151"/>
        <v>66956.829666372127</v>
      </c>
      <c r="AD186" s="1489">
        <f t="shared" si="152"/>
        <v>0</v>
      </c>
      <c r="AE186" s="1456">
        <f t="shared" si="153"/>
        <v>0.6325689731918771</v>
      </c>
      <c r="AF186" s="1506">
        <f t="shared" si="154"/>
        <v>0.14559490218981838</v>
      </c>
      <c r="AG186" s="1506">
        <f t="shared" si="155"/>
        <v>3.7750721562858164E-2</v>
      </c>
      <c r="AH186" s="1506">
        <f t="shared" si="167"/>
        <v>0</v>
      </c>
      <c r="AI186" s="1506">
        <f t="shared" si="156"/>
        <v>0.18408540305544641</v>
      </c>
      <c r="AJ186" s="1543">
        <f t="shared" si="157"/>
        <v>1</v>
      </c>
      <c r="AK186" s="1557">
        <f t="shared" si="158"/>
        <v>40011.068911342831</v>
      </c>
      <c r="AL186" s="1558">
        <f t="shared" si="159"/>
        <v>2244.6041709535093</v>
      </c>
      <c r="AM186" s="1558">
        <f t="shared" si="160"/>
        <v>99.139907944091732</v>
      </c>
      <c r="AN186" s="1500">
        <f t="shared" si="161"/>
        <v>42354.812990240433</v>
      </c>
      <c r="AO186" s="1186">
        <f t="shared" si="162"/>
        <v>0</v>
      </c>
    </row>
    <row r="187" spans="1:41">
      <c r="A187" s="127">
        <f>'Input data'!A127</f>
        <v>2027</v>
      </c>
      <c r="B187" s="1553">
        <f>'Input data'!B127</f>
        <v>64.045537563425796</v>
      </c>
      <c r="C187" s="1552">
        <f>'Input data'!C127</f>
        <v>3472.5774012476563</v>
      </c>
      <c r="D187" s="1511">
        <f>'Input data'!E127</f>
        <v>45641833.264745638</v>
      </c>
      <c r="E187" s="1510">
        <f>'Input data'!J127*C187</f>
        <v>41918.062784106085</v>
      </c>
      <c r="F187" s="1511">
        <f>'Input data'!L127</f>
        <v>87559.896048851719</v>
      </c>
      <c r="G187" s="1511">
        <f t="shared" si="163"/>
        <v>40155.6458200876</v>
      </c>
      <c r="H187" s="1511">
        <f t="shared" si="135"/>
        <v>26729.918693081803</v>
      </c>
      <c r="I187" s="1513">
        <f t="shared" si="138"/>
        <v>45641.833264745641</v>
      </c>
      <c r="J187" s="1506">
        <f t="shared" si="139"/>
        <v>0.15237656310721223</v>
      </c>
      <c r="K187" s="1514">
        <f t="shared" si="164"/>
        <v>4145.5940640116496</v>
      </c>
      <c r="L187" s="1514">
        <f t="shared" si="140"/>
        <v>0</v>
      </c>
      <c r="M187" s="1513">
        <f t="shared" si="165"/>
        <v>4145.5940640116496</v>
      </c>
      <c r="N187" s="1456">
        <f>$C$27</f>
        <v>0.5</v>
      </c>
      <c r="O187" s="530">
        <f t="shared" si="141"/>
        <v>751.91700000000026</v>
      </c>
      <c r="P187" s="1483">
        <f t="shared" si="168"/>
        <v>4897.51106401165</v>
      </c>
      <c r="Q187" s="1366">
        <f t="shared" si="142"/>
        <v>61988.053449157756</v>
      </c>
      <c r="R187" s="1366">
        <f t="shared" si="166"/>
        <v>21832.407629070156</v>
      </c>
      <c r="S187" s="576">
        <f t="shared" si="143"/>
        <v>0.93697436191041916</v>
      </c>
      <c r="T187" s="135" t="str">
        <f t="shared" si="144"/>
        <v>Yes</v>
      </c>
      <c r="U187" s="1091">
        <f t="shared" si="145"/>
        <v>0.93697436191041916</v>
      </c>
      <c r="V187" s="1496">
        <f t="shared" si="136"/>
        <v>65727.488419781585</v>
      </c>
      <c r="W187" s="1493">
        <f t="shared" si="137"/>
        <v>0.24934254852117821</v>
      </c>
      <c r="X187" s="527">
        <f t="shared" si="146"/>
        <v>40155.6458200876</v>
      </c>
      <c r="Y187" s="1511">
        <f t="shared" si="147"/>
        <v>10311.466237506627</v>
      </c>
      <c r="Z187" s="1533">
        <f t="shared" si="148"/>
        <v>2646.1731704518984</v>
      </c>
      <c r="AA187" s="1533">
        <f t="shared" si="149"/>
        <v>0</v>
      </c>
      <c r="AB187" s="1533">
        <f>E187*$E$12</f>
        <v>12614.203191735462</v>
      </c>
      <c r="AC187" s="1533">
        <f t="shared" si="151"/>
        <v>65727.488419781585</v>
      </c>
      <c r="AD187" s="1489">
        <f t="shared" si="152"/>
        <v>0</v>
      </c>
      <c r="AE187" s="1456">
        <f t="shared" si="153"/>
        <v>0.61094143083066921</v>
      </c>
      <c r="AF187" s="1506">
        <f t="shared" si="154"/>
        <v>0.15688209736009404</v>
      </c>
      <c r="AG187" s="1506">
        <f t="shared" si="155"/>
        <v>4.025976397502961E-2</v>
      </c>
      <c r="AH187" s="1506">
        <f t="shared" si="167"/>
        <v>0</v>
      </c>
      <c r="AI187" s="1506">
        <f t="shared" si="156"/>
        <v>0.19191670783420722</v>
      </c>
      <c r="AJ187" s="1543">
        <f t="shared" si="157"/>
        <v>1</v>
      </c>
      <c r="AK187" s="1557">
        <f t="shared" si="158"/>
        <v>38687.087577951272</v>
      </c>
      <c r="AL187" s="1558">
        <f t="shared" si="159"/>
        <v>1410.0212321578776</v>
      </c>
      <c r="AM187" s="1558">
        <f t="shared" si="160"/>
        <v>58.53700997845619</v>
      </c>
      <c r="AN187" s="1500">
        <f t="shared" si="161"/>
        <v>40155.645820087608</v>
      </c>
      <c r="AO187" s="1186">
        <f t="shared" si="162"/>
        <v>0</v>
      </c>
    </row>
    <row r="188" spans="1:41">
      <c r="A188" s="127">
        <f>'Input data'!A128</f>
        <v>2028</v>
      </c>
      <c r="B188" s="1553">
        <f>'Input data'!B128</f>
        <v>64.676158618096451</v>
      </c>
      <c r="C188" s="1552">
        <f>'Input data'!C128</f>
        <v>3555.7273448150845</v>
      </c>
      <c r="D188" s="1511">
        <f>'Input data'!E128</f>
        <v>44757313.865039073</v>
      </c>
      <c r="E188" s="1510">
        <f>'Input data'!J128*C188</f>
        <v>42921.779664168149</v>
      </c>
      <c r="F188" s="1511">
        <f>'Input data'!L128</f>
        <v>87679.093529207224</v>
      </c>
      <c r="G188" s="1511">
        <f t="shared" si="163"/>
        <v>38070.664875792791</v>
      </c>
      <c r="H188" s="1511">
        <f t="shared" si="135"/>
        <v>28560.760298447844</v>
      </c>
      <c r="I188" s="1513">
        <f t="shared" si="138"/>
        <v>44757.313865039076</v>
      </c>
      <c r="J188" s="1506">
        <f t="shared" si="139"/>
        <v>0.16683562054324133</v>
      </c>
      <c r="K188" s="1514">
        <f t="shared" si="164"/>
        <v>4712.4027785351827</v>
      </c>
      <c r="L188" s="1514">
        <f t="shared" si="140"/>
        <v>0</v>
      </c>
      <c r="M188" s="1513">
        <f t="shared" si="165"/>
        <v>4712.4027785351827</v>
      </c>
      <c r="N188" s="1456">
        <f>N187</f>
        <v>0.5</v>
      </c>
      <c r="O188" s="530">
        <f t="shared" si="141"/>
        <v>751.91700000000026</v>
      </c>
      <c r="P188" s="1483">
        <f t="shared" si="168"/>
        <v>5464.3197785351831</v>
      </c>
      <c r="Q188" s="1366">
        <f t="shared" si="142"/>
        <v>61167.105395705454</v>
      </c>
      <c r="R188" s="1366">
        <f t="shared" si="166"/>
        <v>23096.440519912663</v>
      </c>
      <c r="S188" s="576">
        <f t="shared" si="143"/>
        <v>0.96731296546475554</v>
      </c>
      <c r="T188" s="135" t="str">
        <f t="shared" si="144"/>
        <v>Yes</v>
      </c>
      <c r="U188" s="1091">
        <f t="shared" si="145"/>
        <v>0.96731296546475554</v>
      </c>
      <c r="V188" s="1496">
        <f t="shared" si="136"/>
        <v>64582.653009294576</v>
      </c>
      <c r="W188" s="1493">
        <f t="shared" si="137"/>
        <v>0.2634201562795454</v>
      </c>
      <c r="X188" s="527">
        <f t="shared" si="146"/>
        <v>38070.664875792791</v>
      </c>
      <c r="Y188" s="1511">
        <f t="shared" si="147"/>
        <v>10904.210565287234</v>
      </c>
      <c r="Z188" s="1533">
        <f t="shared" si="148"/>
        <v>2691.530631344991</v>
      </c>
      <c r="AA188" s="1533">
        <f t="shared" si="149"/>
        <v>0</v>
      </c>
      <c r="AB188" s="1533">
        <f t="shared" si="150"/>
        <v>12916.246936869558</v>
      </c>
      <c r="AC188" s="1533">
        <f t="shared" si="151"/>
        <v>64582.653009294576</v>
      </c>
      <c r="AD188" s="1489">
        <f t="shared" si="152"/>
        <v>0</v>
      </c>
      <c r="AE188" s="1456">
        <f t="shared" si="153"/>
        <v>0.5894874722832113</v>
      </c>
      <c r="AF188" s="1506">
        <f t="shared" si="154"/>
        <v>0.16884116797923937</v>
      </c>
      <c r="AG188" s="1506">
        <f t="shared" si="155"/>
        <v>4.1675752015911033E-2</v>
      </c>
      <c r="AH188" s="1506">
        <f t="shared" si="167"/>
        <v>0</v>
      </c>
      <c r="AI188" s="1506">
        <f t="shared" si="156"/>
        <v>0.19999560772163824</v>
      </c>
      <c r="AJ188" s="1543">
        <f t="shared" si="157"/>
        <v>1</v>
      </c>
      <c r="AK188" s="1557">
        <f t="shared" si="158"/>
        <v>37290.199632516669</v>
      </c>
      <c r="AL188" s="1558">
        <f t="shared" si="159"/>
        <v>748.79069673295317</v>
      </c>
      <c r="AM188" s="1558">
        <f t="shared" si="160"/>
        <v>31.674546543176088</v>
      </c>
      <c r="AN188" s="1500">
        <f t="shared" si="161"/>
        <v>38070.664875792798</v>
      </c>
      <c r="AO188" s="1186">
        <f t="shared" si="162"/>
        <v>0</v>
      </c>
    </row>
    <row r="189" spans="1:41">
      <c r="A189" s="127">
        <f>'Input data'!A129</f>
        <v>2029</v>
      </c>
      <c r="B189" s="1553">
        <f>'Input data'!B129</f>
        <v>65.31298905018393</v>
      </c>
      <c r="C189" s="1552">
        <f>'Input data'!C129</f>
        <v>3635.303730869829</v>
      </c>
      <c r="D189" s="1511">
        <f>'Input data'!E129</f>
        <v>43023314.860788628</v>
      </c>
      <c r="E189" s="1510">
        <f>'Input data'!J129*C189</f>
        <v>43882.359533626659</v>
      </c>
      <c r="F189" s="1511">
        <f>'Input data'!L129</f>
        <v>86905.674394415284</v>
      </c>
      <c r="G189" s="1511">
        <f t="shared" si="163"/>
        <v>36093.941324681233</v>
      </c>
      <c r="H189" s="1511">
        <f t="shared" si="135"/>
        <v>29461.396130920548</v>
      </c>
      <c r="I189" s="1513">
        <f t="shared" si="138"/>
        <v>43023.314860788625</v>
      </c>
      <c r="J189" s="1506">
        <f>$J$137*(1+((($J$150/$J$137)^(1/($A$150-$A$137)))-1))^(A189-$A$137)</f>
        <v>0.18266670224386344</v>
      </c>
      <c r="K189" s="1514">
        <f t="shared" si="164"/>
        <v>5210.9393086703149</v>
      </c>
      <c r="L189" s="1514">
        <f t="shared" si="140"/>
        <v>0</v>
      </c>
      <c r="M189" s="1513">
        <f t="shared" si="165"/>
        <v>5210.9393086703149</v>
      </c>
      <c r="N189" s="1456">
        <f t="shared" ref="N189:N210" si="169">N188</f>
        <v>0.5</v>
      </c>
      <c r="O189" s="530">
        <f t="shared" si="141"/>
        <v>751.91700000000026</v>
      </c>
      <c r="P189" s="1483">
        <f t="shared" si="168"/>
        <v>5962.8563086703152</v>
      </c>
      <c r="Q189" s="1366">
        <f t="shared" si="142"/>
        <v>59592.481146931466</v>
      </c>
      <c r="R189" s="1366">
        <f t="shared" si="166"/>
        <v>23498.539822250234</v>
      </c>
      <c r="S189" s="576">
        <f t="shared" si="143"/>
        <v>0.96194735722911107</v>
      </c>
      <c r="T189" s="135" t="str">
        <f t="shared" si="144"/>
        <v>Yes</v>
      </c>
      <c r="U189" s="1091">
        <f t="shared" si="145"/>
        <v>0.96194735722911107</v>
      </c>
      <c r="V189" s="1496">
        <f t="shared" si="136"/>
        <v>63407.134572165065</v>
      </c>
      <c r="W189" s="1493">
        <f t="shared" si="137"/>
        <v>0.27039131778212488</v>
      </c>
      <c r="X189" s="527">
        <f t="shared" si="146"/>
        <v>36093.941324681233</v>
      </c>
      <c r="Y189" s="1511">
        <f t="shared" si="147"/>
        <v>11372.944828410727</v>
      </c>
      <c r="Z189" s="1533">
        <f t="shared" si="148"/>
        <v>2734.9387524288591</v>
      </c>
      <c r="AA189" s="1533">
        <f t="shared" si="149"/>
        <v>0</v>
      </c>
      <c r="AB189" s="1533">
        <f t="shared" si="150"/>
        <v>13205.309666644245</v>
      </c>
      <c r="AC189" s="1533">
        <f t="shared" si="151"/>
        <v>63407.134572165065</v>
      </c>
      <c r="AD189" s="1489">
        <f t="shared" si="152"/>
        <v>0</v>
      </c>
      <c r="AE189" s="1456">
        <f t="shared" si="153"/>
        <v>0.569241009993945</v>
      </c>
      <c r="AF189" s="1506">
        <f t="shared" si="154"/>
        <v>0.17936380353959896</v>
      </c>
      <c r="AG189" s="1506">
        <f t="shared" si="155"/>
        <v>4.3132981341652721E-2</v>
      </c>
      <c r="AH189" s="1506">
        <f t="shared" si="167"/>
        <v>0</v>
      </c>
      <c r="AI189" s="1506">
        <f t="shared" si="156"/>
        <v>0.20826220512480326</v>
      </c>
      <c r="AJ189" s="1543">
        <f t="shared" si="157"/>
        <v>1</v>
      </c>
      <c r="AK189" s="1557">
        <f t="shared" si="158"/>
        <v>35164.387815568967</v>
      </c>
      <c r="AL189" s="1558">
        <f t="shared" si="159"/>
        <v>891.21398454939288</v>
      </c>
      <c r="AM189" s="1558">
        <f t="shared" si="160"/>
        <v>38.33952456287826</v>
      </c>
      <c r="AN189" s="1500">
        <f t="shared" si="161"/>
        <v>36093.94132468124</v>
      </c>
      <c r="AO189" s="1186">
        <f t="shared" si="162"/>
        <v>0</v>
      </c>
    </row>
    <row r="190" spans="1:41">
      <c r="A190" s="127">
        <f>'Input data'!A130</f>
        <v>2030</v>
      </c>
      <c r="B190" s="1553">
        <f>'Input data'!B130</f>
        <v>65.956090000000003</v>
      </c>
      <c r="C190" s="1552">
        <f>'Input data'!C130</f>
        <v>3717.2759118719223</v>
      </c>
      <c r="D190" s="1511">
        <f>'Input data'!E130</f>
        <v>41579903.969008513</v>
      </c>
      <c r="E190" s="1510">
        <f>'Input data'!J130*C190</f>
        <v>44871.859444719004</v>
      </c>
      <c r="F190" s="1511">
        <f>'Input data'!L130</f>
        <v>86451.763413727516</v>
      </c>
      <c r="G190" s="1511">
        <f>G177*(1-$C$4)</f>
        <v>34219.854173807704</v>
      </c>
      <c r="H190" s="1511">
        <f t="shared" si="135"/>
        <v>30548.69316023303</v>
      </c>
      <c r="I190" s="1513">
        <f t="shared" si="138"/>
        <v>41579.903969008512</v>
      </c>
      <c r="J190" s="1506">
        <v>0.2</v>
      </c>
      <c r="K190" s="1514">
        <f t="shared" si="164"/>
        <v>5756.8317335050542</v>
      </c>
      <c r="L190" s="1514">
        <f t="shared" si="140"/>
        <v>0</v>
      </c>
      <c r="M190" s="1513">
        <f t="shared" si="165"/>
        <v>5756.8317335050542</v>
      </c>
      <c r="N190" s="1456">
        <f t="shared" si="169"/>
        <v>0.5</v>
      </c>
      <c r="O190" s="530">
        <f t="shared" si="141"/>
        <v>751.91700000000026</v>
      </c>
      <c r="P190" s="1483">
        <f t="shared" si="168"/>
        <v>6508.7487335050546</v>
      </c>
      <c r="Q190" s="1366">
        <f t="shared" si="142"/>
        <v>58259.79860053568</v>
      </c>
      <c r="R190" s="1366">
        <f t="shared" si="166"/>
        <v>24039.944426727976</v>
      </c>
      <c r="S190" s="576">
        <f t="shared" si="143"/>
        <v>0.96175645052094361</v>
      </c>
      <c r="T190" s="135" t="str">
        <f t="shared" si="144"/>
        <v>Yes</v>
      </c>
      <c r="U190" s="1091">
        <f t="shared" si="145"/>
        <v>0.96175645052094361</v>
      </c>
      <c r="V190" s="1496">
        <f t="shared" si="136"/>
        <v>62411.818986999555</v>
      </c>
      <c r="W190" s="1493">
        <f t="shared" si="137"/>
        <v>0.27807349992019603</v>
      </c>
      <c r="X190" s="527">
        <f t="shared" si="146"/>
        <v>34219.854173807704</v>
      </c>
      <c r="Y190" s="1511">
        <f t="shared" si="147"/>
        <v>11909.235890596654</v>
      </c>
      <c r="Z190" s="1533">
        <f t="shared" si="148"/>
        <v>2779.6537556460157</v>
      </c>
      <c r="AA190" s="1533">
        <f t="shared" si="149"/>
        <v>0</v>
      </c>
      <c r="AB190" s="1533">
        <f t="shared" si="150"/>
        <v>13503.075166949178</v>
      </c>
      <c r="AC190" s="1533">
        <f t="shared" si="151"/>
        <v>62411.818986999555</v>
      </c>
      <c r="AD190" s="1489">
        <f t="shared" si="152"/>
        <v>0</v>
      </c>
      <c r="AE190" s="1456">
        <f t="shared" si="153"/>
        <v>0.54829124882477365</v>
      </c>
      <c r="AF190" s="1506">
        <f t="shared" si="154"/>
        <v>0.19081699722735784</v>
      </c>
      <c r="AG190" s="1506">
        <f t="shared" si="155"/>
        <v>4.4537297594627399E-2</v>
      </c>
      <c r="AH190" s="1506">
        <f t="shared" si="167"/>
        <v>0</v>
      </c>
      <c r="AI190" s="1506">
        <f t="shared" si="156"/>
        <v>0.21635445635324108</v>
      </c>
      <c r="AJ190" s="1543">
        <f t="shared" si="157"/>
        <v>1</v>
      </c>
      <c r="AK190" s="1557">
        <f t="shared" si="158"/>
        <v>33263.923175206815</v>
      </c>
      <c r="AL190" s="1558">
        <f t="shared" si="159"/>
        <v>915.88185967576169</v>
      </c>
      <c r="AM190" s="1558">
        <f t="shared" si="160"/>
        <v>40.049138925132326</v>
      </c>
      <c r="AN190" s="1500">
        <f t="shared" si="161"/>
        <v>34219.854173807711</v>
      </c>
      <c r="AO190" s="1186">
        <f t="shared" si="162"/>
        <v>0</v>
      </c>
    </row>
    <row r="191" spans="1:41">
      <c r="A191" s="127">
        <f>'Input data'!A131</f>
        <v>2031</v>
      </c>
      <c r="B191" s="1553">
        <f>'Input data'!B131</f>
        <v>66.518977190687664</v>
      </c>
      <c r="C191" s="1552">
        <f>'Input data'!C131</f>
        <v>3813.477009093895</v>
      </c>
      <c r="D191" s="1511">
        <f>'Input data'!E131</f>
        <v>40172018.684421316</v>
      </c>
      <c r="E191" s="1510">
        <f>'Input data'!J131*C191</f>
        <v>46033.118984046108</v>
      </c>
      <c r="F191" s="1511">
        <f>'Input data'!L131</f>
        <v>86205.137668467418</v>
      </c>
      <c r="G191" s="1511">
        <f>$G$150*(1+((($G$160/$G$150)^(1/($A$160-$A$150)))-1))^(A191-$A$150)</f>
        <v>33020.827958397946</v>
      </c>
      <c r="H191" s="1511">
        <f t="shared" si="135"/>
        <v>31092.825238054618</v>
      </c>
      <c r="I191" s="1513">
        <f t="shared" si="138"/>
        <v>40172.018684421317</v>
      </c>
      <c r="J191" s="1506">
        <f t="shared" ref="J191:J210" si="170">J190</f>
        <v>0.2</v>
      </c>
      <c r="K191" s="1514">
        <f t="shared" si="164"/>
        <v>5561.9068320553706</v>
      </c>
      <c r="L191" s="1514">
        <f t="shared" si="140"/>
        <v>0</v>
      </c>
      <c r="M191" s="1513">
        <f t="shared" si="165"/>
        <v>5561.9068320553706</v>
      </c>
      <c r="N191" s="1456">
        <f t="shared" si="169"/>
        <v>0.5</v>
      </c>
      <c r="O191" s="530">
        <f t="shared" si="141"/>
        <v>751.91700000000026</v>
      </c>
      <c r="P191" s="1483">
        <f t="shared" si="168"/>
        <v>6313.823832055371</v>
      </c>
      <c r="Q191" s="1366">
        <f t="shared" si="142"/>
        <v>57799.829364397192</v>
      </c>
      <c r="R191" s="1366">
        <f t="shared" si="166"/>
        <v>24779.001405999246</v>
      </c>
      <c r="S191" s="576">
        <f t="shared" si="143"/>
        <v>0.9655831333760263</v>
      </c>
      <c r="T191" s="135" t="str">
        <f t="shared" si="144"/>
        <v>Yes</v>
      </c>
      <c r="U191" s="1091">
        <f t="shared" si="145"/>
        <v>0.9655831333760263</v>
      </c>
      <c r="V191" s="1496">
        <f t="shared" si="136"/>
        <v>61426.136262468179</v>
      </c>
      <c r="W191" s="1493">
        <f t="shared" si="137"/>
        <v>0.28744228100760905</v>
      </c>
      <c r="X191" s="527">
        <f t="shared" si="146"/>
        <v>33020.827958397946</v>
      </c>
      <c r="Y191" s="1511">
        <f t="shared" si="147"/>
        <v>11720.650339046395</v>
      </c>
      <c r="Z191" s="1533">
        <f t="shared" si="148"/>
        <v>2832.1304900599107</v>
      </c>
      <c r="AA191" s="1533">
        <f t="shared" si="149"/>
        <v>0</v>
      </c>
      <c r="AB191" s="1533">
        <f t="shared" si="150"/>
        <v>13852.527474963932</v>
      </c>
      <c r="AC191" s="1533">
        <f t="shared" si="151"/>
        <v>61426.136262468179</v>
      </c>
      <c r="AD191" s="1489">
        <f t="shared" si="152"/>
        <v>0</v>
      </c>
      <c r="AE191" s="1456">
        <f t="shared" si="153"/>
        <v>0.53756967257883537</v>
      </c>
      <c r="AF191" s="1506">
        <f t="shared" si="154"/>
        <v>0.19080884867908904</v>
      </c>
      <c r="AG191" s="1506">
        <f t="shared" si="155"/>
        <v>4.610627759425532E-2</v>
      </c>
      <c r="AH191" s="1506">
        <f t="shared" si="167"/>
        <v>0</v>
      </c>
      <c r="AI191" s="1506">
        <f t="shared" si="156"/>
        <v>0.22551520114782034</v>
      </c>
      <c r="AJ191" s="1543">
        <f t="shared" si="157"/>
        <v>1</v>
      </c>
      <c r="AK191" s="1557">
        <f t="shared" si="158"/>
        <v>32137.614947537055</v>
      </c>
      <c r="AL191" s="1558">
        <f t="shared" si="159"/>
        <v>845.56875669134217</v>
      </c>
      <c r="AM191" s="1558">
        <f t="shared" si="160"/>
        <v>37.644254169548127</v>
      </c>
      <c r="AN191" s="1500">
        <f t="shared" si="161"/>
        <v>33020.827958397946</v>
      </c>
      <c r="AO191" s="1186">
        <f t="shared" si="162"/>
        <v>0</v>
      </c>
    </row>
    <row r="192" spans="1:41">
      <c r="A192" s="127">
        <f>'Input data'!A132</f>
        <v>2032</v>
      </c>
      <c r="B192" s="1553">
        <f>'Input data'!B132</f>
        <v>67.08666821358311</v>
      </c>
      <c r="C192" s="1552">
        <f>'Input data'!C132</f>
        <v>3916.9054384503629</v>
      </c>
      <c r="D192" s="1511">
        <f>'Input data'!E132</f>
        <v>39638613.148632608</v>
      </c>
      <c r="E192" s="1510">
        <f>'Input data'!J132*C192</f>
        <v>47281.620858725182</v>
      </c>
      <c r="F192" s="1511">
        <f>'Input data'!L132</f>
        <v>86920.234007357794</v>
      </c>
      <c r="G192" s="1511">
        <f t="shared" ref="G192:G199" si="171">$G$150*(1+((($G$160/$G$150)^(1/($A$160-$A$150)))-1))^(A192-$A$150)</f>
        <v>31863.814308498775</v>
      </c>
      <c r="H192" s="1511">
        <f t="shared" si="135"/>
        <v>32465.662521345956</v>
      </c>
      <c r="I192" s="1513">
        <f t="shared" si="138"/>
        <v>39638.613148632605</v>
      </c>
      <c r="J192" s="1506">
        <f t="shared" si="170"/>
        <v>0.2</v>
      </c>
      <c r="K192" s="1514">
        <f t="shared" si="164"/>
        <v>5488.0556293795662</v>
      </c>
      <c r="L192" s="1514">
        <f t="shared" si="140"/>
        <v>0</v>
      </c>
      <c r="M192" s="1513">
        <f t="shared" si="165"/>
        <v>5488.0556293795662</v>
      </c>
      <c r="N192" s="1456">
        <f t="shared" si="169"/>
        <v>0.5</v>
      </c>
      <c r="O192" s="530">
        <f t="shared" si="141"/>
        <v>751.91700000000026</v>
      </c>
      <c r="P192" s="1483">
        <f t="shared" si="168"/>
        <v>6239.9726293795666</v>
      </c>
      <c r="Q192" s="1366">
        <f t="shared" si="142"/>
        <v>58089.504200465162</v>
      </c>
      <c r="R192" s="1366">
        <f t="shared" si="166"/>
        <v>26225.689891966387</v>
      </c>
      <c r="S192" s="576">
        <f t="shared" si="143"/>
        <v>0.99420273591937869</v>
      </c>
      <c r="T192" s="135" t="str">
        <f t="shared" si="144"/>
        <v>Yes</v>
      </c>
      <c r="U192" s="1091">
        <f t="shared" si="145"/>
        <v>0.99420273591937869</v>
      </c>
      <c r="V192" s="1496">
        <f t="shared" si="136"/>
        <v>60694.5441153914</v>
      </c>
      <c r="W192" s="1493">
        <f t="shared" si="137"/>
        <v>0.30172134476474588</v>
      </c>
      <c r="X192" s="527">
        <f t="shared" si="146"/>
        <v>31863.814308498775</v>
      </c>
      <c r="Y192" s="1511">
        <f t="shared" si="147"/>
        <v>11713.946941305298</v>
      </c>
      <c r="Z192" s="1533">
        <f t="shared" si="148"/>
        <v>2888.549661721353</v>
      </c>
      <c r="AA192" s="1533">
        <f t="shared" si="149"/>
        <v>0</v>
      </c>
      <c r="AB192" s="1533">
        <f t="shared" si="150"/>
        <v>14228.233203865982</v>
      </c>
      <c r="AC192" s="1533">
        <f t="shared" si="151"/>
        <v>60694.5441153914</v>
      </c>
      <c r="AD192" s="1489">
        <f t="shared" si="152"/>
        <v>0</v>
      </c>
      <c r="AE192" s="1456">
        <f t="shared" si="153"/>
        <v>0.52498646744787891</v>
      </c>
      <c r="AF192" s="1506">
        <f t="shared" si="154"/>
        <v>0.19299835120328027</v>
      </c>
      <c r="AG192" s="1506">
        <f t="shared" si="155"/>
        <v>4.7591586753328162E-2</v>
      </c>
      <c r="AH192" s="1506">
        <f t="shared" si="167"/>
        <v>0</v>
      </c>
      <c r="AI192" s="1506">
        <f t="shared" si="156"/>
        <v>0.23442359459551282</v>
      </c>
      <c r="AJ192" s="1543">
        <f t="shared" si="157"/>
        <v>1.0000000000000002</v>
      </c>
      <c r="AK192" s="1557">
        <f t="shared" si="158"/>
        <v>31710.890518906082</v>
      </c>
      <c r="AL192" s="1558">
        <f t="shared" si="159"/>
        <v>146.29269396224635</v>
      </c>
      <c r="AM192" s="1558">
        <f t="shared" si="160"/>
        <v>6.6310956304419584</v>
      </c>
      <c r="AN192" s="1500">
        <f t="shared" si="161"/>
        <v>31863.814308498768</v>
      </c>
      <c r="AO192" s="1186">
        <f t="shared" si="162"/>
        <v>0</v>
      </c>
    </row>
    <row r="193" spans="1:41">
      <c r="A193" s="127">
        <f>'Input data'!A133</f>
        <v>2033</v>
      </c>
      <c r="B193" s="1553">
        <f>'Input data'!B133</f>
        <v>67.659204065895452</v>
      </c>
      <c r="C193" s="1552">
        <f>'Input data'!C133</f>
        <v>4023.8304695138613</v>
      </c>
      <c r="D193" s="1511">
        <f>'Input data'!E133</f>
        <v>38783300.848650038</v>
      </c>
      <c r="E193" s="1510">
        <f>'Input data'!J133*C193</f>
        <v>48572.330797602815</v>
      </c>
      <c r="F193" s="1511">
        <f>'Input data'!L133</f>
        <v>87355.631646252848</v>
      </c>
      <c r="G193" s="1511">
        <f t="shared" si="171"/>
        <v>30747.341149823493</v>
      </c>
      <c r="H193" s="1511">
        <f t="shared" si="135"/>
        <v>33520.084470341717</v>
      </c>
      <c r="I193" s="1513">
        <f t="shared" si="138"/>
        <v>38783.30084865004</v>
      </c>
      <c r="J193" s="1506">
        <f t="shared" si="170"/>
        <v>0.2</v>
      </c>
      <c r="K193" s="1514">
        <f t="shared" si="164"/>
        <v>5369.6357072396104</v>
      </c>
      <c r="L193" s="1514">
        <f t="shared" si="140"/>
        <v>0</v>
      </c>
      <c r="M193" s="1513">
        <f t="shared" si="165"/>
        <v>5369.6357072396104</v>
      </c>
      <c r="N193" s="1456">
        <f t="shared" si="169"/>
        <v>0.5</v>
      </c>
      <c r="O193" s="530">
        <f t="shared" si="141"/>
        <v>751.91700000000026</v>
      </c>
      <c r="P193" s="1483">
        <f t="shared" si="168"/>
        <v>6121.5527072396108</v>
      </c>
      <c r="Q193" s="1366">
        <f t="shared" si="142"/>
        <v>58145.872912925595</v>
      </c>
      <c r="R193" s="1366">
        <f t="shared" si="166"/>
        <v>27398.531763102103</v>
      </c>
      <c r="S193" s="576">
        <f t="shared" si="143"/>
        <v>1.0102989467654</v>
      </c>
      <c r="T193" s="135" t="str">
        <f t="shared" si="144"/>
        <v>No</v>
      </c>
      <c r="U193" s="1091">
        <f t="shared" si="145"/>
        <v>1</v>
      </c>
      <c r="V193" s="1496">
        <f t="shared" si="136"/>
        <v>60236.399412247294</v>
      </c>
      <c r="W193" s="1493">
        <f t="shared" si="137"/>
        <v>0.31044629548126956</v>
      </c>
      <c r="X193" s="527">
        <f t="shared" si="146"/>
        <v>31026.640678920034</v>
      </c>
      <c r="Y193" s="1511">
        <f t="shared" si="147"/>
        <v>11646.242134050357</v>
      </c>
      <c r="Z193" s="1533">
        <f t="shared" si="148"/>
        <v>2946.8761945712818</v>
      </c>
      <c r="AA193" s="1533">
        <f t="shared" si="149"/>
        <v>0</v>
      </c>
      <c r="AB193" s="1533">
        <f t="shared" si="150"/>
        <v>14616.640404705622</v>
      </c>
      <c r="AC193" s="1533">
        <f t="shared" si="151"/>
        <v>60236.399412247294</v>
      </c>
      <c r="AD193" s="1489">
        <f t="shared" si="152"/>
        <v>279.29952909654094</v>
      </c>
      <c r="AE193" s="1456">
        <f t="shared" si="153"/>
        <v>0.51508126285203693</v>
      </c>
      <c r="AF193" s="1506">
        <f t="shared" si="154"/>
        <v>0.19334226892191098</v>
      </c>
      <c r="AG193" s="1506">
        <f t="shared" si="155"/>
        <v>4.8921851626678094E-2</v>
      </c>
      <c r="AH193" s="1506">
        <f t="shared" si="167"/>
        <v>0</v>
      </c>
      <c r="AI193" s="1506">
        <f t="shared" si="156"/>
        <v>0.24265461659937396</v>
      </c>
      <c r="AJ193" s="1543">
        <f t="shared" si="157"/>
        <v>0.99999999999999989</v>
      </c>
      <c r="AK193" s="1557">
        <f t="shared" si="158"/>
        <v>31026.64067892003</v>
      </c>
      <c r="AL193" s="1558">
        <f t="shared" si="159"/>
        <v>0</v>
      </c>
      <c r="AM193" s="1558">
        <f t="shared" si="160"/>
        <v>0</v>
      </c>
      <c r="AN193" s="1500">
        <f t="shared" si="161"/>
        <v>31026.64067892003</v>
      </c>
      <c r="AO193" s="1186">
        <f t="shared" si="162"/>
        <v>0</v>
      </c>
    </row>
    <row r="194" spans="1:41">
      <c r="A194" s="127">
        <f>'Input data'!A134</f>
        <v>2034</v>
      </c>
      <c r="B194" s="1553">
        <f>'Input data'!B134</f>
        <v>68.236626094715163</v>
      </c>
      <c r="C194" s="1552">
        <f>'Input data'!C134</f>
        <v>4047.8499716455863</v>
      </c>
      <c r="D194" s="1511">
        <f>'Input data'!E134</f>
        <v>38249557.30478432</v>
      </c>
      <c r="E194" s="1510">
        <f>'Input data'!J134*C194</f>
        <v>48862.27422637675</v>
      </c>
      <c r="F194" s="1511">
        <f>'Input data'!L134</f>
        <v>87111.831531161064</v>
      </c>
      <c r="G194" s="1511">
        <f t="shared" si="171"/>
        <v>29669.987987956312</v>
      </c>
      <c r="H194" s="1511">
        <f t="shared" si="135"/>
        <v>34262.916400210044</v>
      </c>
      <c r="I194" s="1513">
        <f t="shared" si="138"/>
        <v>38249.557304784321</v>
      </c>
      <c r="J194" s="1506">
        <f t="shared" si="170"/>
        <v>0.2</v>
      </c>
      <c r="K194" s="1514">
        <f t="shared" si="164"/>
        <v>5295.7377065811706</v>
      </c>
      <c r="L194" s="1514">
        <f t="shared" si="140"/>
        <v>0</v>
      </c>
      <c r="M194" s="1513">
        <f t="shared" si="165"/>
        <v>5295.7377065811706</v>
      </c>
      <c r="N194" s="1456">
        <f t="shared" si="169"/>
        <v>0.5</v>
      </c>
      <c r="O194" s="530">
        <f t="shared" si="141"/>
        <v>751.91700000000026</v>
      </c>
      <c r="P194" s="1483">
        <f t="shared" si="168"/>
        <v>6047.654706581171</v>
      </c>
      <c r="Q194" s="1366">
        <f t="shared" si="142"/>
        <v>57885.249681585185</v>
      </c>
      <c r="R194" s="1366">
        <f t="shared" si="166"/>
        <v>28215.261693628872</v>
      </c>
      <c r="S194" s="576">
        <f t="shared" si="143"/>
        <v>1.0340713682350209</v>
      </c>
      <c r="T194" s="135" t="str">
        <f t="shared" si="144"/>
        <v>No</v>
      </c>
      <c r="U194" s="1091">
        <f t="shared" si="145"/>
        <v>1</v>
      </c>
      <c r="V194" s="1496">
        <f t="shared" si="136"/>
        <v>59826.227693403351</v>
      </c>
      <c r="W194" s="1493">
        <f t="shared" si="137"/>
        <v>0.31322500466537995</v>
      </c>
      <c r="X194" s="527">
        <f t="shared" si="146"/>
        <v>30599.645843827457</v>
      </c>
      <c r="Y194" s="1511">
        <f t="shared" si="147"/>
        <v>11562.711556108356</v>
      </c>
      <c r="Z194" s="1533">
        <f t="shared" si="148"/>
        <v>2959.9785922623614</v>
      </c>
      <c r="AA194" s="1533">
        <f t="shared" si="149"/>
        <v>0</v>
      </c>
      <c r="AB194" s="1533">
        <f t="shared" si="150"/>
        <v>14703.891701205175</v>
      </c>
      <c r="AC194" s="1533">
        <f t="shared" si="151"/>
        <v>59826.227693403351</v>
      </c>
      <c r="AD194" s="1489">
        <f t="shared" si="152"/>
        <v>929.65785587114442</v>
      </c>
      <c r="AE194" s="1456">
        <f t="shared" si="153"/>
        <v>0.51147543516606309</v>
      </c>
      <c r="AF194" s="1506">
        <f t="shared" si="154"/>
        <v>0.19327161350310745</v>
      </c>
      <c r="AG194" s="1506">
        <f t="shared" si="155"/>
        <v>4.9476269963595568E-2</v>
      </c>
      <c r="AH194" s="1506">
        <f t="shared" si="167"/>
        <v>0</v>
      </c>
      <c r="AI194" s="1506">
        <f t="shared" si="156"/>
        <v>0.24577668136723382</v>
      </c>
      <c r="AJ194" s="1543">
        <f t="shared" si="157"/>
        <v>0.99999999999999989</v>
      </c>
      <c r="AK194" s="1557">
        <f t="shared" si="158"/>
        <v>30599.645843827453</v>
      </c>
      <c r="AL194" s="1558">
        <f t="shared" si="159"/>
        <v>0</v>
      </c>
      <c r="AM194" s="1558">
        <f t="shared" si="160"/>
        <v>0</v>
      </c>
      <c r="AN194" s="1500">
        <f t="shared" si="161"/>
        <v>30599.645843827453</v>
      </c>
      <c r="AO194" s="1186">
        <f t="shared" si="162"/>
        <v>0</v>
      </c>
    </row>
    <row r="195" spans="1:41">
      <c r="A195" s="127">
        <f>'Input data'!A135</f>
        <v>2035</v>
      </c>
      <c r="B195" s="1553">
        <f>'Input data'!B135</f>
        <v>68.818976000000006</v>
      </c>
      <c r="C195" s="1552">
        <f>'Input data'!C135</f>
        <v>0</v>
      </c>
      <c r="D195" s="1511">
        <f>'Input data'!E135</f>
        <v>38181094.662935674</v>
      </c>
      <c r="E195" s="1510">
        <f>'Input data'!J135*C195</f>
        <v>0</v>
      </c>
      <c r="F195" s="1511">
        <f>'Input data'!L135</f>
        <v>38181.094662935677</v>
      </c>
      <c r="G195" s="1511">
        <f t="shared" si="171"/>
        <v>28630.384101050156</v>
      </c>
      <c r="H195" s="1511">
        <f t="shared" si="135"/>
        <v>7200.7505282938582</v>
      </c>
      <c r="I195" s="1513">
        <f t="shared" si="138"/>
        <v>38181.094662935677</v>
      </c>
      <c r="J195" s="1506">
        <f t="shared" si="170"/>
        <v>0.2</v>
      </c>
      <c r="K195" s="1514">
        <f t="shared" si="164"/>
        <v>5286.2588989954775</v>
      </c>
      <c r="L195" s="1514">
        <f t="shared" si="140"/>
        <v>0</v>
      </c>
      <c r="M195" s="1513">
        <f t="shared" si="165"/>
        <v>5286.2588989954775</v>
      </c>
      <c r="N195" s="1456">
        <f t="shared" si="169"/>
        <v>0.5</v>
      </c>
      <c r="O195" s="530">
        <f t="shared" si="141"/>
        <v>751.91700000000026</v>
      </c>
      <c r="P195" s="1483">
        <f t="shared" si="168"/>
        <v>6038.1758989954778</v>
      </c>
      <c r="Q195" s="1366">
        <f t="shared" si="142"/>
        <v>29792.958730348539</v>
      </c>
      <c r="R195" s="1366">
        <f t="shared" si="166"/>
        <v>1162.5746292983822</v>
      </c>
      <c r="S195" s="576">
        <f t="shared" si="143"/>
        <v>-1.5461475525867543</v>
      </c>
      <c r="T195" s="135" t="str">
        <f t="shared" si="144"/>
        <v>No</v>
      </c>
      <c r="U195" s="1091">
        <f t="shared" si="145"/>
        <v>0</v>
      </c>
      <c r="V195" s="1496">
        <f t="shared" si="136"/>
        <v>38181.094662935677</v>
      </c>
      <c r="W195" s="1493">
        <f t="shared" si="137"/>
        <v>0</v>
      </c>
      <c r="X195" s="527">
        <f t="shared" si="146"/>
        <v>29792.958730348542</v>
      </c>
      <c r="Y195" s="1511">
        <f t="shared" si="147"/>
        <v>7636.2189325871359</v>
      </c>
      <c r="Z195" s="1533">
        <f t="shared" si="148"/>
        <v>751.91700000000026</v>
      </c>
      <c r="AA195" s="1533">
        <f t="shared" si="149"/>
        <v>0</v>
      </c>
      <c r="AB195" s="1533">
        <f t="shared" si="150"/>
        <v>0</v>
      </c>
      <c r="AC195" s="1533">
        <f t="shared" si="151"/>
        <v>38181.094662935677</v>
      </c>
      <c r="AD195" s="1489">
        <f t="shared" si="152"/>
        <v>1162.5746292983858</v>
      </c>
      <c r="AE195" s="1456">
        <f t="shared" si="153"/>
        <v>0.7803065625373512</v>
      </c>
      <c r="AF195" s="1506">
        <f t="shared" si="154"/>
        <v>0.2</v>
      </c>
      <c r="AG195" s="1506">
        <f t="shared" si="155"/>
        <v>1.9693437462648868E-2</v>
      </c>
      <c r="AH195" s="1506">
        <f t="shared" si="167"/>
        <v>0</v>
      </c>
      <c r="AI195" s="1506">
        <f t="shared" si="156"/>
        <v>0</v>
      </c>
      <c r="AJ195" s="1543">
        <f t="shared" si="157"/>
        <v>1.0000000000000002</v>
      </c>
      <c r="AK195" s="1557">
        <f t="shared" si="158"/>
        <v>30544.875730348536</v>
      </c>
      <c r="AL195" s="1558">
        <f t="shared" si="159"/>
        <v>0</v>
      </c>
      <c r="AM195" s="1558">
        <f t="shared" si="160"/>
        <v>-751.91700000000026</v>
      </c>
      <c r="AN195" s="1500">
        <f t="shared" si="161"/>
        <v>29792.958730348535</v>
      </c>
      <c r="AO195" s="1186">
        <f t="shared" si="162"/>
        <v>0</v>
      </c>
    </row>
    <row r="196" spans="1:41">
      <c r="A196" s="127">
        <f>'Input data'!A136</f>
        <v>2036</v>
      </c>
      <c r="B196" s="1553">
        <f>'Input data'!B136</f>
        <v>69.322810489383542</v>
      </c>
      <c r="C196" s="1552">
        <f>'Input data'!C136</f>
        <v>0</v>
      </c>
      <c r="D196" s="1511">
        <f>'Input data'!E136</f>
        <v>32537026.437175773</v>
      </c>
      <c r="E196" s="1510">
        <f>'Input data'!J136*C196</f>
        <v>0</v>
      </c>
      <c r="F196" s="1511">
        <f>'Input data'!L136</f>
        <v>32537.026437175773</v>
      </c>
      <c r="G196" s="1511">
        <f t="shared" si="171"/>
        <v>27627.206795850379</v>
      </c>
      <c r="H196" s="1511">
        <f t="shared" si="135"/>
        <v>2907.2392435060901</v>
      </c>
      <c r="I196" s="1513">
        <f t="shared" si="138"/>
        <v>32537.026437175773</v>
      </c>
      <c r="J196" s="1506">
        <f t="shared" si="170"/>
        <v>0.2</v>
      </c>
      <c r="K196" s="1514">
        <f t="shared" si="164"/>
        <v>4504.8248896158502</v>
      </c>
      <c r="L196" s="1514">
        <f t="shared" si="140"/>
        <v>0</v>
      </c>
      <c r="M196" s="1513">
        <f t="shared" si="165"/>
        <v>4504.8248896158502</v>
      </c>
      <c r="N196" s="1456">
        <f t="shared" si="169"/>
        <v>0.5</v>
      </c>
      <c r="O196" s="530">
        <f t="shared" si="141"/>
        <v>751.91700000000026</v>
      </c>
      <c r="P196" s="1483">
        <f t="shared" si="168"/>
        <v>5256.7418896158506</v>
      </c>
      <c r="Q196" s="1366">
        <f t="shared" si="142"/>
        <v>25277.704149740617</v>
      </c>
      <c r="R196" s="1366">
        <f t="shared" si="166"/>
        <v>-2349.5026461097623</v>
      </c>
      <c r="S196" s="576">
        <f t="shared" si="143"/>
        <v>3.1246835037773559</v>
      </c>
      <c r="T196" s="135" t="str">
        <f t="shared" si="144"/>
        <v>No</v>
      </c>
      <c r="U196" s="1091">
        <f t="shared" si="145"/>
        <v>1</v>
      </c>
      <c r="V196" s="1496">
        <f t="shared" si="136"/>
        <v>33288.943437175774</v>
      </c>
      <c r="W196" s="1493">
        <f t="shared" si="137"/>
        <v>-2.310957952632342E-2</v>
      </c>
      <c r="X196" s="527">
        <f t="shared" si="146"/>
        <v>26029.621149740618</v>
      </c>
      <c r="Y196" s="1511">
        <f t="shared" si="147"/>
        <v>6507.4052874351546</v>
      </c>
      <c r="Z196" s="1533">
        <f t="shared" si="148"/>
        <v>751.91700000000026</v>
      </c>
      <c r="AA196" s="1533">
        <f t="shared" si="149"/>
        <v>0</v>
      </c>
      <c r="AB196" s="1533">
        <f t="shared" si="150"/>
        <v>0</v>
      </c>
      <c r="AC196" s="1533">
        <f t="shared" si="151"/>
        <v>33288.943437175774</v>
      </c>
      <c r="AD196" s="1489">
        <f t="shared" si="152"/>
        <v>-1597.585646109761</v>
      </c>
      <c r="AE196" s="1456">
        <f t="shared" si="153"/>
        <v>0.78192992814159934</v>
      </c>
      <c r="AF196" s="1506">
        <f t="shared" si="154"/>
        <v>0.19548248203539983</v>
      </c>
      <c r="AG196" s="1506">
        <f t="shared" si="155"/>
        <v>2.2587589823000784E-2</v>
      </c>
      <c r="AH196" s="1506">
        <f t="shared" si="167"/>
        <v>0</v>
      </c>
      <c r="AI196" s="1506">
        <f t="shared" si="156"/>
        <v>0</v>
      </c>
      <c r="AJ196" s="1543">
        <f t="shared" si="157"/>
        <v>1</v>
      </c>
      <c r="AK196" s="1557">
        <f t="shared" si="158"/>
        <v>26029.621149740618</v>
      </c>
      <c r="AL196" s="1558">
        <f t="shared" si="159"/>
        <v>0</v>
      </c>
      <c r="AM196" s="1558">
        <f t="shared" si="160"/>
        <v>0</v>
      </c>
      <c r="AN196" s="1500">
        <f t="shared" si="161"/>
        <v>26029.621149740618</v>
      </c>
      <c r="AO196" s="1186">
        <f t="shared" si="162"/>
        <v>0</v>
      </c>
    </row>
    <row r="197" spans="1:41">
      <c r="A197" s="127">
        <f>'Input data'!A137</f>
        <v>2037</v>
      </c>
      <c r="B197" s="1553">
        <f>'Input data'!B137</f>
        <v>69.830333629884052</v>
      </c>
      <c r="C197" s="1552">
        <f>'Input data'!C137</f>
        <v>0</v>
      </c>
      <c r="D197" s="1511">
        <f>'Input data'!E137</f>
        <v>27502394.556130182</v>
      </c>
      <c r="E197" s="1510">
        <f>'Input data'!J137*C197</f>
        <v>0</v>
      </c>
      <c r="F197" s="1511">
        <f>'Input data'!L137</f>
        <v>27502.394556130181</v>
      </c>
      <c r="G197" s="1511">
        <f t="shared" si="171"/>
        <v>26659.179724825448</v>
      </c>
      <c r="H197" s="1511">
        <f t="shared" si="135"/>
        <v>-849.4953595770894</v>
      </c>
      <c r="I197" s="1513">
        <f t="shared" si="138"/>
        <v>27502.394556130181</v>
      </c>
      <c r="J197" s="1506">
        <f t="shared" si="170"/>
        <v>0.2</v>
      </c>
      <c r="K197" s="1514">
        <f t="shared" si="164"/>
        <v>3807.768720344216</v>
      </c>
      <c r="L197" s="1514">
        <f t="shared" si="140"/>
        <v>0</v>
      </c>
      <c r="M197" s="1513">
        <f t="shared" si="165"/>
        <v>3807.768720344216</v>
      </c>
      <c r="N197" s="1456">
        <f t="shared" si="169"/>
        <v>0.5</v>
      </c>
      <c r="O197" s="530">
        <f t="shared" si="141"/>
        <v>751.91700000000026</v>
      </c>
      <c r="P197" s="1483">
        <f t="shared" si="168"/>
        <v>4559.685720344216</v>
      </c>
      <c r="Q197" s="1366">
        <f t="shared" si="142"/>
        <v>21249.998644904143</v>
      </c>
      <c r="R197" s="1366">
        <f t="shared" si="166"/>
        <v>-5409.1810799213054</v>
      </c>
      <c r="S197" s="576">
        <f t="shared" si="143"/>
        <v>7.1938539492008688</v>
      </c>
      <c r="T197" s="135" t="str">
        <f t="shared" si="144"/>
        <v>No</v>
      </c>
      <c r="U197" s="1091">
        <f t="shared" si="145"/>
        <v>1</v>
      </c>
      <c r="V197" s="1496">
        <f t="shared" si="136"/>
        <v>28254.311556130186</v>
      </c>
      <c r="W197" s="1493">
        <f t="shared" si="137"/>
        <v>-2.7340055734616175E-2</v>
      </c>
      <c r="X197" s="527">
        <f t="shared" si="146"/>
        <v>22001.915644904147</v>
      </c>
      <c r="Y197" s="1511">
        <f t="shared" si="147"/>
        <v>5500.4789112260369</v>
      </c>
      <c r="Z197" s="1533">
        <f t="shared" si="148"/>
        <v>751.91700000000026</v>
      </c>
      <c r="AA197" s="1533">
        <f t="shared" si="149"/>
        <v>0</v>
      </c>
      <c r="AB197" s="1533">
        <f t="shared" si="150"/>
        <v>0</v>
      </c>
      <c r="AC197" s="1533">
        <f t="shared" si="151"/>
        <v>28254.311556130186</v>
      </c>
      <c r="AD197" s="1489">
        <f t="shared" si="152"/>
        <v>-4657.2640799213004</v>
      </c>
      <c r="AE197" s="1456">
        <f t="shared" si="153"/>
        <v>0.77871002452829219</v>
      </c>
      <c r="AF197" s="1506">
        <f t="shared" si="154"/>
        <v>0.19467750613207305</v>
      </c>
      <c r="AG197" s="1506">
        <f t="shared" si="155"/>
        <v>2.6612469339634674E-2</v>
      </c>
      <c r="AH197" s="1506">
        <f t="shared" si="167"/>
        <v>0</v>
      </c>
      <c r="AI197" s="1506">
        <f t="shared" si="156"/>
        <v>0</v>
      </c>
      <c r="AJ197" s="1543">
        <f t="shared" si="157"/>
        <v>0.99999999999999989</v>
      </c>
      <c r="AK197" s="1557">
        <f t="shared" si="158"/>
        <v>22001.915644904144</v>
      </c>
      <c r="AL197" s="1558">
        <f t="shared" si="159"/>
        <v>0</v>
      </c>
      <c r="AM197" s="1558">
        <f t="shared" si="160"/>
        <v>0</v>
      </c>
      <c r="AN197" s="1500">
        <f t="shared" si="161"/>
        <v>22001.915644904144</v>
      </c>
      <c r="AO197" s="1186">
        <f t="shared" si="162"/>
        <v>0</v>
      </c>
    </row>
    <row r="198" spans="1:41">
      <c r="A198" s="127">
        <f>'Input data'!A138</f>
        <v>2038</v>
      </c>
      <c r="B198" s="1553">
        <f>'Input data'!B138</f>
        <v>70.341572426693446</v>
      </c>
      <c r="C198" s="1552">
        <f>'Input data'!C138</f>
        <v>0</v>
      </c>
      <c r="D198" s="1511">
        <f>'Input data'!E138</f>
        <v>25672806.243326273</v>
      </c>
      <c r="E198" s="1510">
        <f>'Input data'!J138*C198</f>
        <v>0</v>
      </c>
      <c r="F198" s="1511">
        <f>'Input data'!L138</f>
        <v>25672.806243326271</v>
      </c>
      <c r="G198" s="1511">
        <f t="shared" si="171"/>
        <v>25725.071262263602</v>
      </c>
      <c r="H198" s="1511">
        <f t="shared" si="135"/>
        <v>-1632.3681866059269</v>
      </c>
      <c r="I198" s="1513">
        <f t="shared" si="138"/>
        <v>25672.806243326271</v>
      </c>
      <c r="J198" s="1506">
        <f t="shared" si="170"/>
        <v>0.2</v>
      </c>
      <c r="K198" s="1514">
        <f t="shared" si="164"/>
        <v>3554.4580809966596</v>
      </c>
      <c r="L198" s="1514">
        <f t="shared" si="140"/>
        <v>0</v>
      </c>
      <c r="M198" s="1513">
        <f t="shared" si="165"/>
        <v>3554.4580809966596</v>
      </c>
      <c r="N198" s="1456">
        <f t="shared" si="169"/>
        <v>0.5</v>
      </c>
      <c r="O198" s="530">
        <f t="shared" si="141"/>
        <v>751.91700000000026</v>
      </c>
      <c r="P198" s="1483">
        <f t="shared" si="168"/>
        <v>4306.3750809966596</v>
      </c>
      <c r="Q198" s="1366">
        <f t="shared" si="142"/>
        <v>19786.327994661016</v>
      </c>
      <c r="R198" s="1366">
        <f t="shared" si="166"/>
        <v>-5938.7432676025855</v>
      </c>
      <c r="S198" s="576">
        <f t="shared" si="143"/>
        <v>7.8981367193487788</v>
      </c>
      <c r="T198" s="135" t="str">
        <f t="shared" si="144"/>
        <v>No</v>
      </c>
      <c r="U198" s="1091">
        <f t="shared" si="145"/>
        <v>1</v>
      </c>
      <c r="V198" s="1496">
        <f t="shared" si="136"/>
        <v>26424.723243326272</v>
      </c>
      <c r="W198" s="1493">
        <f t="shared" si="137"/>
        <v>-2.9288461606937322E-2</v>
      </c>
      <c r="X198" s="527">
        <f t="shared" si="146"/>
        <v>20538.244994661018</v>
      </c>
      <c r="Y198" s="1511">
        <f t="shared" si="147"/>
        <v>5134.5612486652544</v>
      </c>
      <c r="Z198" s="1533">
        <f t="shared" si="148"/>
        <v>751.91700000000026</v>
      </c>
      <c r="AA198" s="1533">
        <f t="shared" si="149"/>
        <v>0</v>
      </c>
      <c r="AB198" s="1533">
        <f t="shared" si="150"/>
        <v>0</v>
      </c>
      <c r="AC198" s="1533">
        <f t="shared" si="151"/>
        <v>26424.723243326272</v>
      </c>
      <c r="AD198" s="1489">
        <f t="shared" si="152"/>
        <v>-5186.8262676025843</v>
      </c>
      <c r="AE198" s="1456">
        <f t="shared" si="153"/>
        <v>0.77723595458461725</v>
      </c>
      <c r="AF198" s="1506">
        <f t="shared" si="154"/>
        <v>0.19430898864615431</v>
      </c>
      <c r="AG198" s="1506">
        <f t="shared" si="155"/>
        <v>2.8455056769228475E-2</v>
      </c>
      <c r="AH198" s="1506">
        <f t="shared" si="167"/>
        <v>0</v>
      </c>
      <c r="AI198" s="1506">
        <f t="shared" si="156"/>
        <v>0</v>
      </c>
      <c r="AJ198" s="1543">
        <f t="shared" si="157"/>
        <v>1</v>
      </c>
      <c r="AK198" s="1557">
        <f t="shared" si="158"/>
        <v>20538.244994661014</v>
      </c>
      <c r="AL198" s="1558">
        <f t="shared" si="159"/>
        <v>0</v>
      </c>
      <c r="AM198" s="1558">
        <f t="shared" si="160"/>
        <v>0</v>
      </c>
      <c r="AN198" s="1500">
        <f t="shared" si="161"/>
        <v>20538.244994661014</v>
      </c>
      <c r="AO198" s="1186">
        <f t="shared" si="162"/>
        <v>0</v>
      </c>
    </row>
    <row r="199" spans="1:41">
      <c r="A199" s="127">
        <f>'Input data'!A139</f>
        <v>2039</v>
      </c>
      <c r="B199" s="1553">
        <f>'Input data'!B139</f>
        <v>70.856554082712819</v>
      </c>
      <c r="C199" s="1552">
        <f>'Input data'!C139</f>
        <v>0</v>
      </c>
      <c r="D199" s="1511">
        <f>'Input data'!E139</f>
        <v>23843217.930522356</v>
      </c>
      <c r="E199" s="1510">
        <f>'Input data'!J139*C199</f>
        <v>0</v>
      </c>
      <c r="F199" s="1511">
        <f>'Input data'!L139</f>
        <v>23843.217930522354</v>
      </c>
      <c r="G199" s="1511">
        <f t="shared" si="171"/>
        <v>24823.692937269236</v>
      </c>
      <c r="H199" s="1511">
        <f t="shared" si="135"/>
        <v>-2447.9711512022513</v>
      </c>
      <c r="I199" s="1513">
        <f t="shared" si="138"/>
        <v>23843.217930522354</v>
      </c>
      <c r="J199" s="1506">
        <f t="shared" si="170"/>
        <v>0.2</v>
      </c>
      <c r="K199" s="1514">
        <f t="shared" si="164"/>
        <v>3301.1474416491028</v>
      </c>
      <c r="L199" s="1514">
        <f t="shared" si="140"/>
        <v>0</v>
      </c>
      <c r="M199" s="1513">
        <f t="shared" si="165"/>
        <v>3301.1474416491028</v>
      </c>
      <c r="N199" s="1456">
        <f t="shared" si="169"/>
        <v>0.5</v>
      </c>
      <c r="O199" s="530">
        <f t="shared" si="141"/>
        <v>751.91700000000026</v>
      </c>
      <c r="P199" s="1483">
        <f t="shared" si="168"/>
        <v>4053.0644416491032</v>
      </c>
      <c r="Q199" s="1366">
        <f t="shared" si="142"/>
        <v>18322.657344417879</v>
      </c>
      <c r="R199" s="1366">
        <f t="shared" si="166"/>
        <v>-6501.0355928513563</v>
      </c>
      <c r="S199" s="576">
        <f t="shared" si="143"/>
        <v>8.6459484129914781</v>
      </c>
      <c r="T199" s="135" t="str">
        <f t="shared" si="144"/>
        <v>No</v>
      </c>
      <c r="U199" s="1091">
        <f t="shared" si="145"/>
        <v>1</v>
      </c>
      <c r="V199" s="1496">
        <f t="shared" si="136"/>
        <v>24595.134930522356</v>
      </c>
      <c r="W199" s="1493">
        <f t="shared" si="137"/>
        <v>-3.1535885893885673E-2</v>
      </c>
      <c r="X199" s="527">
        <f t="shared" si="146"/>
        <v>19074.574344417884</v>
      </c>
      <c r="Y199" s="1511">
        <f t="shared" si="147"/>
        <v>4768.6435861044711</v>
      </c>
      <c r="Z199" s="1533">
        <f t="shared" si="148"/>
        <v>751.91700000000026</v>
      </c>
      <c r="AA199" s="1533">
        <f t="shared" si="149"/>
        <v>0</v>
      </c>
      <c r="AB199" s="1533">
        <f t="shared" si="150"/>
        <v>0</v>
      </c>
      <c r="AC199" s="1533">
        <f t="shared" si="151"/>
        <v>24595.134930522356</v>
      </c>
      <c r="AD199" s="1489">
        <f t="shared" si="152"/>
        <v>-5749.1185928513514</v>
      </c>
      <c r="AE199" s="1456">
        <f t="shared" si="153"/>
        <v>0.77554257776185231</v>
      </c>
      <c r="AF199" s="1506">
        <f t="shared" si="154"/>
        <v>0.19388564444046308</v>
      </c>
      <c r="AG199" s="1506">
        <f t="shared" si="155"/>
        <v>3.0571777797684597E-2</v>
      </c>
      <c r="AH199" s="1506">
        <f t="shared" si="167"/>
        <v>0</v>
      </c>
      <c r="AI199" s="1506">
        <f t="shared" si="156"/>
        <v>0</v>
      </c>
      <c r="AJ199" s="1543">
        <f t="shared" si="157"/>
        <v>1</v>
      </c>
      <c r="AK199" s="1557">
        <f t="shared" si="158"/>
        <v>19074.574344417881</v>
      </c>
      <c r="AL199" s="1558">
        <f t="shared" si="159"/>
        <v>0</v>
      </c>
      <c r="AM199" s="1558">
        <f t="shared" si="160"/>
        <v>0</v>
      </c>
      <c r="AN199" s="1500">
        <f t="shared" si="161"/>
        <v>19074.574344417881</v>
      </c>
      <c r="AO199" s="1186">
        <f t="shared" si="162"/>
        <v>0</v>
      </c>
    </row>
    <row r="200" spans="1:41">
      <c r="A200" s="127">
        <f>'Input data'!A140</f>
        <v>2040</v>
      </c>
      <c r="B200" s="1553">
        <f>'Input data'!B140</f>
        <v>71.375305999999995</v>
      </c>
      <c r="C200" s="1552">
        <f>'Input data'!C140</f>
        <v>0</v>
      </c>
      <c r="D200" s="1511">
        <f>'Input data'!E140</f>
        <v>22013629.617718432</v>
      </c>
      <c r="E200" s="1510">
        <f>'Input data'!J140*C200</f>
        <v>0</v>
      </c>
      <c r="F200" s="1511">
        <f>'Input data'!L140</f>
        <v>22013.62961771843</v>
      </c>
      <c r="G200" s="1511">
        <f>G177*(1-$C$5)</f>
        <v>23953.89792166539</v>
      </c>
      <c r="H200" s="1511">
        <f t="shared" si="135"/>
        <v>-3295.1574251890997</v>
      </c>
      <c r="I200" s="1513">
        <f t="shared" si="138"/>
        <v>22013.62961771843</v>
      </c>
      <c r="J200" s="1506">
        <f t="shared" si="170"/>
        <v>0.2</v>
      </c>
      <c r="K200" s="1514">
        <f t="shared" si="164"/>
        <v>3047.8368023015446</v>
      </c>
      <c r="L200" s="1514">
        <f t="shared" si="140"/>
        <v>0</v>
      </c>
      <c r="M200" s="1513">
        <f t="shared" si="165"/>
        <v>3047.8368023015446</v>
      </c>
      <c r="N200" s="1456">
        <f t="shared" si="169"/>
        <v>0.5</v>
      </c>
      <c r="O200" s="530">
        <f t="shared" si="141"/>
        <v>751.91700000000026</v>
      </c>
      <c r="P200" s="1483">
        <f t="shared" si="168"/>
        <v>3799.753802301545</v>
      </c>
      <c r="Q200" s="1366">
        <f t="shared" si="142"/>
        <v>16858.986694174746</v>
      </c>
      <c r="R200" s="1366">
        <f t="shared" si="166"/>
        <v>-7094.9112274906438</v>
      </c>
      <c r="S200" s="576">
        <f t="shared" si="143"/>
        <v>9.4357638243192614</v>
      </c>
      <c r="T200" s="135" t="str">
        <f t="shared" si="144"/>
        <v>No</v>
      </c>
      <c r="U200" s="1091">
        <f t="shared" si="145"/>
        <v>1</v>
      </c>
      <c r="V200" s="1496">
        <f t="shared" si="136"/>
        <v>22765.546617718432</v>
      </c>
      <c r="W200" s="1493">
        <f t="shared" si="137"/>
        <v>-3.4156884305657442E-2</v>
      </c>
      <c r="X200" s="527">
        <f t="shared" si="146"/>
        <v>17610.903694174744</v>
      </c>
      <c r="Y200" s="1511">
        <f t="shared" si="147"/>
        <v>4402.7259235436859</v>
      </c>
      <c r="Z200" s="1533">
        <f t="shared" si="148"/>
        <v>751.91700000000026</v>
      </c>
      <c r="AA200" s="1533">
        <f t="shared" si="149"/>
        <v>0</v>
      </c>
      <c r="AB200" s="1533">
        <f t="shared" si="150"/>
        <v>0</v>
      </c>
      <c r="AC200" s="1533">
        <f t="shared" si="151"/>
        <v>22765.546617718432</v>
      </c>
      <c r="AD200" s="1489">
        <f t="shared" si="152"/>
        <v>-6342.9942274906462</v>
      </c>
      <c r="AE200" s="1456">
        <f t="shared" si="153"/>
        <v>0.77357701925189759</v>
      </c>
      <c r="AF200" s="1506">
        <f t="shared" si="154"/>
        <v>0.1933942548129744</v>
      </c>
      <c r="AG200" s="1506">
        <f t="shared" si="155"/>
        <v>3.3028725935127907E-2</v>
      </c>
      <c r="AH200" s="1506">
        <f t="shared" si="167"/>
        <v>0</v>
      </c>
      <c r="AI200" s="1506">
        <f t="shared" si="156"/>
        <v>0</v>
      </c>
      <c r="AJ200" s="1543">
        <f t="shared" si="157"/>
        <v>0.99999999999999989</v>
      </c>
      <c r="AK200" s="1557">
        <f t="shared" si="158"/>
        <v>17610.903694174747</v>
      </c>
      <c r="AL200" s="1558">
        <f t="shared" si="159"/>
        <v>0</v>
      </c>
      <c r="AM200" s="1558">
        <f t="shared" si="160"/>
        <v>0</v>
      </c>
      <c r="AN200" s="1500">
        <f t="shared" si="161"/>
        <v>17610.903694174747</v>
      </c>
      <c r="AO200" s="1186">
        <f t="shared" si="162"/>
        <v>0</v>
      </c>
    </row>
    <row r="201" spans="1:41">
      <c r="A201" s="127">
        <f>'Input data'!A141</f>
        <v>2041</v>
      </c>
      <c r="B201" s="1553">
        <f>'Input data'!B141</f>
        <v>71.818612994947316</v>
      </c>
      <c r="C201" s="1552">
        <f>'Input data'!C141</f>
        <v>0</v>
      </c>
      <c r="D201" s="1511">
        <f>'Input data'!E141</f>
        <v>20405559.977125086</v>
      </c>
      <c r="E201" s="1510">
        <f>'Input data'!J141*C201</f>
        <v>0</v>
      </c>
      <c r="F201" s="1511">
        <f>'Input data'!L141</f>
        <v>20405.559977125085</v>
      </c>
      <c r="G201" s="1511">
        <f>$G$160*(1+((($G$170/$G$160)^(1/($A$170-$A$160)))-1))^(A201-$A$160)</f>
        <v>22650.218174049241</v>
      </c>
      <c r="H201" s="1511">
        <f t="shared" si="135"/>
        <v>-3500.5742682842356</v>
      </c>
      <c r="I201" s="1513">
        <f t="shared" si="138"/>
        <v>20405.559977125085</v>
      </c>
      <c r="J201" s="1506">
        <f t="shared" si="170"/>
        <v>0.2</v>
      </c>
      <c r="K201" s="1514">
        <f t="shared" si="164"/>
        <v>2825.1959240649376</v>
      </c>
      <c r="L201" s="1514">
        <f t="shared" si="140"/>
        <v>0</v>
      </c>
      <c r="M201" s="1513">
        <f t="shared" si="165"/>
        <v>2825.1959240649376</v>
      </c>
      <c r="N201" s="1456">
        <f t="shared" si="169"/>
        <v>0.5</v>
      </c>
      <c r="O201" s="530">
        <f t="shared" si="141"/>
        <v>751.91700000000026</v>
      </c>
      <c r="P201" s="1483">
        <f t="shared" si="168"/>
        <v>3577.1129240649379</v>
      </c>
      <c r="Q201" s="1366">
        <f t="shared" si="142"/>
        <v>15572.530981700067</v>
      </c>
      <c r="R201" s="1366">
        <f t="shared" si="166"/>
        <v>-7077.6871923491744</v>
      </c>
      <c r="S201" s="576">
        <f t="shared" si="143"/>
        <v>9.412856993988914</v>
      </c>
      <c r="T201" s="135" t="str">
        <f t="shared" si="144"/>
        <v>No</v>
      </c>
      <c r="U201" s="1091">
        <f t="shared" si="145"/>
        <v>1</v>
      </c>
      <c r="V201" s="1496">
        <f t="shared" si="136"/>
        <v>21157.476977125087</v>
      </c>
      <c r="W201" s="1493">
        <f t="shared" si="137"/>
        <v>-3.6848633452985835E-2</v>
      </c>
      <c r="X201" s="527">
        <f t="shared" si="146"/>
        <v>16324.447981700068</v>
      </c>
      <c r="Y201" s="1511">
        <f t="shared" si="147"/>
        <v>4081.1119954250171</v>
      </c>
      <c r="Z201" s="1533">
        <f t="shared" si="148"/>
        <v>751.91700000000026</v>
      </c>
      <c r="AA201" s="1533">
        <f t="shared" si="149"/>
        <v>0</v>
      </c>
      <c r="AB201" s="1533">
        <f t="shared" si="150"/>
        <v>0</v>
      </c>
      <c r="AC201" s="1533">
        <f t="shared" si="151"/>
        <v>21157.476977125087</v>
      </c>
      <c r="AD201" s="1489">
        <f t="shared" si="152"/>
        <v>-6325.7701923491732</v>
      </c>
      <c r="AE201" s="1456">
        <f t="shared" si="153"/>
        <v>0.77156874609149462</v>
      </c>
      <c r="AF201" s="1506">
        <f t="shared" si="154"/>
        <v>0.19289218652287365</v>
      </c>
      <c r="AG201" s="1506">
        <f t="shared" si="155"/>
        <v>3.5539067385631722E-2</v>
      </c>
      <c r="AH201" s="1506">
        <f t="shared" si="167"/>
        <v>0</v>
      </c>
      <c r="AI201" s="1506">
        <f t="shared" si="156"/>
        <v>0</v>
      </c>
      <c r="AJ201" s="1543">
        <f t="shared" si="157"/>
        <v>1</v>
      </c>
      <c r="AK201" s="1557">
        <f t="shared" si="158"/>
        <v>16324.447981700068</v>
      </c>
      <c r="AL201" s="1558">
        <f t="shared" si="159"/>
        <v>0</v>
      </c>
      <c r="AM201" s="1558">
        <f t="shared" si="160"/>
        <v>0</v>
      </c>
      <c r="AN201" s="1500">
        <f t="shared" si="161"/>
        <v>16324.447981700068</v>
      </c>
      <c r="AO201" s="1186">
        <f t="shared" si="162"/>
        <v>0</v>
      </c>
    </row>
    <row r="202" spans="1:41">
      <c r="A202" s="127">
        <f>'Input data'!A142</f>
        <v>2042</v>
      </c>
      <c r="B202" s="1553">
        <f>'Input data'!B142</f>
        <v>72.264673338395411</v>
      </c>
      <c r="C202" s="1552">
        <f>'Input data'!C142</f>
        <v>0</v>
      </c>
      <c r="D202" s="1511">
        <f>'Input data'!E142</f>
        <v>18797490.33653174</v>
      </c>
      <c r="E202" s="1510">
        <f>'Input data'!J142*C202</f>
        <v>0</v>
      </c>
      <c r="F202" s="1511">
        <f>'Input data'!L142</f>
        <v>18797.49033653174</v>
      </c>
      <c r="G202" s="1511">
        <f t="shared" ref="G202:G209" si="172">$G$160*(1+((($G$170/$G$160)^(1/($A$170-$A$160)))-1))^(A202-$A$160)</f>
        <v>21417.490590039302</v>
      </c>
      <c r="H202" s="1511">
        <f t="shared" si="135"/>
        <v>-3776.9432749855805</v>
      </c>
      <c r="I202" s="1513">
        <f t="shared" si="138"/>
        <v>18797.49033653174</v>
      </c>
      <c r="J202" s="1506">
        <f t="shared" si="170"/>
        <v>0.2</v>
      </c>
      <c r="K202" s="1514">
        <f t="shared" si="164"/>
        <v>2602.555045828331</v>
      </c>
      <c r="L202" s="1514">
        <f t="shared" si="140"/>
        <v>0</v>
      </c>
      <c r="M202" s="530">
        <f t="shared" si="165"/>
        <v>2602.555045828331</v>
      </c>
      <c r="N202" s="649">
        <f t="shared" si="169"/>
        <v>0.5</v>
      </c>
      <c r="O202" s="530">
        <f t="shared" si="141"/>
        <v>751.91700000000026</v>
      </c>
      <c r="P202" s="1483">
        <f t="shared" si="168"/>
        <v>3354.4720458283314</v>
      </c>
      <c r="Q202" s="1366">
        <f t="shared" si="142"/>
        <v>14286.07526922539</v>
      </c>
      <c r="R202" s="1366">
        <f t="shared" si="166"/>
        <v>-7131.4153208139123</v>
      </c>
      <c r="S202" s="576">
        <f t="shared" si="143"/>
        <v>9.4843118599710916</v>
      </c>
      <c r="T202" s="135" t="str">
        <f t="shared" si="144"/>
        <v>No</v>
      </c>
      <c r="U202" s="1091">
        <f t="shared" si="145"/>
        <v>1</v>
      </c>
      <c r="V202" s="1496">
        <f t="shared" si="136"/>
        <v>19549.407336531742</v>
      </c>
      <c r="W202" s="1493">
        <f t="shared" si="137"/>
        <v>-4.0000924939362692E-2</v>
      </c>
      <c r="X202" s="527">
        <f t="shared" si="146"/>
        <v>15037.992269225393</v>
      </c>
      <c r="Y202" s="1511">
        <f t="shared" si="147"/>
        <v>3759.4980673063483</v>
      </c>
      <c r="Z202" s="1533">
        <f t="shared" si="148"/>
        <v>751.91700000000026</v>
      </c>
      <c r="AA202" s="1533">
        <f t="shared" si="149"/>
        <v>0</v>
      </c>
      <c r="AB202" s="1533">
        <f t="shared" si="150"/>
        <v>0</v>
      </c>
      <c r="AC202" s="1533">
        <f t="shared" si="151"/>
        <v>19549.407336531742</v>
      </c>
      <c r="AD202" s="1489">
        <f t="shared" si="152"/>
        <v>-6379.4983208139092</v>
      </c>
      <c r="AE202" s="1456">
        <f t="shared" si="153"/>
        <v>0.7692300851046302</v>
      </c>
      <c r="AF202" s="1506">
        <f t="shared" si="154"/>
        <v>0.19230752127615755</v>
      </c>
      <c r="AG202" s="1506">
        <f t="shared" si="155"/>
        <v>3.8462393619212283E-2</v>
      </c>
      <c r="AH202" s="1506">
        <f t="shared" si="167"/>
        <v>0</v>
      </c>
      <c r="AI202" s="1506">
        <f t="shared" si="156"/>
        <v>0</v>
      </c>
      <c r="AJ202" s="1543">
        <f t="shared" si="157"/>
        <v>1</v>
      </c>
      <c r="AK202" s="1557">
        <f t="shared" si="158"/>
        <v>15037.992269225391</v>
      </c>
      <c r="AL202" s="1558">
        <f t="shared" si="159"/>
        <v>0</v>
      </c>
      <c r="AM202" s="1558">
        <f t="shared" si="160"/>
        <v>0</v>
      </c>
      <c r="AN202" s="1500">
        <f t="shared" si="161"/>
        <v>15037.992269225391</v>
      </c>
      <c r="AO202" s="1186">
        <f t="shared" si="162"/>
        <v>0</v>
      </c>
    </row>
    <row r="203" spans="1:41">
      <c r="A203" s="127">
        <f>'Input data'!A143</f>
        <v>2043</v>
      </c>
      <c r="B203" s="1553">
        <f>'Input data'!B143</f>
        <v>72.713504131197794</v>
      </c>
      <c r="C203" s="1552">
        <f>'Input data'!C143</f>
        <v>0</v>
      </c>
      <c r="D203" s="1511">
        <f>'Input data'!E143</f>
        <v>17189420.695938386</v>
      </c>
      <c r="E203" s="1510">
        <f>'Input data'!J143*C203</f>
        <v>0</v>
      </c>
      <c r="F203" s="1511">
        <f>'Input data'!L143</f>
        <v>17189.420695938385</v>
      </c>
      <c r="G203" s="1511">
        <f t="shared" si="172"/>
        <v>20251.853631148377</v>
      </c>
      <c r="H203" s="1511">
        <f t="shared" si="135"/>
        <v>-4120.4029068059463</v>
      </c>
      <c r="I203" s="1513">
        <f t="shared" si="138"/>
        <v>17189.420695938385</v>
      </c>
      <c r="J203" s="1506">
        <f t="shared" si="170"/>
        <v>0.2</v>
      </c>
      <c r="K203" s="1514">
        <f t="shared" si="164"/>
        <v>2379.9141675917226</v>
      </c>
      <c r="L203" s="1514">
        <f t="shared" si="140"/>
        <v>0</v>
      </c>
      <c r="M203" s="530">
        <f t="shared" si="165"/>
        <v>2379.9141675917226</v>
      </c>
      <c r="N203" s="649">
        <f t="shared" si="169"/>
        <v>0.5</v>
      </c>
      <c r="O203" s="530">
        <f t="shared" si="141"/>
        <v>751.91700000000026</v>
      </c>
      <c r="P203" s="1483">
        <f t="shared" si="168"/>
        <v>3131.831167591723</v>
      </c>
      <c r="Q203" s="1366">
        <f t="shared" si="142"/>
        <v>12999.619556750707</v>
      </c>
      <c r="R203" s="1366">
        <f t="shared" si="166"/>
        <v>-7252.2340743976692</v>
      </c>
      <c r="S203" s="576">
        <f t="shared" si="143"/>
        <v>9.6449928308545445</v>
      </c>
      <c r="T203" s="135" t="str">
        <f t="shared" si="144"/>
        <v>No</v>
      </c>
      <c r="U203" s="1091">
        <f t="shared" si="145"/>
        <v>1</v>
      </c>
      <c r="V203" s="1496">
        <f t="shared" si="136"/>
        <v>17941.337695938386</v>
      </c>
      <c r="W203" s="1493">
        <f t="shared" si="137"/>
        <v>-4.3743009918750131E-2</v>
      </c>
      <c r="X203" s="527">
        <f t="shared" si="146"/>
        <v>13751.536556750709</v>
      </c>
      <c r="Y203" s="1511">
        <f t="shared" si="147"/>
        <v>3437.8841391876772</v>
      </c>
      <c r="Z203" s="1533">
        <f t="shared" si="148"/>
        <v>751.91700000000026</v>
      </c>
      <c r="AA203" s="1533">
        <f t="shared" si="149"/>
        <v>0</v>
      </c>
      <c r="AB203" s="1533">
        <f t="shared" si="150"/>
        <v>0</v>
      </c>
      <c r="AC203" s="1533">
        <f t="shared" si="151"/>
        <v>17941.337695938386</v>
      </c>
      <c r="AD203" s="1489">
        <f t="shared" si="152"/>
        <v>-6500.317074397668</v>
      </c>
      <c r="AE203" s="1456">
        <f t="shared" si="153"/>
        <v>0.76647219899683527</v>
      </c>
      <c r="AF203" s="1506">
        <f t="shared" si="154"/>
        <v>0.19161804974920882</v>
      </c>
      <c r="AG203" s="1506">
        <f t="shared" si="155"/>
        <v>4.1909751253955914E-2</v>
      </c>
      <c r="AH203" s="1506">
        <f t="shared" si="167"/>
        <v>0</v>
      </c>
      <c r="AI203" s="1506">
        <f t="shared" si="156"/>
        <v>0</v>
      </c>
      <c r="AJ203" s="1543">
        <f t="shared" si="157"/>
        <v>1</v>
      </c>
      <c r="AK203" s="1557">
        <f t="shared" si="158"/>
        <v>13751.536556750707</v>
      </c>
      <c r="AL203" s="1558">
        <f t="shared" si="159"/>
        <v>0</v>
      </c>
      <c r="AM203" s="1558">
        <f t="shared" si="160"/>
        <v>0</v>
      </c>
      <c r="AN203" s="1500">
        <f t="shared" si="161"/>
        <v>13751.536556750707</v>
      </c>
      <c r="AO203" s="1186">
        <f t="shared" si="162"/>
        <v>0</v>
      </c>
    </row>
    <row r="204" spans="1:41">
      <c r="A204" s="127">
        <f>'Input data'!A144</f>
        <v>2044</v>
      </c>
      <c r="B204" s="1553">
        <f>'Input data'!B144</f>
        <v>73.165122580420132</v>
      </c>
      <c r="C204" s="1552">
        <f>'Input data'!C144</f>
        <v>0</v>
      </c>
      <c r="D204" s="1511">
        <f>'Input data'!E144</f>
        <v>15581351.055345042</v>
      </c>
      <c r="E204" s="1510">
        <f>'Input data'!J144*C204</f>
        <v>0</v>
      </c>
      <c r="F204" s="1511">
        <f>'Input data'!L144</f>
        <v>15581.351055345041</v>
      </c>
      <c r="G204" s="1511">
        <f t="shared" si="172"/>
        <v>19149.655921324487</v>
      </c>
      <c r="H204" s="1511">
        <f t="shared" si="135"/>
        <v>-4527.3017876933391</v>
      </c>
      <c r="I204" s="1513">
        <f t="shared" si="138"/>
        <v>15581.351055345041</v>
      </c>
      <c r="J204" s="1506">
        <f t="shared" si="170"/>
        <v>0.2</v>
      </c>
      <c r="K204" s="1514">
        <f t="shared" si="164"/>
        <v>2157.2732893551156</v>
      </c>
      <c r="L204" s="1514">
        <f t="shared" si="140"/>
        <v>0</v>
      </c>
      <c r="M204" s="530">
        <f t="shared" si="165"/>
        <v>2157.2732893551156</v>
      </c>
      <c r="N204" s="649">
        <f t="shared" si="169"/>
        <v>0.5</v>
      </c>
      <c r="O204" s="530">
        <f t="shared" si="141"/>
        <v>751.91700000000026</v>
      </c>
      <c r="P204" s="1483">
        <f t="shared" si="168"/>
        <v>2909.190289355116</v>
      </c>
      <c r="Q204" s="1366">
        <f t="shared" si="142"/>
        <v>11713.163844276032</v>
      </c>
      <c r="R204" s="1366">
        <f t="shared" si="166"/>
        <v>-7436.492077048455</v>
      </c>
      <c r="S204" s="576">
        <f t="shared" si="143"/>
        <v>9.8900438174006471</v>
      </c>
      <c r="T204" s="135" t="str">
        <f t="shared" si="144"/>
        <v>No</v>
      </c>
      <c r="U204" s="1091">
        <f t="shared" si="145"/>
        <v>1</v>
      </c>
      <c r="V204" s="1496">
        <f t="shared" si="136"/>
        <v>16333.268055345041</v>
      </c>
      <c r="W204" s="1493">
        <f t="shared" si="137"/>
        <v>-4.8257496883882922E-2</v>
      </c>
      <c r="X204" s="527">
        <f t="shared" si="146"/>
        <v>12465.080844276034</v>
      </c>
      <c r="Y204" s="1511">
        <f t="shared" si="147"/>
        <v>3116.2702110690084</v>
      </c>
      <c r="Z204" s="1533">
        <f t="shared" si="148"/>
        <v>751.91700000000026</v>
      </c>
      <c r="AA204" s="1533">
        <f t="shared" si="149"/>
        <v>0</v>
      </c>
      <c r="AB204" s="1533">
        <f t="shared" si="150"/>
        <v>0</v>
      </c>
      <c r="AC204" s="1533">
        <f t="shared" si="151"/>
        <v>16333.268055345041</v>
      </c>
      <c r="AD204" s="1489">
        <f t="shared" si="152"/>
        <v>-6684.5750770484537</v>
      </c>
      <c r="AE204" s="1456">
        <f t="shared" si="153"/>
        <v>0.76317126505475141</v>
      </c>
      <c r="AF204" s="1506">
        <f t="shared" si="154"/>
        <v>0.19079281626368785</v>
      </c>
      <c r="AG204" s="1506">
        <f t="shared" si="155"/>
        <v>4.6035918681560879E-2</v>
      </c>
      <c r="AH204" s="1506">
        <f t="shared" si="167"/>
        <v>0</v>
      </c>
      <c r="AI204" s="1506">
        <f t="shared" si="156"/>
        <v>0</v>
      </c>
      <c r="AJ204" s="1543">
        <f t="shared" si="157"/>
        <v>1.0000000000000002</v>
      </c>
      <c r="AK204" s="1557">
        <f t="shared" si="158"/>
        <v>12465.080844276032</v>
      </c>
      <c r="AL204" s="1558">
        <f t="shared" si="159"/>
        <v>0</v>
      </c>
      <c r="AM204" s="1558">
        <f t="shared" si="160"/>
        <v>0</v>
      </c>
      <c r="AN204" s="1500">
        <f t="shared" si="161"/>
        <v>12465.080844276032</v>
      </c>
      <c r="AO204" s="1186">
        <f t="shared" si="162"/>
        <v>0</v>
      </c>
    </row>
    <row r="205" spans="1:41">
      <c r="A205" s="127">
        <f>'Input data'!A145</f>
        <v>2045</v>
      </c>
      <c r="B205" s="1553">
        <f>'Input data'!B145</f>
        <v>73.619545999999971</v>
      </c>
      <c r="C205" s="1552">
        <f>'Input data'!C145</f>
        <v>0</v>
      </c>
      <c r="D205" s="1511">
        <f>'Input data'!E145</f>
        <v>13973281.414751694</v>
      </c>
      <c r="E205" s="1510">
        <f>'Input data'!J145*C205</f>
        <v>0</v>
      </c>
      <c r="F205" s="1511">
        <f>'Input data'!L145</f>
        <v>13973.281414751693</v>
      </c>
      <c r="G205" s="1511">
        <f t="shared" si="172"/>
        <v>18107.444808958157</v>
      </c>
      <c r="H205" s="1511">
        <f t="shared" si="135"/>
        <v>-4994.1872660382942</v>
      </c>
      <c r="I205" s="1513">
        <f t="shared" si="138"/>
        <v>13973.281414751693</v>
      </c>
      <c r="J205" s="1506">
        <f t="shared" si="170"/>
        <v>0.2</v>
      </c>
      <c r="K205" s="1514">
        <f t="shared" si="164"/>
        <v>1934.6324111185081</v>
      </c>
      <c r="L205" s="1514">
        <f t="shared" si="140"/>
        <v>0</v>
      </c>
      <c r="M205" s="530">
        <f t="shared" si="165"/>
        <v>1934.6324111185081</v>
      </c>
      <c r="N205" s="649">
        <f t="shared" si="169"/>
        <v>0.5</v>
      </c>
      <c r="O205" s="530">
        <f t="shared" si="141"/>
        <v>751.91700000000026</v>
      </c>
      <c r="P205" s="1483">
        <f t="shared" si="168"/>
        <v>2686.5494111185085</v>
      </c>
      <c r="Q205" s="1366">
        <f t="shared" si="142"/>
        <v>10426.708131801353</v>
      </c>
      <c r="R205" s="1366">
        <f t="shared" si="166"/>
        <v>-7680.7366771568031</v>
      </c>
      <c r="S205" s="576">
        <f t="shared" si="143"/>
        <v>10.214873020767971</v>
      </c>
      <c r="T205" s="135" t="str">
        <f t="shared" si="144"/>
        <v>No</v>
      </c>
      <c r="U205" s="1091">
        <f t="shared" si="145"/>
        <v>1</v>
      </c>
      <c r="V205" s="1496">
        <f t="shared" si="136"/>
        <v>14725.198414751692</v>
      </c>
      <c r="W205" s="1493">
        <f t="shared" si="137"/>
        <v>-5.3811053945152398E-2</v>
      </c>
      <c r="X205" s="527">
        <f t="shared" si="146"/>
        <v>11178.625131801355</v>
      </c>
      <c r="Y205" s="1511">
        <f t="shared" si="147"/>
        <v>2794.6562829503387</v>
      </c>
      <c r="Z205" s="1533">
        <f t="shared" si="148"/>
        <v>751.91700000000026</v>
      </c>
      <c r="AA205" s="1533">
        <f t="shared" si="149"/>
        <v>0</v>
      </c>
      <c r="AB205" s="1533">
        <f t="shared" si="150"/>
        <v>0</v>
      </c>
      <c r="AC205" s="1533">
        <f t="shared" si="151"/>
        <v>14725.198414751692</v>
      </c>
      <c r="AD205" s="1489">
        <f t="shared" si="152"/>
        <v>-6928.8196771568018</v>
      </c>
      <c r="AE205" s="1456">
        <f t="shared" si="153"/>
        <v>0.75914937218113254</v>
      </c>
      <c r="AF205" s="1506">
        <f t="shared" si="154"/>
        <v>0.18978734304528314</v>
      </c>
      <c r="AG205" s="1506">
        <f t="shared" si="155"/>
        <v>5.1063284773584468E-2</v>
      </c>
      <c r="AH205" s="1506">
        <f t="shared" si="167"/>
        <v>0</v>
      </c>
      <c r="AI205" s="1506">
        <f t="shared" si="156"/>
        <v>0</v>
      </c>
      <c r="AJ205" s="1543">
        <f t="shared" si="157"/>
        <v>1.0000000000000002</v>
      </c>
      <c r="AK205" s="1557">
        <f t="shared" si="158"/>
        <v>11178.625131801355</v>
      </c>
      <c r="AL205" s="1558">
        <f t="shared" si="159"/>
        <v>0</v>
      </c>
      <c r="AM205" s="1558">
        <f t="shared" si="160"/>
        <v>0</v>
      </c>
      <c r="AN205" s="1500">
        <f t="shared" si="161"/>
        <v>11178.625131801355</v>
      </c>
      <c r="AO205" s="1186">
        <f t="shared" si="162"/>
        <v>0</v>
      </c>
    </row>
    <row r="206" spans="1:41">
      <c r="A206" s="127">
        <f>'Input data'!A146</f>
        <v>2046</v>
      </c>
      <c r="B206" s="1553">
        <f>'Input data'!B146</f>
        <v>73.995362001779526</v>
      </c>
      <c r="C206" s="1552">
        <f>'Input data'!C146</f>
        <v>0</v>
      </c>
      <c r="D206" s="1511">
        <f>'Input data'!E146</f>
        <v>11178944.368399095</v>
      </c>
      <c r="E206" s="1510">
        <f>'Input data'!J146*C206</f>
        <v>0</v>
      </c>
      <c r="F206" s="1511">
        <f>'Input data'!L146</f>
        <v>11178.944368399094</v>
      </c>
      <c r="G206" s="1511">
        <f t="shared" si="172"/>
        <v>17121.955551397077</v>
      </c>
      <c r="H206" s="1511">
        <f t="shared" si="135"/>
        <v>-6631.0499287541152</v>
      </c>
      <c r="I206" s="1513">
        <f t="shared" si="138"/>
        <v>11178.944368399094</v>
      </c>
      <c r="J206" s="1506">
        <f t="shared" si="170"/>
        <v>0.2</v>
      </c>
      <c r="K206" s="1514">
        <f t="shared" si="164"/>
        <v>1547.7501279236867</v>
      </c>
      <c r="L206" s="1514">
        <f t="shared" si="140"/>
        <v>0</v>
      </c>
      <c r="M206" s="530">
        <f t="shared" si="165"/>
        <v>1547.7501279236867</v>
      </c>
      <c r="N206" s="649">
        <f t="shared" si="169"/>
        <v>0.5</v>
      </c>
      <c r="O206" s="530">
        <f t="shared" si="141"/>
        <v>751.91700000000026</v>
      </c>
      <c r="P206" s="1483">
        <f t="shared" si="168"/>
        <v>2299.6671279236871</v>
      </c>
      <c r="Q206" s="1366">
        <f t="shared" si="142"/>
        <v>8191.238494719275</v>
      </c>
      <c r="R206" s="1366">
        <f t="shared" si="166"/>
        <v>-8930.7170566778022</v>
      </c>
      <c r="S206" s="576">
        <f t="shared" si="143"/>
        <v>11.877264454291879</v>
      </c>
      <c r="T206" s="135" t="str">
        <f t="shared" si="144"/>
        <v>No</v>
      </c>
      <c r="U206" s="1091">
        <f t="shared" si="145"/>
        <v>1</v>
      </c>
      <c r="V206" s="1496">
        <f t="shared" si="136"/>
        <v>11930.861368399095</v>
      </c>
      <c r="W206" s="1493">
        <f t="shared" si="137"/>
        <v>-6.7261896581714664E-2</v>
      </c>
      <c r="X206" s="527">
        <f t="shared" si="146"/>
        <v>8943.1554947192762</v>
      </c>
      <c r="Y206" s="1511">
        <f t="shared" si="147"/>
        <v>2235.7888736798191</v>
      </c>
      <c r="Z206" s="1533">
        <f t="shared" si="148"/>
        <v>751.91700000000026</v>
      </c>
      <c r="AA206" s="1533">
        <f t="shared" si="149"/>
        <v>0</v>
      </c>
      <c r="AB206" s="1533">
        <f t="shared" si="150"/>
        <v>0</v>
      </c>
      <c r="AC206" s="1533">
        <f t="shared" si="151"/>
        <v>11930.861368399095</v>
      </c>
      <c r="AD206" s="1489">
        <f t="shared" si="152"/>
        <v>-8178.800056677801</v>
      </c>
      <c r="AE206" s="649">
        <f t="shared" si="153"/>
        <v>0.74958171238220372</v>
      </c>
      <c r="AF206" s="417">
        <f t="shared" si="154"/>
        <v>0.18739542809555093</v>
      </c>
      <c r="AG206" s="417">
        <f t="shared" si="155"/>
        <v>6.3022859522245359E-2</v>
      </c>
      <c r="AH206" s="417">
        <f t="shared" si="167"/>
        <v>0</v>
      </c>
      <c r="AI206" s="417">
        <f t="shared" si="156"/>
        <v>0</v>
      </c>
      <c r="AJ206" s="525">
        <f t="shared" si="157"/>
        <v>1</v>
      </c>
      <c r="AK206" s="1499">
        <f t="shared" si="158"/>
        <v>8943.1554947192744</v>
      </c>
      <c r="AL206" s="1500">
        <f t="shared" si="159"/>
        <v>0</v>
      </c>
      <c r="AM206" s="1500">
        <f t="shared" si="160"/>
        <v>0</v>
      </c>
      <c r="AN206" s="1500">
        <f t="shared" si="161"/>
        <v>8943.1554947192744</v>
      </c>
      <c r="AO206" s="1186">
        <f t="shared" si="162"/>
        <v>0</v>
      </c>
    </row>
    <row r="207" spans="1:41">
      <c r="A207" s="127">
        <f>'Input data'!A147</f>
        <v>2047</v>
      </c>
      <c r="B207" s="1553">
        <f>'Input data'!B147</f>
        <v>74.373096484110363</v>
      </c>
      <c r="C207" s="1552">
        <f>'Input data'!C147</f>
        <v>0</v>
      </c>
      <c r="D207" s="1511">
        <f>'Input data'!E147</f>
        <v>8384607.3220464904</v>
      </c>
      <c r="E207" s="1510">
        <f>'Input data'!J147*C207</f>
        <v>0</v>
      </c>
      <c r="F207" s="1511">
        <f>'Input data'!L147</f>
        <v>8384.6073220464896</v>
      </c>
      <c r="G207" s="1511">
        <f t="shared" si="172"/>
        <v>16190.101088088571</v>
      </c>
      <c r="H207" s="1511">
        <f t="shared" si="135"/>
        <v>-8321.5473857225152</v>
      </c>
      <c r="I207" s="1513">
        <f t="shared" si="138"/>
        <v>8384.6073220464896</v>
      </c>
      <c r="J207" s="1506">
        <f t="shared" si="170"/>
        <v>0.2</v>
      </c>
      <c r="K207" s="1514">
        <f t="shared" si="164"/>
        <v>1160.8678447288648</v>
      </c>
      <c r="L207" s="1514">
        <f t="shared" si="140"/>
        <v>0</v>
      </c>
      <c r="M207" s="530">
        <f t="shared" si="165"/>
        <v>1160.8678447288648</v>
      </c>
      <c r="N207" s="649">
        <f t="shared" si="169"/>
        <v>0.5</v>
      </c>
      <c r="O207" s="530">
        <f t="shared" si="141"/>
        <v>751.91700000000026</v>
      </c>
      <c r="P207" s="1483">
        <f t="shared" si="168"/>
        <v>1912.7848447288652</v>
      </c>
      <c r="Q207" s="1366">
        <f t="shared" si="142"/>
        <v>5955.7688576371911</v>
      </c>
      <c r="R207" s="1366">
        <f t="shared" si="166"/>
        <v>-10234.33223045138</v>
      </c>
      <c r="S207" s="576">
        <f t="shared" si="143"/>
        <v>13.610986625453824</v>
      </c>
      <c r="T207" s="135" t="str">
        <f t="shared" si="144"/>
        <v>No</v>
      </c>
      <c r="U207" s="1091">
        <f t="shared" si="145"/>
        <v>1</v>
      </c>
      <c r="V207" s="1496">
        <f t="shared" si="136"/>
        <v>9136.524322046489</v>
      </c>
      <c r="W207" s="1493">
        <f t="shared" si="137"/>
        <v>-8.9678260545715593E-2</v>
      </c>
      <c r="X207" s="527">
        <f t="shared" si="146"/>
        <v>6707.6858576371924</v>
      </c>
      <c r="Y207" s="1511">
        <f t="shared" si="147"/>
        <v>1676.9214644092981</v>
      </c>
      <c r="Z207" s="1533">
        <f t="shared" si="148"/>
        <v>751.91700000000026</v>
      </c>
      <c r="AA207" s="1533">
        <f t="shared" si="149"/>
        <v>0</v>
      </c>
      <c r="AB207" s="1533">
        <f t="shared" si="150"/>
        <v>0</v>
      </c>
      <c r="AC207" s="1533">
        <f t="shared" si="151"/>
        <v>9136.524322046489</v>
      </c>
      <c r="AD207" s="1489">
        <f t="shared" si="152"/>
        <v>-9482.4152304513791</v>
      </c>
      <c r="AE207" s="649">
        <f t="shared" si="153"/>
        <v>0.73416165942354095</v>
      </c>
      <c r="AF207" s="417">
        <f t="shared" si="154"/>
        <v>0.18354041485588524</v>
      </c>
      <c r="AG207" s="417">
        <f t="shared" si="155"/>
        <v>8.2297925720574067E-2</v>
      </c>
      <c r="AH207" s="417">
        <f t="shared" si="167"/>
        <v>0</v>
      </c>
      <c r="AI207" s="417">
        <f t="shared" si="156"/>
        <v>0</v>
      </c>
      <c r="AJ207" s="525">
        <f t="shared" si="157"/>
        <v>1.0000000000000002</v>
      </c>
      <c r="AK207" s="1499">
        <f t="shared" si="158"/>
        <v>6707.6858576371915</v>
      </c>
      <c r="AL207" s="1500">
        <f t="shared" si="159"/>
        <v>0</v>
      </c>
      <c r="AM207" s="1500">
        <f t="shared" si="160"/>
        <v>0</v>
      </c>
      <c r="AN207" s="1500">
        <f t="shared" si="161"/>
        <v>6707.6858576371915</v>
      </c>
      <c r="AO207" s="1186">
        <f t="shared" si="162"/>
        <v>0</v>
      </c>
    </row>
    <row r="208" spans="1:41">
      <c r="A208" s="127">
        <f>'Input data'!A148</f>
        <v>2048</v>
      </c>
      <c r="B208" s="1553">
        <f>'Input data'!B148</f>
        <v>74.752759240528661</v>
      </c>
      <c r="C208" s="1552">
        <f>'Input data'!C148</f>
        <v>0</v>
      </c>
      <c r="D208" s="1511">
        <f>'Input data'!E148</f>
        <v>5590270.2756938878</v>
      </c>
      <c r="E208" s="1510">
        <f>'Input data'!J148*C208</f>
        <v>0</v>
      </c>
      <c r="F208" s="1511">
        <f>'Input data'!L148</f>
        <v>5590.2702756938879</v>
      </c>
      <c r="G208" s="1511">
        <f t="shared" si="172"/>
        <v>15308.962370313993</v>
      </c>
      <c r="H208" s="1511">
        <f t="shared" si="135"/>
        <v>-10062.760588224839</v>
      </c>
      <c r="I208" s="1513">
        <f t="shared" si="138"/>
        <v>5590.2702756938879</v>
      </c>
      <c r="J208" s="1506">
        <f t="shared" si="170"/>
        <v>0.2</v>
      </c>
      <c r="K208" s="1514">
        <f t="shared" si="164"/>
        <v>773.98556153404274</v>
      </c>
      <c r="L208" s="1514">
        <f t="shared" si="140"/>
        <v>0</v>
      </c>
      <c r="M208" s="530">
        <f t="shared" si="165"/>
        <v>773.98556153404274</v>
      </c>
      <c r="N208" s="649">
        <f t="shared" si="169"/>
        <v>0.5</v>
      </c>
      <c r="O208" s="530">
        <f t="shared" si="141"/>
        <v>751.91700000000026</v>
      </c>
      <c r="P208" s="1483">
        <f t="shared" si="168"/>
        <v>1525.9025615340429</v>
      </c>
      <c r="Q208" s="1366">
        <f t="shared" si="142"/>
        <v>3720.2992205551104</v>
      </c>
      <c r="R208" s="1366">
        <f t="shared" si="166"/>
        <v>-11588.663149758882</v>
      </c>
      <c r="S208" s="576">
        <f t="shared" si="143"/>
        <v>15.412157392051096</v>
      </c>
      <c r="T208" s="135" t="str">
        <f t="shared" si="144"/>
        <v>No</v>
      </c>
      <c r="U208" s="1091">
        <f t="shared" si="145"/>
        <v>1</v>
      </c>
      <c r="V208" s="1496">
        <f t="shared" si="136"/>
        <v>6342.1872756938883</v>
      </c>
      <c r="W208" s="1493">
        <f t="shared" si="137"/>
        <v>-0.13450458795691578</v>
      </c>
      <c r="X208" s="527">
        <f t="shared" si="146"/>
        <v>4472.2162205551103</v>
      </c>
      <c r="Y208" s="1511">
        <f t="shared" si="147"/>
        <v>1118.0540551387776</v>
      </c>
      <c r="Z208" s="1533">
        <f t="shared" si="148"/>
        <v>751.91700000000026</v>
      </c>
      <c r="AA208" s="1533">
        <f t="shared" si="149"/>
        <v>0</v>
      </c>
      <c r="AB208" s="1533">
        <f t="shared" si="150"/>
        <v>0</v>
      </c>
      <c r="AC208" s="1533">
        <f t="shared" si="151"/>
        <v>6342.1872756938883</v>
      </c>
      <c r="AD208" s="1489">
        <f t="shared" si="152"/>
        <v>-10836.746149758883</v>
      </c>
      <c r="AE208" s="649">
        <f t="shared" si="153"/>
        <v>0.70515360492343904</v>
      </c>
      <c r="AF208" s="417">
        <f t="shared" si="154"/>
        <v>0.17628840123085976</v>
      </c>
      <c r="AG208" s="417">
        <f t="shared" si="155"/>
        <v>0.11855799384570116</v>
      </c>
      <c r="AH208" s="417">
        <f t="shared" si="167"/>
        <v>0</v>
      </c>
      <c r="AI208" s="417">
        <f t="shared" si="156"/>
        <v>0</v>
      </c>
      <c r="AJ208" s="525">
        <f t="shared" si="157"/>
        <v>1</v>
      </c>
      <c r="AK208" s="1499">
        <f t="shared" si="158"/>
        <v>4472.2162205551103</v>
      </c>
      <c r="AL208" s="1500">
        <f t="shared" si="159"/>
        <v>0</v>
      </c>
      <c r="AM208" s="1500">
        <f t="shared" si="160"/>
        <v>0</v>
      </c>
      <c r="AN208" s="1500">
        <f t="shared" si="161"/>
        <v>4472.2162205551103</v>
      </c>
      <c r="AO208" s="1186">
        <f t="shared" si="162"/>
        <v>0</v>
      </c>
    </row>
    <row r="209" spans="1:41">
      <c r="A209" s="127">
        <f>'Input data'!A149</f>
        <v>2049</v>
      </c>
      <c r="B209" s="1553">
        <f>'Input data'!B149</f>
        <v>75.134360114565098</v>
      </c>
      <c r="C209" s="1552">
        <f>'Input data'!C149</f>
        <v>0</v>
      </c>
      <c r="D209" s="1511">
        <f>'Input data'!E149</f>
        <v>2795933.2293412867</v>
      </c>
      <c r="E209" s="1510">
        <f>'Input data'!J149*C209</f>
        <v>0</v>
      </c>
      <c r="F209" s="1511">
        <f>'Input data'!L149</f>
        <v>2795.9332293412867</v>
      </c>
      <c r="G209" s="1511">
        <f t="shared" si="172"/>
        <v>14475.779217222871</v>
      </c>
      <c r="H209" s="1511">
        <f t="shared" si="135"/>
        <v>-11851.929355410621</v>
      </c>
      <c r="I209" s="1513">
        <f t="shared" si="138"/>
        <v>2795.9332293412867</v>
      </c>
      <c r="J209" s="1506">
        <f t="shared" si="170"/>
        <v>0.2</v>
      </c>
      <c r="K209" s="1514">
        <f t="shared" si="164"/>
        <v>387.10327833922116</v>
      </c>
      <c r="L209" s="1514">
        <f t="shared" si="140"/>
        <v>0</v>
      </c>
      <c r="M209" s="530">
        <f t="shared" si="165"/>
        <v>387.10327833922116</v>
      </c>
      <c r="N209" s="649">
        <f t="shared" si="169"/>
        <v>0.5</v>
      </c>
      <c r="O209" s="530">
        <f t="shared" si="141"/>
        <v>751.91700000000026</v>
      </c>
      <c r="P209" s="1483">
        <f t="shared" si="168"/>
        <v>1139.0202783392215</v>
      </c>
      <c r="Q209" s="1366">
        <f t="shared" si="142"/>
        <v>1484.8295834730288</v>
      </c>
      <c r="R209" s="1366">
        <f t="shared" si="166"/>
        <v>-12990.949633749842</v>
      </c>
      <c r="S209" s="576">
        <f t="shared" si="143"/>
        <v>17.277105895663787</v>
      </c>
      <c r="T209" s="135" t="str">
        <f t="shared" si="144"/>
        <v>No</v>
      </c>
      <c r="U209" s="1091">
        <f t="shared" si="145"/>
        <v>1</v>
      </c>
      <c r="V209" s="1496">
        <f t="shared" si="136"/>
        <v>3547.8502293412876</v>
      </c>
      <c r="W209" s="1493">
        <f t="shared" si="137"/>
        <v>-0.26893238798022012</v>
      </c>
      <c r="X209" s="527">
        <f t="shared" si="146"/>
        <v>2236.7465834730297</v>
      </c>
      <c r="Y209" s="1511">
        <f t="shared" si="147"/>
        <v>559.18664586825741</v>
      </c>
      <c r="Z209" s="1533">
        <f t="shared" si="148"/>
        <v>751.91700000000026</v>
      </c>
      <c r="AA209" s="1533">
        <f t="shared" si="149"/>
        <v>0</v>
      </c>
      <c r="AB209" s="1533">
        <f t="shared" si="150"/>
        <v>0</v>
      </c>
      <c r="AC209" s="1533">
        <f t="shared" si="151"/>
        <v>3547.8502293412876</v>
      </c>
      <c r="AD209" s="1489">
        <f t="shared" si="152"/>
        <v>-12239.032633749841</v>
      </c>
      <c r="AE209" s="649">
        <f t="shared" si="153"/>
        <v>0.63045124198726832</v>
      </c>
      <c r="AF209" s="417">
        <f t="shared" si="154"/>
        <v>0.15761281049681708</v>
      </c>
      <c r="AG209" s="417">
        <f t="shared" si="155"/>
        <v>0.21193594751591446</v>
      </c>
      <c r="AH209" s="417">
        <f t="shared" si="167"/>
        <v>0</v>
      </c>
      <c r="AI209" s="417">
        <f t="shared" si="156"/>
        <v>0</v>
      </c>
      <c r="AJ209" s="525">
        <f t="shared" si="157"/>
        <v>0.99999999999999989</v>
      </c>
      <c r="AK209" s="1499">
        <f t="shared" si="158"/>
        <v>2236.7465834730292</v>
      </c>
      <c r="AL209" s="1500">
        <f t="shared" si="159"/>
        <v>0</v>
      </c>
      <c r="AM209" s="1500">
        <f t="shared" si="160"/>
        <v>0</v>
      </c>
      <c r="AN209" s="1500">
        <f t="shared" si="161"/>
        <v>2236.7465834730292</v>
      </c>
      <c r="AO209" s="1186">
        <f t="shared" si="162"/>
        <v>0</v>
      </c>
    </row>
    <row r="210" spans="1:41" ht="15.75" thickBot="1">
      <c r="A210" s="172">
        <f>'Input data'!A150</f>
        <v>2050</v>
      </c>
      <c r="B210" s="664">
        <f>'Input data'!B150</f>
        <v>75.517908999999989</v>
      </c>
      <c r="C210" s="239">
        <f>'Input data'!C150</f>
        <v>0</v>
      </c>
      <c r="D210" s="667">
        <f>'Input data'!E150</f>
        <v>1596.1829886855978</v>
      </c>
      <c r="E210" s="670">
        <f>'Input data'!J150*C210</f>
        <v>0</v>
      </c>
      <c r="F210" s="667">
        <f>'Input data'!L150</f>
        <v>1.5961829886855978</v>
      </c>
      <c r="G210" s="667">
        <f>G177*(1-$C$6)</f>
        <v>13687.941669523079</v>
      </c>
      <c r="H210" s="667">
        <f t="shared" si="135"/>
        <v>-13686.443727987731</v>
      </c>
      <c r="I210" s="659">
        <f t="shared" si="138"/>
        <v>1.5961829886855978</v>
      </c>
      <c r="J210" s="651">
        <f t="shared" si="170"/>
        <v>0.2</v>
      </c>
      <c r="K210" s="667">
        <f t="shared" si="164"/>
        <v>0.22099514439944737</v>
      </c>
      <c r="L210" s="667">
        <f t="shared" si="140"/>
        <v>0</v>
      </c>
      <c r="M210" s="659">
        <f t="shared" si="165"/>
        <v>0.22099514439944737</v>
      </c>
      <c r="N210" s="650">
        <f t="shared" si="169"/>
        <v>0.5</v>
      </c>
      <c r="O210" s="659">
        <f t="shared" si="141"/>
        <v>751.91700000000026</v>
      </c>
      <c r="P210" s="1484">
        <f t="shared" si="168"/>
        <v>752.13799514439972</v>
      </c>
      <c r="Q210" s="1487">
        <f t="shared" si="142"/>
        <v>-750.64005360905185</v>
      </c>
      <c r="R210" s="1487">
        <f t="shared" si="166"/>
        <v>-14438.581723132131</v>
      </c>
      <c r="S210" s="578">
        <f t="shared" si="143"/>
        <v>19.202361062633408</v>
      </c>
      <c r="T210" s="1105" t="str">
        <f t="shared" si="144"/>
        <v>No</v>
      </c>
      <c r="U210" s="1094">
        <f t="shared" si="145"/>
        <v>1</v>
      </c>
      <c r="V210" s="1497">
        <f t="shared" si="136"/>
        <v>753.51318298868591</v>
      </c>
      <c r="W210" s="1494">
        <f t="shared" si="137"/>
        <v>-471.0719293025283</v>
      </c>
      <c r="X210" s="670">
        <f t="shared" si="146"/>
        <v>1.2769463909484784</v>
      </c>
      <c r="Y210" s="1520">
        <f t="shared" si="147"/>
        <v>0.3192365977371196</v>
      </c>
      <c r="Z210" s="1534">
        <f t="shared" si="148"/>
        <v>751.91700000000026</v>
      </c>
      <c r="AA210" s="1534">
        <f t="shared" si="149"/>
        <v>0</v>
      </c>
      <c r="AB210" s="1534">
        <f t="shared" si="150"/>
        <v>0</v>
      </c>
      <c r="AC210" s="1534">
        <f t="shared" si="151"/>
        <v>753.51318298868591</v>
      </c>
      <c r="AD210" s="1490">
        <f t="shared" si="152"/>
        <v>-13686.664723132131</v>
      </c>
      <c r="AE210" s="650">
        <f t="shared" si="153"/>
        <v>1.6946570010675606E-3</v>
      </c>
      <c r="AF210" s="651">
        <f t="shared" si="154"/>
        <v>4.2366425026689014E-4</v>
      </c>
      <c r="AG210" s="651">
        <f t="shared" si="155"/>
        <v>0.99788167874866551</v>
      </c>
      <c r="AH210" s="651">
        <f t="shared" si="167"/>
        <v>0</v>
      </c>
      <c r="AI210" s="651">
        <f>AB210/AC210</f>
        <v>0</v>
      </c>
      <c r="AJ210" s="652">
        <f t="shared" si="157"/>
        <v>1</v>
      </c>
      <c r="AK210" s="1501">
        <f t="shared" si="158"/>
        <v>1.2769463909484782</v>
      </c>
      <c r="AL210" s="1502">
        <f t="shared" si="159"/>
        <v>0</v>
      </c>
      <c r="AM210" s="1502">
        <f t="shared" si="160"/>
        <v>0</v>
      </c>
      <c r="AN210" s="1502">
        <f t="shared" si="161"/>
        <v>1.2769463909484782</v>
      </c>
      <c r="AO210" s="1187">
        <f t="shared" si="162"/>
        <v>0</v>
      </c>
    </row>
  </sheetData>
  <mergeCells count="78">
    <mergeCell ref="CG94:CM94"/>
    <mergeCell ref="CM95:CM96"/>
    <mergeCell ref="BD94:BD96"/>
    <mergeCell ref="CD94:CE94"/>
    <mergeCell ref="BY94:CA94"/>
    <mergeCell ref="CB94:CC94"/>
    <mergeCell ref="BV94:BX94"/>
    <mergeCell ref="P134:P135"/>
    <mergeCell ref="Q134:Q135"/>
    <mergeCell ref="V134:V135"/>
    <mergeCell ref="S134:S135"/>
    <mergeCell ref="W134:W135"/>
    <mergeCell ref="A175:A176"/>
    <mergeCell ref="P174:P175"/>
    <mergeCell ref="Q174:Q175"/>
    <mergeCell ref="R174:R175"/>
    <mergeCell ref="S174:S175"/>
    <mergeCell ref="A174:D174"/>
    <mergeCell ref="E174:I174"/>
    <mergeCell ref="J174:L174"/>
    <mergeCell ref="M174:M175"/>
    <mergeCell ref="N174:O174"/>
    <mergeCell ref="BC94:BC95"/>
    <mergeCell ref="AB94:AB96"/>
    <mergeCell ref="V94:V95"/>
    <mergeCell ref="Q94:U94"/>
    <mergeCell ref="Z94:Z95"/>
    <mergeCell ref="AD94:AD96"/>
    <mergeCell ref="AC94:AC96"/>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G26:G27"/>
    <mergeCell ref="B26:B27"/>
    <mergeCell ref="A8:A9"/>
    <mergeCell ref="B8:F8"/>
    <mergeCell ref="G8:I8"/>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3"/>
  <sheetViews>
    <sheetView topLeftCell="J143" zoomScale="67" zoomScaleNormal="37" workbookViewId="0">
      <selection activeCell="K157" sqref="K157"/>
    </sheetView>
  </sheetViews>
  <sheetFormatPr defaultRowHeight="15"/>
  <cols>
    <col min="1" max="1" width="55.28515625" customWidth="1"/>
    <col min="2" max="2" width="33.7109375" customWidth="1"/>
    <col min="3" max="3" width="22.5703125" customWidth="1"/>
    <col min="4" max="4" width="31.28515625" customWidth="1"/>
    <col min="5" max="5" width="25.140625" customWidth="1"/>
    <col min="6" max="6" width="28.140625" customWidth="1"/>
    <col min="7" max="7" width="26.28515625" customWidth="1"/>
    <col min="8" max="8" width="19.7109375" customWidth="1"/>
    <col min="9" max="9" width="30.28515625" customWidth="1"/>
    <col min="10" max="10" width="25.28515625" customWidth="1"/>
    <col min="11" max="12" width="24.7109375" customWidth="1"/>
    <col min="13" max="13" width="23.7109375" customWidth="1"/>
    <col min="14" max="14" width="25.85546875" customWidth="1"/>
    <col min="15" max="15" width="26.140625" customWidth="1"/>
    <col min="16" max="16" width="19.85546875" customWidth="1"/>
    <col min="17" max="17" width="20.7109375" customWidth="1"/>
    <col min="18" max="18" width="19.28515625" customWidth="1"/>
    <col min="19" max="19" width="23.140625" customWidth="1"/>
    <col min="20" max="20" width="21.140625" customWidth="1"/>
    <col min="21" max="21" width="32.28515625" customWidth="1"/>
    <col min="22" max="22" width="20" customWidth="1"/>
    <col min="23" max="23" width="24.28515625" customWidth="1"/>
    <col min="24" max="24" width="20.28515625" customWidth="1"/>
    <col min="25" max="25" width="21.85546875" customWidth="1"/>
    <col min="26" max="26" width="17.28515625" customWidth="1"/>
    <col min="27" max="28" width="21.42578125" customWidth="1"/>
    <col min="29" max="29" width="32.28515625" customWidth="1"/>
    <col min="30" max="30" width="30.140625" customWidth="1"/>
    <col min="31" max="31" width="24.42578125" customWidth="1"/>
    <col min="32" max="32" width="29.42578125" customWidth="1"/>
    <col min="33" max="33" width="25.7109375" customWidth="1"/>
    <col min="34" max="34" width="22.7109375" customWidth="1"/>
    <col min="35" max="37" width="29.140625" customWidth="1"/>
    <col min="38" max="38" width="22.855468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9" max="69" width="15.5703125" customWidth="1"/>
    <col min="72" max="72" width="14.7109375" customWidth="1"/>
    <col min="73" max="73" width="13.28515625" customWidth="1"/>
    <col min="74" max="74" width="13.85546875" customWidth="1"/>
    <col min="75" max="75" width="14.5703125" customWidth="1"/>
    <col min="76" max="76" width="14.7109375" customWidth="1"/>
    <col min="77" max="77" width="18.28515625" customWidth="1"/>
    <col min="78" max="78" width="12.85546875" customWidth="1"/>
    <col min="79" max="79" width="19.28515625" customWidth="1"/>
    <col min="80" max="80" width="17" customWidth="1"/>
    <col min="81" max="82" width="17.7109375" customWidth="1"/>
    <col min="83" max="83" width="19.5703125" customWidth="1"/>
    <col min="90" max="90" width="14.42578125" customWidth="1"/>
  </cols>
  <sheetData>
    <row r="1" spans="1:11">
      <c r="A1" s="2" t="s">
        <v>542</v>
      </c>
      <c r="J1" s="99"/>
      <c r="K1" s="99"/>
    </row>
    <row r="2" spans="1:11" ht="15.75" thickBot="1">
      <c r="A2" s="2" t="s">
        <v>543</v>
      </c>
      <c r="B2" s="413" t="s">
        <v>555</v>
      </c>
      <c r="J2" s="99"/>
      <c r="K2" s="99"/>
    </row>
    <row r="3" spans="1:11" ht="15.75" thickBot="1">
      <c r="A3" s="2"/>
      <c r="C3" s="679" t="s">
        <v>551</v>
      </c>
      <c r="D3" s="581" t="s">
        <v>558</v>
      </c>
      <c r="E3" s="679" t="s">
        <v>552</v>
      </c>
      <c r="F3" s="581" t="s">
        <v>558</v>
      </c>
      <c r="G3" s="679" t="s">
        <v>553</v>
      </c>
      <c r="H3" s="581" t="s">
        <v>558</v>
      </c>
      <c r="J3" s="99"/>
      <c r="K3" s="99"/>
    </row>
    <row r="4" spans="1:11">
      <c r="A4" s="1817" t="s">
        <v>556</v>
      </c>
      <c r="B4" s="1803" t="s">
        <v>557</v>
      </c>
      <c r="C4" s="579">
        <v>0.5</v>
      </c>
      <c r="D4" s="116">
        <f>2017+10</f>
        <v>2027</v>
      </c>
      <c r="E4" s="579">
        <v>0.5</v>
      </c>
      <c r="F4" s="116">
        <f>2017+5</f>
        <v>2022</v>
      </c>
      <c r="G4" s="579">
        <f>E4</f>
        <v>0.5</v>
      </c>
      <c r="H4" s="116">
        <f>F4</f>
        <v>2022</v>
      </c>
      <c r="J4" s="99"/>
      <c r="K4" s="99"/>
    </row>
    <row r="5" spans="1:11">
      <c r="A5" s="1818"/>
      <c r="B5" s="1804"/>
      <c r="C5" s="575">
        <v>0.65</v>
      </c>
      <c r="D5" s="130">
        <f>2017+20</f>
        <v>2037</v>
      </c>
      <c r="E5" s="575">
        <f t="shared" ref="E5:E6" si="0">C5</f>
        <v>0.65</v>
      </c>
      <c r="F5" s="130">
        <f>2017+10</f>
        <v>2027</v>
      </c>
      <c r="G5" s="575">
        <f t="shared" ref="G5:H6" si="1">E5</f>
        <v>0.65</v>
      </c>
      <c r="H5" s="130">
        <f t="shared" si="1"/>
        <v>2027</v>
      </c>
      <c r="J5" s="99"/>
      <c r="K5" s="99"/>
    </row>
    <row r="6" spans="1:11" ht="15.75" thickBot="1">
      <c r="A6" s="1819"/>
      <c r="B6" s="1805"/>
      <c r="C6" s="577">
        <v>0.8</v>
      </c>
      <c r="D6" s="140">
        <f>2017+30</f>
        <v>2047</v>
      </c>
      <c r="E6" s="577">
        <f t="shared" si="0"/>
        <v>0.8</v>
      </c>
      <c r="F6" s="140">
        <f>15+2017</f>
        <v>2032</v>
      </c>
      <c r="G6" s="577">
        <f t="shared" si="1"/>
        <v>0.8</v>
      </c>
      <c r="H6" s="140">
        <f t="shared" si="1"/>
        <v>2032</v>
      </c>
      <c r="J6" s="99"/>
      <c r="K6" s="99"/>
    </row>
    <row r="7" spans="1:11" ht="15.75" thickBot="1">
      <c r="A7" s="681"/>
      <c r="B7" s="681"/>
      <c r="C7" s="576"/>
      <c r="D7" s="104"/>
      <c r="E7" s="576"/>
      <c r="F7" s="104"/>
      <c r="G7" s="576"/>
      <c r="H7" s="104"/>
      <c r="J7" s="99"/>
      <c r="K7" s="99"/>
    </row>
    <row r="8" spans="1:11" ht="15.6" customHeight="1">
      <c r="A8" s="1861" t="s">
        <v>574</v>
      </c>
      <c r="B8" s="1718" t="s">
        <v>485</v>
      </c>
      <c r="C8" s="1719"/>
      <c r="D8" s="1719"/>
      <c r="E8" s="1719"/>
      <c r="F8" s="1720"/>
      <c r="G8" s="1718" t="s">
        <v>532</v>
      </c>
      <c r="H8" s="1719"/>
      <c r="I8" s="1720"/>
      <c r="J8" s="327"/>
      <c r="K8" s="99"/>
    </row>
    <row r="9" spans="1:11" ht="32.25" thickBot="1">
      <c r="A9" s="1862"/>
      <c r="B9" s="452" t="s">
        <v>473</v>
      </c>
      <c r="C9" s="287" t="s">
        <v>490</v>
      </c>
      <c r="D9" s="287" t="s">
        <v>377</v>
      </c>
      <c r="E9" s="287" t="s">
        <v>477</v>
      </c>
      <c r="F9" s="453" t="s">
        <v>303</v>
      </c>
      <c r="G9" s="452" t="s">
        <v>493</v>
      </c>
      <c r="H9" s="287" t="s">
        <v>494</v>
      </c>
      <c r="I9" s="453" t="s">
        <v>303</v>
      </c>
      <c r="J9" s="327"/>
      <c r="K9" s="99"/>
    </row>
    <row r="10" spans="1:11" ht="15.75">
      <c r="A10" s="437" t="s">
        <v>573</v>
      </c>
      <c r="B10" s="441">
        <f>'Input data'!B35</f>
        <v>0.46471844811027063</v>
      </c>
      <c r="C10" s="441">
        <f>'Input data'!C35</f>
        <v>0.41381327103365251</v>
      </c>
      <c r="D10" s="441">
        <f>'Input data'!D35</f>
        <v>0.12146828085607692</v>
      </c>
      <c r="E10" s="441">
        <f>'Input data'!E35</f>
        <v>0</v>
      </c>
      <c r="F10" s="441">
        <f>'Input data'!F35</f>
        <v>1</v>
      </c>
      <c r="G10" s="440">
        <f>'Input data'!G35</f>
        <v>0.66241124199764068</v>
      </c>
      <c r="H10" s="440">
        <f>'Input data'!H35</f>
        <v>0.33758875800235938</v>
      </c>
      <c r="I10" s="625">
        <f>'Input data'!I35</f>
        <v>1</v>
      </c>
      <c r="J10" s="158"/>
      <c r="K10" s="99"/>
    </row>
    <row r="11" spans="1:11" ht="15.75">
      <c r="A11" s="438" t="s">
        <v>578</v>
      </c>
      <c r="B11" s="441">
        <f>'Input data'!B36</f>
        <v>0.7821504466492184</v>
      </c>
      <c r="C11" s="441">
        <f>'Input data'!C36</f>
        <v>8.8860692477895534E-2</v>
      </c>
      <c r="D11" s="441">
        <f>'Input data'!D36</f>
        <v>0</v>
      </c>
      <c r="E11" s="441">
        <f>'Input data'!E36</f>
        <v>0.12898886087288614</v>
      </c>
      <c r="F11" s="441">
        <f>'Input data'!F36</f>
        <v>1</v>
      </c>
      <c r="G11" s="441">
        <f>'Input data'!G36</f>
        <v>0.78201761382701329</v>
      </c>
      <c r="H11" s="441">
        <f>'Input data'!H36</f>
        <v>0.21798238617298668</v>
      </c>
      <c r="I11" s="441">
        <f>'Input data'!I36</f>
        <v>1</v>
      </c>
      <c r="J11" s="674"/>
      <c r="K11" s="99"/>
    </row>
    <row r="12" spans="1:11" ht="15.75">
      <c r="A12" s="655" t="s">
        <v>579</v>
      </c>
      <c r="B12" s="441">
        <f>'Input data'!B37</f>
        <v>0.57380711973947707</v>
      </c>
      <c r="C12" s="441">
        <f>'Input data'!C37</f>
        <v>0.12526763815896438</v>
      </c>
      <c r="D12" s="441">
        <f>'Input data'!D37</f>
        <v>0</v>
      </c>
      <c r="E12" s="441">
        <f>'Input data'!E37</f>
        <v>0.30092524210155869</v>
      </c>
      <c r="F12" s="441">
        <f>'Input data'!F37</f>
        <v>1</v>
      </c>
      <c r="G12" s="441">
        <f>'Input data'!G37</f>
        <v>0.63925641437009872</v>
      </c>
      <c r="H12" s="441">
        <f>'Input data'!H37</f>
        <v>0.36074358562990122</v>
      </c>
      <c r="I12" s="441">
        <f>'Input data'!I37</f>
        <v>1</v>
      </c>
      <c r="J12" s="99"/>
      <c r="K12" s="99"/>
    </row>
    <row r="13" spans="1:11" ht="16.5" thickBot="1">
      <c r="A13" s="439" t="s">
        <v>499</v>
      </c>
      <c r="B13" s="626">
        <f>'Input data'!B38</f>
        <v>0.8</v>
      </c>
      <c r="C13" s="626">
        <f>'Input data'!C38</f>
        <v>0.11</v>
      </c>
      <c r="D13" s="626">
        <f>'Input data'!D38</f>
        <v>0.09</v>
      </c>
      <c r="E13" s="626">
        <f>'Input data'!E38</f>
        <v>0</v>
      </c>
      <c r="F13" s="626">
        <f>'Input data'!F38</f>
        <v>1</v>
      </c>
      <c r="G13" s="627">
        <f>'Input data'!G38</f>
        <v>1</v>
      </c>
      <c r="H13" s="627">
        <f>'Input data'!H38</f>
        <v>0</v>
      </c>
      <c r="I13" s="628">
        <f>'Input data'!I38</f>
        <v>1</v>
      </c>
      <c r="J13" s="99"/>
      <c r="K13" s="99">
        <v>0.57999999999999996</v>
      </c>
    </row>
    <row r="14" spans="1:11" ht="15.75">
      <c r="A14" s="470"/>
      <c r="C14" s="624"/>
      <c r="E14" s="624"/>
      <c r="F14" s="624"/>
      <c r="G14" s="436"/>
      <c r="J14" s="99"/>
      <c r="K14" s="99">
        <v>0.21707953063885269</v>
      </c>
    </row>
    <row r="15" spans="1:11" ht="15.6" customHeight="1" thickBot="1">
      <c r="B15" s="413" t="s">
        <v>554</v>
      </c>
      <c r="J15" s="99"/>
      <c r="K15" s="99">
        <v>0.71200000000000008</v>
      </c>
    </row>
    <row r="16" spans="1:11" ht="15.75" thickBot="1">
      <c r="A16" s="632"/>
      <c r="B16" s="631" t="s">
        <v>558</v>
      </c>
      <c r="C16" s="589" t="s">
        <v>87</v>
      </c>
      <c r="D16" s="589" t="s">
        <v>323</v>
      </c>
      <c r="E16" s="589" t="s">
        <v>324</v>
      </c>
      <c r="F16" s="589" t="s">
        <v>325</v>
      </c>
      <c r="G16" s="665" t="s">
        <v>582</v>
      </c>
      <c r="H16" s="666" t="s">
        <v>326</v>
      </c>
      <c r="K16">
        <v>0.8</v>
      </c>
    </row>
    <row r="17" spans="1:11">
      <c r="A17" s="633" t="s">
        <v>575</v>
      </c>
      <c r="B17" s="632">
        <v>2017</v>
      </c>
      <c r="C17" s="114">
        <f>E63/E65</f>
        <v>0.57999999999999996</v>
      </c>
      <c r="D17" s="114">
        <f>J63/J65</f>
        <v>0.437</v>
      </c>
      <c r="E17" s="114">
        <f t="shared" ref="E17:G17" si="2">K63/K65</f>
        <v>0.71200000000000008</v>
      </c>
      <c r="F17" s="114">
        <f t="shared" si="2"/>
        <v>0.8</v>
      </c>
      <c r="G17" s="114">
        <f t="shared" si="2"/>
        <v>0.23600000000000002</v>
      </c>
      <c r="H17" s="585">
        <f>H80</f>
        <v>6.154773859516615E-2</v>
      </c>
      <c r="K17">
        <v>0.23600000000000002</v>
      </c>
    </row>
    <row r="18" spans="1:11">
      <c r="A18" s="634" t="s">
        <v>551</v>
      </c>
      <c r="B18" s="542">
        <v>2030</v>
      </c>
      <c r="C18" s="417">
        <f>C17</f>
        <v>0.57999999999999996</v>
      </c>
      <c r="D18" s="417">
        <f t="shared" ref="D18:F18" si="3">D17</f>
        <v>0.437</v>
      </c>
      <c r="E18" s="417">
        <f t="shared" si="3"/>
        <v>0.71200000000000008</v>
      </c>
      <c r="F18" s="417">
        <f t="shared" si="3"/>
        <v>0.8</v>
      </c>
      <c r="G18" s="417">
        <f>G17</f>
        <v>0.23600000000000002</v>
      </c>
      <c r="H18" s="525">
        <f>H17</f>
        <v>6.154773859516615E-2</v>
      </c>
    </row>
    <row r="19" spans="1:11">
      <c r="A19" s="633" t="s">
        <v>552</v>
      </c>
      <c r="B19" s="542">
        <v>2030</v>
      </c>
      <c r="C19" s="576">
        <v>0.7</v>
      </c>
      <c r="D19" s="576">
        <v>0.6</v>
      </c>
      <c r="E19" s="576">
        <v>0.9</v>
      </c>
      <c r="F19" s="576">
        <v>0.9</v>
      </c>
      <c r="G19" s="417">
        <f>G18</f>
        <v>0.23600000000000002</v>
      </c>
      <c r="H19" s="586">
        <v>0.4</v>
      </c>
    </row>
    <row r="20" spans="1:11" ht="15.75" thickBot="1">
      <c r="A20" s="635" t="s">
        <v>553</v>
      </c>
      <c r="B20" s="543">
        <v>2030</v>
      </c>
      <c r="C20" s="578">
        <f>C19</f>
        <v>0.7</v>
      </c>
      <c r="D20" s="578">
        <f>D19</f>
        <v>0.6</v>
      </c>
      <c r="E20" s="578">
        <f>E19</f>
        <v>0.9</v>
      </c>
      <c r="F20" s="578">
        <f>F19</f>
        <v>0.9</v>
      </c>
      <c r="G20" s="651">
        <f>G19</f>
        <v>0.23600000000000002</v>
      </c>
      <c r="H20" s="587">
        <f>H19</f>
        <v>0.4</v>
      </c>
    </row>
    <row r="21" spans="1:11">
      <c r="A21" s="582"/>
      <c r="B21" s="104"/>
      <c r="C21" s="576"/>
      <c r="D21" s="576"/>
      <c r="E21" s="576"/>
      <c r="F21" s="104"/>
      <c r="G21" s="104"/>
      <c r="J21" s="417"/>
    </row>
    <row r="22" spans="1:11">
      <c r="A22" s="582"/>
      <c r="B22" s="104"/>
      <c r="C22" s="576"/>
      <c r="D22" s="576"/>
      <c r="E22" s="576"/>
      <c r="F22" s="104"/>
      <c r="G22" s="104"/>
    </row>
    <row r="23" spans="1:11">
      <c r="A23" s="583"/>
      <c r="B23" s="58"/>
      <c r="C23" s="58"/>
      <c r="D23" s="58"/>
      <c r="E23" s="576"/>
    </row>
    <row r="24" spans="1:11" ht="15.75" thickBot="1">
      <c r="A24" s="583"/>
      <c r="B24" s="413" t="s">
        <v>559</v>
      </c>
      <c r="C24" s="58"/>
      <c r="D24" s="58"/>
      <c r="E24" s="576"/>
    </row>
    <row r="25" spans="1:11" ht="15.75" thickBot="1">
      <c r="A25" s="584"/>
      <c r="B25" s="588"/>
      <c r="C25" s="592" t="s">
        <v>551</v>
      </c>
      <c r="D25" s="593" t="s">
        <v>558</v>
      </c>
      <c r="E25" s="679" t="s">
        <v>552</v>
      </c>
      <c r="F25" s="581" t="s">
        <v>558</v>
      </c>
      <c r="G25" s="680" t="s">
        <v>553</v>
      </c>
      <c r="H25" s="581" t="s">
        <v>558</v>
      </c>
    </row>
    <row r="26" spans="1:11">
      <c r="A26" s="1818" t="s">
        <v>560</v>
      </c>
      <c r="B26" s="1804" t="s">
        <v>557</v>
      </c>
      <c r="C26" s="575">
        <v>0.25</v>
      </c>
      <c r="D26" s="104">
        <f>2017+5</f>
        <v>2022</v>
      </c>
      <c r="E26" s="1831">
        <v>0.5</v>
      </c>
      <c r="F26" s="1833">
        <f>2017+5</f>
        <v>2022</v>
      </c>
      <c r="G26" s="1859">
        <f>E26</f>
        <v>0.5</v>
      </c>
      <c r="H26" s="1833">
        <f>F26</f>
        <v>2022</v>
      </c>
    </row>
    <row r="27" spans="1:11" ht="15.75" thickBot="1">
      <c r="A27" s="1819"/>
      <c r="B27" s="1805"/>
      <c r="C27" s="577">
        <v>0.5</v>
      </c>
      <c r="D27" s="163">
        <f>2017+10</f>
        <v>2027</v>
      </c>
      <c r="E27" s="1832"/>
      <c r="F27" s="1834"/>
      <c r="G27" s="1860"/>
      <c r="H27" s="1834"/>
    </row>
    <row r="28" spans="1:11" ht="15.75" thickBot="1">
      <c r="A28" s="681"/>
      <c r="B28" s="681"/>
      <c r="C28" s="576"/>
      <c r="D28" s="104"/>
      <c r="E28" s="576"/>
      <c r="F28" s="104"/>
      <c r="G28" s="576"/>
      <c r="H28" s="104"/>
    </row>
    <row r="29" spans="1:11">
      <c r="A29" s="594"/>
      <c r="B29" s="600"/>
      <c r="C29" s="1828" t="s">
        <v>551</v>
      </c>
      <c r="D29" s="1829"/>
      <c r="E29" s="1828" t="s">
        <v>552</v>
      </c>
      <c r="F29" s="1829"/>
      <c r="G29" s="1830" t="s">
        <v>553</v>
      </c>
      <c r="H29" s="1829"/>
    </row>
    <row r="30" spans="1:11" ht="15.75" thickBot="1">
      <c r="A30" s="596"/>
      <c r="B30" s="601"/>
      <c r="C30" s="597" t="s">
        <v>562</v>
      </c>
      <c r="D30" s="598" t="s">
        <v>176</v>
      </c>
      <c r="E30" s="597" t="s">
        <v>562</v>
      </c>
      <c r="F30" s="598" t="s">
        <v>176</v>
      </c>
      <c r="G30" s="599" t="s">
        <v>562</v>
      </c>
      <c r="H30" s="598" t="s">
        <v>176</v>
      </c>
    </row>
    <row r="31" spans="1:11" ht="15.75" thickBot="1">
      <c r="A31" s="602" t="s">
        <v>561</v>
      </c>
      <c r="B31" s="603" t="s">
        <v>557</v>
      </c>
      <c r="C31" s="577">
        <v>0.1</v>
      </c>
      <c r="D31" s="587">
        <v>0.9</v>
      </c>
      <c r="E31" s="577">
        <v>0.1</v>
      </c>
      <c r="F31" s="587">
        <v>0.9</v>
      </c>
      <c r="G31" s="578">
        <v>0.5</v>
      </c>
      <c r="H31" s="587">
        <v>0.5</v>
      </c>
    </row>
    <row r="32" spans="1:11">
      <c r="A32" s="583"/>
      <c r="B32" s="58"/>
      <c r="C32" s="58"/>
      <c r="D32" s="58"/>
      <c r="E32" s="576"/>
    </row>
    <row r="33" spans="1:24" ht="15.75" thickBot="1">
      <c r="A33" s="583"/>
      <c r="B33" s="413" t="s">
        <v>563</v>
      </c>
      <c r="C33" s="58"/>
      <c r="D33" s="58"/>
      <c r="E33" s="576"/>
    </row>
    <row r="34" spans="1:24" ht="28.9" customHeight="1" thickBot="1">
      <c r="A34" s="611"/>
      <c r="B34" s="1085" t="s">
        <v>558</v>
      </c>
      <c r="C34" s="730" t="s">
        <v>269</v>
      </c>
      <c r="D34" s="731" t="s">
        <v>270</v>
      </c>
      <c r="E34" s="731" t="s">
        <v>271</v>
      </c>
      <c r="F34" s="731" t="s">
        <v>272</v>
      </c>
      <c r="G34" s="732" t="s">
        <v>614</v>
      </c>
    </row>
    <row r="35" spans="1:24">
      <c r="A35" s="612" t="s">
        <v>564</v>
      </c>
      <c r="B35" s="989">
        <v>2017</v>
      </c>
      <c r="C35" s="733">
        <f>Parameters!C188</f>
        <v>0</v>
      </c>
      <c r="D35" s="734">
        <f>Parameters!D188</f>
        <v>0</v>
      </c>
      <c r="E35" s="734">
        <f>Parameters!E188</f>
        <v>0.4</v>
      </c>
      <c r="F35" s="734">
        <f>Parameters!F188</f>
        <v>0.3</v>
      </c>
      <c r="G35" s="735">
        <f>Parameters!G188</f>
        <v>0.3</v>
      </c>
    </row>
    <row r="36" spans="1:24">
      <c r="A36" s="1868" t="s">
        <v>551</v>
      </c>
      <c r="B36" s="990">
        <v>2030</v>
      </c>
      <c r="C36" s="608">
        <f>C35</f>
        <v>0</v>
      </c>
      <c r="D36" s="604">
        <f>D35</f>
        <v>0</v>
      </c>
      <c r="E36" s="604">
        <f>1-F36-G36</f>
        <v>0.7</v>
      </c>
      <c r="F36" s="604">
        <f>F35/2</f>
        <v>0.15</v>
      </c>
      <c r="G36" s="605">
        <f>G35/2</f>
        <v>0.15</v>
      </c>
      <c r="H36" t="s">
        <v>565</v>
      </c>
    </row>
    <row r="37" spans="1:24">
      <c r="A37" s="1868"/>
      <c r="B37" s="990">
        <v>2050</v>
      </c>
      <c r="C37" s="608">
        <f>C38</f>
        <v>0</v>
      </c>
      <c r="D37" s="604">
        <f t="shared" ref="D37:G37" si="4">D38</f>
        <v>0</v>
      </c>
      <c r="E37" s="604">
        <f t="shared" si="4"/>
        <v>1</v>
      </c>
      <c r="F37" s="604">
        <f t="shared" si="4"/>
        <v>0</v>
      </c>
      <c r="G37" s="605">
        <f t="shared" si="4"/>
        <v>0</v>
      </c>
    </row>
    <row r="38" spans="1:24">
      <c r="A38" s="1008" t="s">
        <v>552</v>
      </c>
      <c r="B38" s="990">
        <v>2030</v>
      </c>
      <c r="C38" s="608">
        <f>C36</f>
        <v>0</v>
      </c>
      <c r="D38" s="604">
        <f>D36</f>
        <v>0</v>
      </c>
      <c r="E38" s="604">
        <v>1</v>
      </c>
      <c r="F38" s="604">
        <v>0</v>
      </c>
      <c r="G38" s="605">
        <v>0</v>
      </c>
      <c r="H38" t="s">
        <v>566</v>
      </c>
    </row>
    <row r="39" spans="1:24" ht="15.75" thickBot="1">
      <c r="A39" s="1009" t="s">
        <v>553</v>
      </c>
      <c r="B39" s="991">
        <v>2030</v>
      </c>
      <c r="C39" s="609">
        <f>C37</f>
        <v>0</v>
      </c>
      <c r="D39" s="606">
        <f>D37</f>
        <v>0</v>
      </c>
      <c r="E39" s="606">
        <v>1</v>
      </c>
      <c r="F39" s="606">
        <v>0</v>
      </c>
      <c r="G39" s="607">
        <v>0</v>
      </c>
    </row>
    <row r="40" spans="1:24">
      <c r="A40" s="2"/>
    </row>
    <row r="41" spans="1:24" ht="15.75" thickBot="1">
      <c r="A41" s="2"/>
      <c r="B41" s="413" t="s">
        <v>567</v>
      </c>
    </row>
    <row r="42" spans="1:24" ht="15.75" thickBot="1">
      <c r="A42" s="2"/>
      <c r="C42" s="1820" t="s">
        <v>6</v>
      </c>
      <c r="D42" s="1821"/>
      <c r="E42" s="1821"/>
      <c r="F42" s="1821"/>
      <c r="G42" s="1821"/>
      <c r="H42" s="1821"/>
      <c r="I42" s="1822"/>
      <c r="J42" s="1886" t="s">
        <v>298</v>
      </c>
      <c r="K42" s="1821"/>
      <c r="L42" s="1821"/>
      <c r="M42" s="1821"/>
      <c r="N42" s="1821"/>
      <c r="O42" s="1821"/>
      <c r="P42" s="1822"/>
      <c r="Q42" s="1865" t="s">
        <v>299</v>
      </c>
      <c r="R42" s="1865"/>
      <c r="S42" s="1865"/>
      <c r="T42" s="1865"/>
      <c r="U42" s="1865"/>
      <c r="V42" s="1865"/>
      <c r="W42" s="1866"/>
      <c r="X42" s="765"/>
    </row>
    <row r="43" spans="1:24" ht="30.75" thickBot="1">
      <c r="A43" s="611"/>
      <c r="B43" s="1084" t="s">
        <v>558</v>
      </c>
      <c r="C43" s="617" t="s">
        <v>17</v>
      </c>
      <c r="D43" s="618" t="s">
        <v>23</v>
      </c>
      <c r="E43" s="618" t="s">
        <v>19</v>
      </c>
      <c r="F43" s="618" t="s">
        <v>304</v>
      </c>
      <c r="G43" s="618" t="s">
        <v>9</v>
      </c>
      <c r="H43" s="618" t="s">
        <v>10</v>
      </c>
      <c r="I43" s="619" t="s">
        <v>225</v>
      </c>
      <c r="J43" s="621" t="s">
        <v>17</v>
      </c>
      <c r="K43" s="618" t="s">
        <v>23</v>
      </c>
      <c r="L43" s="618" t="s">
        <v>19</v>
      </c>
      <c r="M43" s="618" t="s">
        <v>304</v>
      </c>
      <c r="N43" s="618" t="s">
        <v>9</v>
      </c>
      <c r="O43" s="618" t="s">
        <v>10</v>
      </c>
      <c r="P43" s="619" t="s">
        <v>225</v>
      </c>
      <c r="Q43" s="966" t="s">
        <v>17</v>
      </c>
      <c r="R43" s="967" t="s">
        <v>23</v>
      </c>
      <c r="S43" s="967" t="s">
        <v>19</v>
      </c>
      <c r="T43" s="967" t="s">
        <v>304</v>
      </c>
      <c r="U43" s="967" t="s">
        <v>9</v>
      </c>
      <c r="V43" s="967" t="s">
        <v>10</v>
      </c>
      <c r="W43" s="968" t="s">
        <v>225</v>
      </c>
    </row>
    <row r="44" spans="1:24">
      <c r="A44" s="963" t="s">
        <v>568</v>
      </c>
      <c r="B44" s="584">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5">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5">
        <f>SUM(J44:O44)</f>
        <v>1</v>
      </c>
      <c r="Q44" s="671">
        <f>'4D Wastewater treatment and dis'!T107</f>
        <v>0.34</v>
      </c>
      <c r="R44" s="671">
        <f>'4D Wastewater treatment and dis'!U107</f>
        <v>0</v>
      </c>
      <c r="S44" s="671">
        <f>'4D Wastewater treatment and dis'!V107</f>
        <v>0.17</v>
      </c>
      <c r="T44" s="671">
        <f>'4D Wastewater treatment and dis'!W107</f>
        <v>0.24</v>
      </c>
      <c r="U44" s="671">
        <f>'4D Wastewater treatment and dis'!X107</f>
        <v>0.05</v>
      </c>
      <c r="V44" s="671">
        <f>'4D Wastewater treatment and dis'!Y107</f>
        <v>0.2</v>
      </c>
      <c r="W44" s="807">
        <f>SUM(Q44:V44)</f>
        <v>1</v>
      </c>
    </row>
    <row r="45" spans="1:24">
      <c r="A45" s="964" t="s">
        <v>551</v>
      </c>
      <c r="B45" s="157">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5">
        <f>SUM(C45:H45)</f>
        <v>1</v>
      </c>
      <c r="J45" s="118">
        <f>J44</f>
        <v>0</v>
      </c>
      <c r="K45" s="118">
        <f t="shared" ref="K45:O47" si="5">K44</f>
        <v>0.7</v>
      </c>
      <c r="L45" s="118">
        <f t="shared" si="5"/>
        <v>0.15</v>
      </c>
      <c r="M45" s="118">
        <f t="shared" si="5"/>
        <v>0.15</v>
      </c>
      <c r="N45" s="118">
        <f t="shared" si="5"/>
        <v>0</v>
      </c>
      <c r="O45" s="118">
        <f t="shared" si="5"/>
        <v>0</v>
      </c>
      <c r="P45" s="205">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5">
        <f>SUM(Q45:V45)</f>
        <v>1</v>
      </c>
    </row>
    <row r="46" spans="1:24">
      <c r="A46" s="964" t="s">
        <v>622</v>
      </c>
      <c r="B46" s="157">
        <v>2030</v>
      </c>
      <c r="C46" s="117">
        <f>C45</f>
        <v>0.19230769230769232</v>
      </c>
      <c r="D46" s="118">
        <f t="shared" ref="D46:H47" si="6">D45</f>
        <v>0</v>
      </c>
      <c r="E46" s="118">
        <f t="shared" si="6"/>
        <v>0.19230769230769232</v>
      </c>
      <c r="F46" s="118">
        <f t="shared" si="6"/>
        <v>0.53846153846153855</v>
      </c>
      <c r="G46" s="118">
        <f t="shared" si="6"/>
        <v>7.6923076923076927E-2</v>
      </c>
      <c r="H46" s="118">
        <f t="shared" si="6"/>
        <v>0</v>
      </c>
      <c r="I46" s="205">
        <f>SUM(C46:H46)</f>
        <v>1</v>
      </c>
      <c r="J46" s="118">
        <f>J45</f>
        <v>0</v>
      </c>
      <c r="K46" s="118">
        <f t="shared" si="5"/>
        <v>0.7</v>
      </c>
      <c r="L46" s="118">
        <f t="shared" si="5"/>
        <v>0.15</v>
      </c>
      <c r="M46" s="118">
        <f t="shared" si="5"/>
        <v>0.15</v>
      </c>
      <c r="N46" s="118">
        <f t="shared" si="5"/>
        <v>0</v>
      </c>
      <c r="O46" s="118">
        <f t="shared" si="5"/>
        <v>0</v>
      </c>
      <c r="P46" s="205">
        <f>SUM(J46:O46)</f>
        <v>1</v>
      </c>
      <c r="Q46" s="118">
        <f>Q45</f>
        <v>0.42500000000000004</v>
      </c>
      <c r="R46" s="118">
        <f t="shared" ref="R46:U47" si="7">R45</f>
        <v>0</v>
      </c>
      <c r="S46" s="118">
        <f t="shared" si="7"/>
        <v>0.21250000000000002</v>
      </c>
      <c r="T46" s="118">
        <f t="shared" si="7"/>
        <v>0.3</v>
      </c>
      <c r="U46" s="118">
        <f t="shared" si="7"/>
        <v>6.25E-2</v>
      </c>
      <c r="V46" s="104">
        <v>0</v>
      </c>
      <c r="W46" s="205">
        <f>SUM(Q46:V46)</f>
        <v>1</v>
      </c>
    </row>
    <row r="47" spans="1:24" ht="15.75" thickBot="1">
      <c r="A47" s="965" t="s">
        <v>553</v>
      </c>
      <c r="B47" s="951">
        <v>2030</v>
      </c>
      <c r="C47" s="120">
        <f>C46</f>
        <v>0.19230769230769232</v>
      </c>
      <c r="D47" s="121">
        <f t="shared" si="6"/>
        <v>0</v>
      </c>
      <c r="E47" s="121">
        <f t="shared" si="6"/>
        <v>0.19230769230769232</v>
      </c>
      <c r="F47" s="121">
        <f t="shared" si="6"/>
        <v>0.53846153846153855</v>
      </c>
      <c r="G47" s="121">
        <f t="shared" si="6"/>
        <v>7.6923076923076927E-2</v>
      </c>
      <c r="H47" s="121">
        <f t="shared" si="6"/>
        <v>0</v>
      </c>
      <c r="I47" s="206">
        <f>SUM(C47:H47)</f>
        <v>1</v>
      </c>
      <c r="J47" s="121">
        <f>J46</f>
        <v>0</v>
      </c>
      <c r="K47" s="121">
        <f t="shared" si="5"/>
        <v>0.7</v>
      </c>
      <c r="L47" s="121">
        <f t="shared" si="5"/>
        <v>0.15</v>
      </c>
      <c r="M47" s="121">
        <f t="shared" si="5"/>
        <v>0.15</v>
      </c>
      <c r="N47" s="121">
        <f t="shared" si="5"/>
        <v>0</v>
      </c>
      <c r="O47" s="121">
        <f t="shared" si="5"/>
        <v>0</v>
      </c>
      <c r="P47" s="206">
        <f>SUM(J47:O47)</f>
        <v>1</v>
      </c>
      <c r="Q47" s="121">
        <f>Q46</f>
        <v>0.42500000000000004</v>
      </c>
      <c r="R47" s="121">
        <f t="shared" si="7"/>
        <v>0</v>
      </c>
      <c r="S47" s="121">
        <f t="shared" si="7"/>
        <v>0.21250000000000002</v>
      </c>
      <c r="T47" s="121">
        <f t="shared" si="7"/>
        <v>0.3</v>
      </c>
      <c r="U47" s="121">
        <f t="shared" si="7"/>
        <v>6.25E-2</v>
      </c>
      <c r="V47" s="163">
        <v>0</v>
      </c>
      <c r="W47" s="206">
        <f>SUM(Q47:V47)</f>
        <v>1</v>
      </c>
    </row>
    <row r="48" spans="1:24" ht="15.75" thickBot="1">
      <c r="A48" s="340"/>
      <c r="B48" s="165"/>
      <c r="C48" s="118"/>
      <c r="D48" s="118"/>
      <c r="E48" s="118"/>
      <c r="F48" s="118"/>
      <c r="G48" s="118"/>
      <c r="H48" s="118"/>
      <c r="I48" s="118"/>
      <c r="J48" s="118"/>
      <c r="K48" s="118"/>
      <c r="L48" s="118"/>
      <c r="M48" s="118"/>
      <c r="N48" s="118"/>
      <c r="O48" s="118"/>
      <c r="P48" s="118"/>
      <c r="Q48" s="118"/>
      <c r="R48" s="118"/>
      <c r="S48" s="118"/>
      <c r="T48" s="118"/>
      <c r="U48" s="118"/>
      <c r="V48" s="118"/>
      <c r="W48" s="104"/>
      <c r="X48" s="118"/>
    </row>
    <row r="49" spans="1:28" ht="63" customHeight="1" thickBot="1">
      <c r="A49" s="637"/>
      <c r="B49" s="610" t="s">
        <v>558</v>
      </c>
      <c r="C49" s="645" t="s">
        <v>506</v>
      </c>
      <c r="D49" s="641" t="s">
        <v>505</v>
      </c>
      <c r="J49" s="118"/>
      <c r="K49" s="118"/>
      <c r="L49" s="118"/>
      <c r="M49" s="118"/>
      <c r="N49" s="118"/>
      <c r="O49" s="118"/>
      <c r="P49" s="118"/>
      <c r="Q49" s="118"/>
      <c r="R49" s="118"/>
      <c r="S49" s="118"/>
      <c r="T49" s="118"/>
      <c r="U49" s="118"/>
      <c r="V49" s="118"/>
      <c r="W49" s="104"/>
      <c r="X49" s="118"/>
    </row>
    <row r="50" spans="1:28" ht="15.75">
      <c r="A50" s="634" t="s">
        <v>572</v>
      </c>
      <c r="B50" s="638">
        <v>2017</v>
      </c>
      <c r="C50" s="642">
        <f>'Input data'!C43</f>
        <v>0.71479999999999999</v>
      </c>
      <c r="D50" s="642">
        <f>'Input data'!C42</f>
        <v>0.28959999999999997</v>
      </c>
      <c r="J50" s="118"/>
      <c r="K50" s="118"/>
      <c r="L50" s="118"/>
      <c r="M50" s="118"/>
      <c r="N50" s="118"/>
      <c r="O50" s="118"/>
      <c r="P50" s="118"/>
      <c r="Q50" s="118"/>
      <c r="R50" s="118"/>
      <c r="S50" s="118"/>
      <c r="T50" s="118"/>
      <c r="U50" s="118"/>
      <c r="V50" s="118"/>
      <c r="W50" s="104"/>
      <c r="X50" s="118"/>
    </row>
    <row r="51" spans="1:28">
      <c r="A51" s="633" t="s">
        <v>551</v>
      </c>
      <c r="B51" s="639">
        <v>2050</v>
      </c>
      <c r="C51" s="643">
        <v>1</v>
      </c>
      <c r="D51" s="643">
        <f>(C45+D45)*Parameters!$D$12+Parameters!$D$13*('Recycling - Case 2'!K45+J45)+('Recycling - Case 2'!Q45+'Recycling - Case 2'!R45)*Parameters!$D$14</f>
        <v>0.36725000000000002</v>
      </c>
      <c r="J51" s="118"/>
      <c r="K51" s="118"/>
      <c r="L51" s="118"/>
      <c r="M51" s="118"/>
      <c r="N51" s="118"/>
      <c r="O51" s="118"/>
      <c r="P51" s="118"/>
      <c r="Q51" s="118"/>
      <c r="R51" s="118"/>
      <c r="S51" s="118"/>
      <c r="T51" s="118"/>
      <c r="U51" s="118"/>
      <c r="V51" s="118"/>
      <c r="W51" s="104"/>
      <c r="X51" s="118"/>
    </row>
    <row r="52" spans="1:28" ht="15.75" thickBot="1">
      <c r="A52" s="635" t="s">
        <v>552</v>
      </c>
      <c r="B52" s="640">
        <v>2030</v>
      </c>
      <c r="C52" s="644">
        <v>1</v>
      </c>
      <c r="D52" s="644">
        <f>(C46+D46)*Parameters!$D$12+Parameters!$D$13*('Recycling - Case 2'!K46+J46)+('Recycling - Case 2'!Q46+'Recycling - Case 2'!R46)*Parameters!$D$14</f>
        <v>0.36725000000000002</v>
      </c>
      <c r="J52" s="118"/>
      <c r="K52" s="118"/>
      <c r="L52" s="118"/>
      <c r="M52" s="118"/>
      <c r="N52" s="118"/>
      <c r="O52" s="118"/>
      <c r="P52" s="118"/>
      <c r="Q52" s="118"/>
      <c r="R52" s="118"/>
      <c r="S52" s="118"/>
      <c r="T52" s="118"/>
      <c r="U52" s="118"/>
      <c r="V52" s="118"/>
      <c r="W52" s="104"/>
      <c r="X52" s="118"/>
    </row>
    <row r="53" spans="1:28">
      <c r="A53" s="636"/>
      <c r="B53" s="104"/>
      <c r="C53" s="118"/>
      <c r="D53" s="118"/>
      <c r="E53" s="118"/>
      <c r="F53" s="118"/>
      <c r="G53" s="118"/>
      <c r="H53" s="118"/>
      <c r="I53" s="118"/>
      <c r="Q53" s="104"/>
      <c r="R53" s="104"/>
      <c r="S53" s="104"/>
      <c r="T53" s="104"/>
      <c r="U53" s="104"/>
      <c r="V53" s="104"/>
      <c r="W53" s="104"/>
      <c r="X53" s="104"/>
    </row>
    <row r="54" spans="1:28">
      <c r="A54" s="2"/>
      <c r="Q54" s="104"/>
      <c r="R54" s="104"/>
      <c r="S54" s="104"/>
      <c r="T54" s="104"/>
      <c r="U54" s="104"/>
      <c r="V54" s="104"/>
      <c r="W54" s="104"/>
      <c r="X54" s="104"/>
    </row>
    <row r="55" spans="1:28">
      <c r="A55" s="2"/>
      <c r="Q55" s="104"/>
      <c r="R55" s="104"/>
      <c r="S55" s="104"/>
      <c r="T55" s="104"/>
      <c r="U55" s="104"/>
      <c r="V55" s="104"/>
      <c r="W55" s="104"/>
      <c r="X55" s="104"/>
    </row>
    <row r="56" spans="1:28" ht="15.75">
      <c r="A56" s="337" t="s">
        <v>550</v>
      </c>
      <c r="B56" s="614"/>
      <c r="C56" s="614"/>
      <c r="D56" s="614"/>
      <c r="E56" s="614"/>
      <c r="F56" s="614"/>
      <c r="G56" s="614"/>
      <c r="H56" s="614"/>
      <c r="I56" s="1349"/>
      <c r="J56" s="334"/>
      <c r="K56" s="334"/>
      <c r="L56" s="334"/>
      <c r="M56" s="334"/>
      <c r="N56" s="334"/>
      <c r="O56" s="334"/>
      <c r="P56" s="334"/>
      <c r="Q56" s="286"/>
      <c r="R56" s="286"/>
      <c r="S56" s="286"/>
      <c r="T56" s="104"/>
      <c r="U56" s="104"/>
      <c r="V56" s="104"/>
      <c r="W56" s="620"/>
      <c r="X56" s="104"/>
      <c r="Y56" s="314"/>
      <c r="Z56" s="314"/>
      <c r="AA56" s="314"/>
    </row>
    <row r="57" spans="1:28" ht="16.5" thickBot="1">
      <c r="A57" s="337"/>
      <c r="B57" s="614" t="s">
        <v>593</v>
      </c>
      <c r="C57" s="614">
        <v>56521948</v>
      </c>
      <c r="D57" s="1350"/>
      <c r="E57" s="1350"/>
      <c r="F57" s="1350"/>
      <c r="G57" s="1350"/>
      <c r="H57" s="1350"/>
      <c r="I57" s="1350"/>
      <c r="J57" s="334"/>
      <c r="K57" s="334"/>
      <c r="L57" s="334"/>
      <c r="M57" s="334"/>
      <c r="N57" s="334"/>
      <c r="O57" s="334"/>
      <c r="P57" s="334"/>
      <c r="Q57" s="10"/>
      <c r="R57" s="10"/>
      <c r="S57" s="10"/>
      <c r="W57" s="313"/>
      <c r="Y57" s="314"/>
      <c r="Z57" s="314"/>
      <c r="AA57" s="314"/>
    </row>
    <row r="58" spans="1:28" ht="16.5" thickBot="1">
      <c r="A58" s="1307" t="s">
        <v>749</v>
      </c>
      <c r="B58" s="1307" t="s">
        <v>327</v>
      </c>
      <c r="C58" s="1308" t="s">
        <v>221</v>
      </c>
      <c r="D58" s="1309" t="s">
        <v>85</v>
      </c>
      <c r="E58" s="1309" t="s">
        <v>375</v>
      </c>
      <c r="F58" s="1309" t="s">
        <v>222</v>
      </c>
      <c r="G58" s="1309" t="s">
        <v>115</v>
      </c>
      <c r="H58" s="1309" t="s">
        <v>223</v>
      </c>
      <c r="I58" s="1309" t="s">
        <v>328</v>
      </c>
      <c r="J58" s="1309" t="s">
        <v>329</v>
      </c>
      <c r="K58" s="1309" t="s">
        <v>330</v>
      </c>
      <c r="L58" s="1309" t="s">
        <v>331</v>
      </c>
      <c r="M58" s="1309" t="s">
        <v>332</v>
      </c>
      <c r="N58" s="1330" t="s">
        <v>225</v>
      </c>
      <c r="O58" s="613"/>
      <c r="P58" s="613"/>
      <c r="Q58" s="10"/>
      <c r="R58" s="10"/>
      <c r="S58" s="10"/>
      <c r="W58" s="313"/>
      <c r="X58" s="315"/>
      <c r="Y58" s="313"/>
      <c r="Z58" s="313"/>
      <c r="AA58" s="313"/>
    </row>
    <row r="59" spans="1:28">
      <c r="A59" s="1310"/>
      <c r="B59" s="1310" t="s">
        <v>333</v>
      </c>
      <c r="C59" s="1311">
        <f>'Input data'!C13</f>
        <v>1233791.4119790548</v>
      </c>
      <c r="D59" s="1312">
        <f>'Input data'!D13</f>
        <v>1138884.3802883581</v>
      </c>
      <c r="E59" s="1312">
        <f>'Input data'!E13</f>
        <v>378326.54427023319</v>
      </c>
      <c r="F59" s="1312">
        <f>'Input data'!F13</f>
        <v>0</v>
      </c>
      <c r="G59" s="1312">
        <f>'Input data'!G13</f>
        <v>0</v>
      </c>
      <c r="H59" s="1312">
        <f>'Input data'!H13</f>
        <v>0</v>
      </c>
      <c r="I59" s="1312">
        <f>'Input data'!I13</f>
        <v>0</v>
      </c>
      <c r="J59" s="1312">
        <f>'Input data'!J13</f>
        <v>381000</v>
      </c>
      <c r="K59" s="1312">
        <f>'Input data'!K13</f>
        <v>338388.97868490184</v>
      </c>
      <c r="L59" s="1312">
        <f>'Input data'!L13</f>
        <v>297470.77450579114</v>
      </c>
      <c r="M59" s="1312">
        <f>'Input data'!M13</f>
        <v>0</v>
      </c>
      <c r="N59" s="1331">
        <f>'Input data'!N13</f>
        <v>3767862.0897283391</v>
      </c>
      <c r="O59" s="614"/>
      <c r="P59" s="614"/>
      <c r="Q59" s="342"/>
      <c r="R59" s="10"/>
      <c r="S59" s="10"/>
      <c r="W59" s="314"/>
      <c r="Y59" s="314"/>
      <c r="Z59" s="314"/>
      <c r="AA59" s="314"/>
    </row>
    <row r="60" spans="1:28" ht="15.75">
      <c r="A60" s="1313" t="s">
        <v>334</v>
      </c>
      <c r="B60" s="1310" t="s">
        <v>335</v>
      </c>
      <c r="C60" s="1314">
        <f>'Input data'!C14</f>
        <v>964286</v>
      </c>
      <c r="D60" s="1351">
        <f>'Input data'!D14</f>
        <v>964286</v>
      </c>
      <c r="E60" s="1351">
        <f>'Input data'!E14</f>
        <v>0</v>
      </c>
      <c r="F60" s="1351">
        <f>'Input data'!F14</f>
        <v>0</v>
      </c>
      <c r="G60" s="1351">
        <f>'Input data'!G14</f>
        <v>0</v>
      </c>
      <c r="H60" s="1351">
        <f>'Input data'!H14</f>
        <v>0</v>
      </c>
      <c r="I60" s="1351">
        <f>'Input data'!I14</f>
        <v>2892858</v>
      </c>
      <c r="J60" s="1351">
        <f>'Input data'!J14</f>
        <v>0</v>
      </c>
      <c r="K60" s="1351">
        <f>'Input data'!K14</f>
        <v>0</v>
      </c>
      <c r="L60" s="1351">
        <f>'Input data'!L14</f>
        <v>0</v>
      </c>
      <c r="M60" s="1351">
        <f>'Input data'!M14</f>
        <v>0</v>
      </c>
      <c r="N60" s="1326">
        <f>'Input data'!N14</f>
        <v>4821430</v>
      </c>
      <c r="O60" s="614"/>
      <c r="P60" s="614"/>
      <c r="Q60" s="10"/>
      <c r="R60" s="10"/>
      <c r="S60" s="10"/>
      <c r="W60" s="313"/>
      <c r="Y60" s="314"/>
      <c r="Z60" s="314"/>
      <c r="AA60" s="314"/>
    </row>
    <row r="61" spans="1:28" ht="15.75">
      <c r="A61" s="1313" t="s">
        <v>336</v>
      </c>
      <c r="B61" s="1310" t="s">
        <v>337</v>
      </c>
      <c r="C61" s="1314">
        <f>'Input data'!C15</f>
        <v>72176.800000000003</v>
      </c>
      <c r="D61" s="1351">
        <f>'Input data'!D15</f>
        <v>72176.800000000003</v>
      </c>
      <c r="E61" s="1351">
        <f>'Input data'!E15</f>
        <v>0</v>
      </c>
      <c r="F61" s="1351">
        <f>'Input data'!F15</f>
        <v>0</v>
      </c>
      <c r="G61" s="1351">
        <f>'Input data'!G15</f>
        <v>0</v>
      </c>
      <c r="H61" s="1351">
        <f>'Input data'!H15</f>
        <v>0</v>
      </c>
      <c r="I61" s="1351">
        <f>'Input data'!I15</f>
        <v>216530.4</v>
      </c>
      <c r="J61" s="1351">
        <f>'Input data'!J15</f>
        <v>0</v>
      </c>
      <c r="K61" s="1351">
        <f>'Input data'!K15</f>
        <v>0</v>
      </c>
      <c r="L61" s="1351">
        <f>'Input data'!L15</f>
        <v>0</v>
      </c>
      <c r="M61" s="1351">
        <f>'Input data'!M15</f>
        <v>0</v>
      </c>
      <c r="N61" s="1326">
        <f>'Input data'!N15</f>
        <v>360884</v>
      </c>
      <c r="O61" s="614"/>
      <c r="P61" s="614"/>
      <c r="Q61" s="10"/>
      <c r="R61" s="10"/>
      <c r="S61" s="10"/>
      <c r="W61" s="313"/>
      <c r="Y61" s="314"/>
      <c r="Z61" s="314"/>
      <c r="AA61" s="313"/>
    </row>
    <row r="62" spans="1:28" ht="15.75">
      <c r="A62" s="1313" t="s">
        <v>338</v>
      </c>
      <c r="B62" s="1310" t="s">
        <v>339</v>
      </c>
      <c r="C62" s="1314">
        <f>'Input data'!C16</f>
        <v>0</v>
      </c>
      <c r="D62" s="1351">
        <f>'Input data'!D16</f>
        <v>0</v>
      </c>
      <c r="E62" s="1351">
        <f>'Input data'!E16</f>
        <v>520349.97572976683</v>
      </c>
      <c r="F62" s="1351">
        <f>'Input data'!F16</f>
        <v>0</v>
      </c>
      <c r="G62" s="1351">
        <f>'Input data'!G16</f>
        <v>0</v>
      </c>
      <c r="H62" s="1351">
        <f>'Input data'!H16</f>
        <v>0</v>
      </c>
      <c r="I62" s="1351">
        <f>'Input data'!I16</f>
        <v>0</v>
      </c>
      <c r="J62" s="1351">
        <f>'Input data'!J16</f>
        <v>237880.00199999998</v>
      </c>
      <c r="K62" s="1351">
        <f>'Input data'!K16</f>
        <v>465419.88531509798</v>
      </c>
      <c r="L62" s="1351">
        <f>'Input data'!L16</f>
        <v>409141.02549420868</v>
      </c>
      <c r="M62" s="1351">
        <f>'Input data'!M16</f>
        <v>123895.58799999999</v>
      </c>
      <c r="N62" s="1326">
        <f>'Input data'!N16</f>
        <v>1756686.4765390735</v>
      </c>
      <c r="O62" s="614"/>
      <c r="P62" s="614"/>
      <c r="Q62" s="10"/>
      <c r="R62" s="10"/>
      <c r="S62" s="10"/>
      <c r="W62" s="312"/>
      <c r="Y62" s="312"/>
      <c r="Z62" s="312"/>
      <c r="AA62" s="312"/>
      <c r="AB62" s="312"/>
    </row>
    <row r="63" spans="1:28" ht="15.75">
      <c r="A63" s="1313" t="s">
        <v>338</v>
      </c>
      <c r="B63" s="1310" t="s">
        <v>340</v>
      </c>
      <c r="C63" s="1314">
        <f>'Input data'!C17</f>
        <v>0</v>
      </c>
      <c r="D63" s="1351">
        <f>'Input data'!D17</f>
        <v>0</v>
      </c>
      <c r="E63" s="1351">
        <f>'Input data'!E17</f>
        <v>1241029.48</v>
      </c>
      <c r="F63" s="1351">
        <f>'Input data'!F17</f>
        <v>0</v>
      </c>
      <c r="G63" s="1351">
        <f>'Input data'!G17</f>
        <v>0</v>
      </c>
      <c r="H63" s="1351">
        <f>'Input data'!H17</f>
        <v>0</v>
      </c>
      <c r="I63" s="1351">
        <f>'Input data'!I17</f>
        <v>0</v>
      </c>
      <c r="J63" s="1351">
        <f>'Input data'!J17</f>
        <v>480373.99800000002</v>
      </c>
      <c r="K63" s="1351">
        <f>'Input data'!K17</f>
        <v>1987194.1360000002</v>
      </c>
      <c r="L63" s="1351">
        <f>'Input data'!L17</f>
        <v>2826447.2</v>
      </c>
      <c r="M63" s="1351">
        <f>'Input data'!M17</f>
        <v>38271.412000000004</v>
      </c>
      <c r="N63" s="1326">
        <f>'Input data'!N17</f>
        <v>6573316.2259999998</v>
      </c>
      <c r="O63" s="614"/>
      <c r="P63" s="614"/>
      <c r="Q63" s="10"/>
      <c r="R63" s="10"/>
      <c r="S63" s="10"/>
      <c r="W63" s="312"/>
      <c r="Y63" s="312"/>
      <c r="Z63" s="312"/>
      <c r="AA63" s="312"/>
      <c r="AB63" s="312"/>
    </row>
    <row r="64" spans="1:28" ht="15.75">
      <c r="A64" s="1313" t="s">
        <v>341</v>
      </c>
      <c r="B64" s="1310" t="s">
        <v>342</v>
      </c>
      <c r="C64" s="1314">
        <f>'Input data'!C18</f>
        <v>2500000</v>
      </c>
      <c r="D64" s="1351">
        <f>'Input data'!D18</f>
        <v>4200000</v>
      </c>
      <c r="E64" s="1351">
        <f>'Input data'!E18</f>
        <v>0</v>
      </c>
      <c r="F64" s="1351">
        <f>'Input data'!F18</f>
        <v>0</v>
      </c>
      <c r="G64" s="1351">
        <f>'Input data'!G18</f>
        <v>0</v>
      </c>
      <c r="H64" s="1351">
        <f>'Input data'!H18</f>
        <v>0</v>
      </c>
      <c r="I64" s="1351">
        <f>'Input data'!I18</f>
        <v>0</v>
      </c>
      <c r="J64" s="1351">
        <f>'Input data'!J18</f>
        <v>0</v>
      </c>
      <c r="K64" s="1351">
        <f>'Input data'!K18</f>
        <v>0</v>
      </c>
      <c r="L64" s="1351">
        <f>'Input data'!L18</f>
        <v>0</v>
      </c>
      <c r="M64" s="1351">
        <f>'Input data'!M18</f>
        <v>0</v>
      </c>
      <c r="N64" s="1326">
        <f>'Input data'!N18</f>
        <v>6700000</v>
      </c>
      <c r="O64" s="614"/>
      <c r="P64" s="614"/>
      <c r="Q64" s="10"/>
      <c r="R64" s="10"/>
      <c r="S64" s="10"/>
      <c r="W64" s="312"/>
      <c r="Y64" s="312"/>
      <c r="Z64" s="312"/>
      <c r="AA64" s="312"/>
      <c r="AB64" s="312"/>
    </row>
    <row r="65" spans="1:28" ht="15.75">
      <c r="A65" s="1315"/>
      <c r="B65" s="1316" t="s">
        <v>343</v>
      </c>
      <c r="C65" s="1314">
        <f>'Input data'!C19</f>
        <v>4770254.2119790548</v>
      </c>
      <c r="D65" s="1351">
        <f>'Input data'!D19</f>
        <v>6375347.1802883577</v>
      </c>
      <c r="E65" s="1351">
        <f>'Input data'!E19</f>
        <v>2139706</v>
      </c>
      <c r="F65" s="1351">
        <f>'Input data'!F19</f>
        <v>0</v>
      </c>
      <c r="G65" s="1351">
        <f>'Input data'!G19</f>
        <v>0</v>
      </c>
      <c r="H65" s="1351">
        <f>'Input data'!H19</f>
        <v>0</v>
      </c>
      <c r="I65" s="1351">
        <f>'Input data'!I19</f>
        <v>3109388.4</v>
      </c>
      <c r="J65" s="1351">
        <f>'Input data'!J19</f>
        <v>1099254</v>
      </c>
      <c r="K65" s="1351">
        <f>'Input data'!K19</f>
        <v>2791003</v>
      </c>
      <c r="L65" s="1351">
        <f>'Input data'!L19</f>
        <v>3533059</v>
      </c>
      <c r="M65" s="1351">
        <f>'Input data'!M19</f>
        <v>162167</v>
      </c>
      <c r="N65" s="1326">
        <f>'Input data'!N19</f>
        <v>23980178.792267412</v>
      </c>
      <c r="O65" s="615"/>
      <c r="P65" s="615"/>
      <c r="Q65" s="10"/>
      <c r="R65" s="10"/>
      <c r="S65" s="10"/>
      <c r="W65" s="312"/>
      <c r="Y65" s="312"/>
      <c r="Z65" s="312"/>
      <c r="AA65" s="312"/>
      <c r="AB65" s="312"/>
    </row>
    <row r="66" spans="1:28" ht="15.75">
      <c r="A66" s="1315"/>
      <c r="B66" s="1317" t="s">
        <v>496</v>
      </c>
      <c r="C66" s="1314">
        <f>'Input data'!C20</f>
        <v>2674712.2259895275</v>
      </c>
      <c r="D66" s="1351">
        <f>'Input data'!D20</f>
        <v>3392258.7101441789</v>
      </c>
      <c r="E66" s="1351">
        <f>'Input data'!E20</f>
        <v>657478.25029190676</v>
      </c>
      <c r="F66" s="1351">
        <f>'Input data'!F20</f>
        <v>0</v>
      </c>
      <c r="G66" s="1351">
        <f>'Input data'!G20</f>
        <v>0</v>
      </c>
      <c r="H66" s="1351">
        <f>'Input data'!H20</f>
        <v>0</v>
      </c>
      <c r="I66" s="1351">
        <f>'Input data'!I20</f>
        <v>2798449.56</v>
      </c>
      <c r="J66" s="1351">
        <f>'Input data'!J20</f>
        <v>404592.00179999997</v>
      </c>
      <c r="K66" s="1351">
        <f>'Input data'!K20</f>
        <v>588072.38612603908</v>
      </c>
      <c r="L66" s="1351">
        <f>'Input data'!L20</f>
        <v>516962.3101976834</v>
      </c>
      <c r="M66" s="1351">
        <f>'Input data'!M20</f>
        <v>111506.02919999999</v>
      </c>
      <c r="N66" s="1326">
        <f>'Input data'!N20</f>
        <v>11144031.473749338</v>
      </c>
      <c r="O66" s="615"/>
      <c r="P66" s="615"/>
      <c r="Q66" s="10"/>
      <c r="R66" s="10"/>
      <c r="S66" s="10"/>
      <c r="W66" s="312"/>
      <c r="Y66" s="312"/>
      <c r="Z66" s="312"/>
      <c r="AA66" s="312"/>
      <c r="AB66" s="312"/>
    </row>
    <row r="67" spans="1:28" ht="16.5" thickBot="1">
      <c r="A67" s="1315"/>
      <c r="B67" s="1317" t="s">
        <v>744</v>
      </c>
      <c r="C67" s="1314">
        <f>'Input data'!C21</f>
        <v>845541.98598952731</v>
      </c>
      <c r="D67" s="1351">
        <f>'Input data'!D21</f>
        <v>883088.47014417872</v>
      </c>
      <c r="E67" s="1351">
        <f>'Input data'!E21</f>
        <v>241198.26970809326</v>
      </c>
      <c r="F67" s="1351">
        <f>'Input data'!F21</f>
        <v>0</v>
      </c>
      <c r="G67" s="1351">
        <f>'Input data'!G21</f>
        <v>0</v>
      </c>
      <c r="H67" s="1351">
        <f>'Input data'!H21</f>
        <v>0</v>
      </c>
      <c r="I67" s="1351">
        <f>'Input data'!I21</f>
        <v>310938.83999999985</v>
      </c>
      <c r="J67" s="1351">
        <f>'Input data'!J21</f>
        <v>214288.00020000001</v>
      </c>
      <c r="K67" s="1351">
        <f>'Input data'!K21</f>
        <v>215736.47787396074</v>
      </c>
      <c r="L67" s="1351">
        <f>'Input data'!L21</f>
        <v>189649.4898023163</v>
      </c>
      <c r="M67" s="1351">
        <f>'Input data'!M21</f>
        <v>12389.558800000006</v>
      </c>
      <c r="N67" s="1326">
        <f>'Input data'!N21</f>
        <v>2912831.0925180763</v>
      </c>
      <c r="O67" s="615"/>
      <c r="P67" s="615"/>
      <c r="Q67" s="10"/>
      <c r="R67" s="10"/>
      <c r="S67" s="10"/>
      <c r="W67" s="312"/>
      <c r="Y67" s="312"/>
      <c r="Z67" s="312"/>
      <c r="AA67" s="312"/>
      <c r="AB67" s="312"/>
    </row>
    <row r="68" spans="1:28" ht="15.75">
      <c r="A68" s="1315"/>
      <c r="B68" s="1307" t="s">
        <v>344</v>
      </c>
      <c r="C68" s="1318">
        <f>'Input data'!C22</f>
        <v>0</v>
      </c>
      <c r="D68" s="1184">
        <f>'Input data'!D22</f>
        <v>0</v>
      </c>
      <c r="E68" s="1184">
        <f>'Input data'!E22</f>
        <v>0</v>
      </c>
      <c r="F68" s="1184">
        <f>'Input data'!F22</f>
        <v>0</v>
      </c>
      <c r="G68" s="1184">
        <f>'Input data'!G22</f>
        <v>0</v>
      </c>
      <c r="H68" s="1184">
        <f>'Input data'!H22</f>
        <v>0</v>
      </c>
      <c r="I68" s="1184">
        <f>'Input data'!I22</f>
        <v>0</v>
      </c>
      <c r="J68" s="1184">
        <f>'Input data'!J22</f>
        <v>0</v>
      </c>
      <c r="K68" s="1184">
        <f>'Input data'!K22</f>
        <v>0</v>
      </c>
      <c r="L68" s="1184">
        <f>'Input data'!L22</f>
        <v>0</v>
      </c>
      <c r="M68" s="1184">
        <f>'Input data'!M22</f>
        <v>0</v>
      </c>
      <c r="N68" s="1332">
        <f>'Input data'!N22</f>
        <v>0</v>
      </c>
      <c r="O68" s="616"/>
      <c r="P68" s="616"/>
      <c r="Q68" s="10"/>
      <c r="R68" s="10"/>
      <c r="S68" s="10"/>
      <c r="W68" s="312"/>
      <c r="Y68" s="312"/>
      <c r="Z68" s="312"/>
      <c r="AA68" s="312"/>
      <c r="AB68" s="312"/>
    </row>
    <row r="69" spans="1:28" ht="15.75">
      <c r="A69" s="1315"/>
      <c r="B69" s="1319" t="s">
        <v>345</v>
      </c>
      <c r="C69" s="649">
        <f>'Input data'!C23</f>
        <v>0.32745131923552184</v>
      </c>
      <c r="D69" s="417">
        <f>'Input data'!D23</f>
        <v>0.30226275621740473</v>
      </c>
      <c r="E69" s="417">
        <f>'Input data'!E23</f>
        <v>0.10040880883129943</v>
      </c>
      <c r="F69" s="417">
        <f>'Input data'!F23</f>
        <v>0</v>
      </c>
      <c r="G69" s="417">
        <f>'Input data'!G23</f>
        <v>0</v>
      </c>
      <c r="H69" s="417">
        <f>'Input data'!H23</f>
        <v>0</v>
      </c>
      <c r="I69" s="417">
        <f>'Input data'!I23</f>
        <v>0</v>
      </c>
      <c r="J69" s="417">
        <f>'Input data'!J23</f>
        <v>0.10111835065265616</v>
      </c>
      <c r="K69" s="417">
        <f>'Input data'!K23</f>
        <v>8.9809279274682671E-2</v>
      </c>
      <c r="L69" s="417">
        <f>'Input data'!L23</f>
        <v>7.8949485788435164E-2</v>
      </c>
      <c r="M69" s="417">
        <f>'Input data'!M23</f>
        <v>0</v>
      </c>
      <c r="N69" s="525">
        <f>'Input data'!N23</f>
        <v>1</v>
      </c>
      <c r="O69" s="417"/>
      <c r="P69" s="417"/>
      <c r="Q69" s="10"/>
      <c r="R69" s="10"/>
      <c r="S69" s="10"/>
      <c r="W69" s="312"/>
      <c r="Y69" s="312"/>
      <c r="Z69" s="312"/>
      <c r="AA69" s="312"/>
      <c r="AB69" s="312"/>
    </row>
    <row r="70" spans="1:28" ht="15.75">
      <c r="A70" s="1313" t="s">
        <v>334</v>
      </c>
      <c r="B70" s="1319" t="s">
        <v>346</v>
      </c>
      <c r="C70" s="649">
        <f>'Input data'!C24</f>
        <v>0.2</v>
      </c>
      <c r="D70" s="417">
        <f>'Input data'!D24</f>
        <v>0.2</v>
      </c>
      <c r="E70" s="417">
        <f>'Input data'!E24</f>
        <v>0</v>
      </c>
      <c r="F70" s="417">
        <f>'Input data'!F24</f>
        <v>0</v>
      </c>
      <c r="G70" s="417">
        <f>'Input data'!G24</f>
        <v>0</v>
      </c>
      <c r="H70" s="417">
        <f>'Input data'!H24</f>
        <v>0</v>
      </c>
      <c r="I70" s="417">
        <f>'Input data'!I24</f>
        <v>0.6</v>
      </c>
      <c r="J70" s="417">
        <f>'Input data'!J24</f>
        <v>0</v>
      </c>
      <c r="K70" s="417">
        <f>'Input data'!K24</f>
        <v>0</v>
      </c>
      <c r="L70" s="417">
        <f>'Input data'!L24</f>
        <v>0</v>
      </c>
      <c r="M70" s="417">
        <f>'Input data'!M24</f>
        <v>0</v>
      </c>
      <c r="N70" s="525">
        <f>'Input data'!N24</f>
        <v>1</v>
      </c>
      <c r="O70" s="417"/>
      <c r="P70" s="417"/>
      <c r="Q70" s="10"/>
      <c r="R70" s="10"/>
      <c r="S70" s="10"/>
      <c r="W70" s="312"/>
      <c r="Y70" s="312"/>
      <c r="Z70" s="312"/>
      <c r="AA70" s="312"/>
      <c r="AB70" s="312"/>
    </row>
    <row r="71" spans="1:28" ht="15.75">
      <c r="A71" s="1313" t="s">
        <v>336</v>
      </c>
      <c r="B71" s="1319" t="s">
        <v>347</v>
      </c>
      <c r="C71" s="649">
        <f>'Input data'!C25</f>
        <v>0.2</v>
      </c>
      <c r="D71" s="417">
        <f>'Input data'!D25</f>
        <v>0.2</v>
      </c>
      <c r="E71" s="417">
        <f>'Input data'!E25</f>
        <v>0</v>
      </c>
      <c r="F71" s="417">
        <f>'Input data'!F25</f>
        <v>0</v>
      </c>
      <c r="G71" s="417">
        <f>'Input data'!G25</f>
        <v>0</v>
      </c>
      <c r="H71" s="417">
        <f>'Input data'!H25</f>
        <v>0</v>
      </c>
      <c r="I71" s="417">
        <f>'Input data'!I25</f>
        <v>0.6</v>
      </c>
      <c r="J71" s="417">
        <f>'Input data'!J25</f>
        <v>0</v>
      </c>
      <c r="K71" s="417">
        <f>'Input data'!K25</f>
        <v>0</v>
      </c>
      <c r="L71" s="417">
        <f>'Input data'!L25</f>
        <v>0</v>
      </c>
      <c r="M71" s="417">
        <f>'Input data'!M25</f>
        <v>0</v>
      </c>
      <c r="N71" s="525">
        <f>'Input data'!N25</f>
        <v>1</v>
      </c>
      <c r="O71" s="417"/>
      <c r="P71" s="417"/>
      <c r="Q71" s="10"/>
      <c r="R71" s="10"/>
      <c r="S71" s="10"/>
      <c r="W71" s="312"/>
      <c r="Y71" s="312"/>
      <c r="Z71" s="312"/>
      <c r="AA71" s="312"/>
      <c r="AB71" s="312"/>
    </row>
    <row r="72" spans="1:28" ht="15.75">
      <c r="A72" s="1313" t="s">
        <v>338</v>
      </c>
      <c r="B72" s="1319" t="s">
        <v>339</v>
      </c>
      <c r="C72" s="649">
        <f>'Input data'!C26</f>
        <v>0</v>
      </c>
      <c r="D72" s="417">
        <f>'Input data'!D26</f>
        <v>0</v>
      </c>
      <c r="E72" s="417">
        <f>'Input data'!E26</f>
        <v>0.29621106707380795</v>
      </c>
      <c r="F72" s="417">
        <f>'Input data'!F26</f>
        <v>0</v>
      </c>
      <c r="G72" s="417">
        <f>'Input data'!G26</f>
        <v>0</v>
      </c>
      <c r="H72" s="417">
        <f>'Input data'!H26</f>
        <v>0</v>
      </c>
      <c r="I72" s="417">
        <f>'Input data'!I26</f>
        <v>0</v>
      </c>
      <c r="J72" s="417">
        <f>'Input data'!J26</f>
        <v>0.1354140338511958</v>
      </c>
      <c r="K72" s="417">
        <f>'Input data'!K26</f>
        <v>0.26494191851015014</v>
      </c>
      <c r="L72" s="417">
        <f>'Input data'!L26</f>
        <v>0.2329049781838565</v>
      </c>
      <c r="M72" s="417">
        <f>'Input data'!M26</f>
        <v>7.0528002380989593E-2</v>
      </c>
      <c r="N72" s="525">
        <f>'Input data'!N26</f>
        <v>0.99999999999999989</v>
      </c>
      <c r="O72" s="417"/>
      <c r="P72" s="417"/>
      <c r="Q72" s="10"/>
      <c r="R72" s="10"/>
      <c r="S72" s="10"/>
      <c r="W72" s="312"/>
      <c r="Y72" s="745"/>
      <c r="Z72" s="312"/>
      <c r="AA72" s="312"/>
      <c r="AB72" s="312"/>
    </row>
    <row r="73" spans="1:28" ht="15.75">
      <c r="A73" s="1313" t="s">
        <v>338</v>
      </c>
      <c r="B73" s="1319" t="s">
        <v>340</v>
      </c>
      <c r="C73" s="649">
        <f>'Input data'!C27</f>
        <v>0</v>
      </c>
      <c r="D73" s="417">
        <f>'Input data'!D27</f>
        <v>0</v>
      </c>
      <c r="E73" s="417">
        <f>'Input data'!E27</f>
        <v>0.188798079588998</v>
      </c>
      <c r="F73" s="417">
        <f>'Input data'!F27</f>
        <v>0</v>
      </c>
      <c r="G73" s="417">
        <f>'Input data'!G27</f>
        <v>0</v>
      </c>
      <c r="H73" s="417">
        <f>'Input data'!H27</f>
        <v>0</v>
      </c>
      <c r="I73" s="417">
        <f>'Input data'!I27</f>
        <v>0</v>
      </c>
      <c r="J73" s="417">
        <f>'Input data'!J27</f>
        <v>7.3079398812419163E-2</v>
      </c>
      <c r="K73" s="417">
        <f>'Input data'!K27</f>
        <v>0.30231226791431109</v>
      </c>
      <c r="L73" s="417">
        <f>'Input data'!L27</f>
        <v>0.42998801561079808</v>
      </c>
      <c r="M73" s="417">
        <f>'Input data'!M27</f>
        <v>5.8222380734737535E-3</v>
      </c>
      <c r="N73" s="525">
        <f>'Input data'!N27</f>
        <v>1.0000000000000002</v>
      </c>
      <c r="O73" s="417"/>
      <c r="P73" s="417"/>
      <c r="Q73" s="10"/>
      <c r="R73" s="10"/>
      <c r="S73" s="10"/>
      <c r="W73" s="312"/>
      <c r="Y73" s="745"/>
      <c r="Z73" s="312"/>
      <c r="AA73" s="312"/>
      <c r="AB73" s="312"/>
    </row>
    <row r="74" spans="1:28" ht="15.75">
      <c r="A74" s="1313" t="s">
        <v>341</v>
      </c>
      <c r="B74" s="1319" t="s">
        <v>342</v>
      </c>
      <c r="C74" s="649">
        <f>'Input data'!C28</f>
        <v>0.37313432835820898</v>
      </c>
      <c r="D74" s="417">
        <f>'Input data'!D28</f>
        <v>0.62686567164179108</v>
      </c>
      <c r="E74" s="417">
        <f>'Input data'!E28</f>
        <v>0</v>
      </c>
      <c r="F74" s="417">
        <f>'Input data'!F28</f>
        <v>0</v>
      </c>
      <c r="G74" s="417">
        <f>'Input data'!G28</f>
        <v>0</v>
      </c>
      <c r="H74" s="417">
        <f>'Input data'!H28</f>
        <v>0</v>
      </c>
      <c r="I74" s="417">
        <f>'Input data'!I28</f>
        <v>0</v>
      </c>
      <c r="J74" s="417">
        <f>'Input data'!J28</f>
        <v>0</v>
      </c>
      <c r="K74" s="417">
        <f>'Input data'!K28</f>
        <v>0</v>
      </c>
      <c r="L74" s="417">
        <f>'Input data'!L28</f>
        <v>0</v>
      </c>
      <c r="M74" s="417">
        <f>'Input data'!M28</f>
        <v>0</v>
      </c>
      <c r="N74" s="525">
        <f>'Input data'!N28</f>
        <v>1</v>
      </c>
      <c r="O74" s="417"/>
      <c r="P74" s="417"/>
      <c r="Q74" s="7"/>
      <c r="R74" s="338"/>
      <c r="S74" s="338"/>
      <c r="T74" s="4"/>
      <c r="U74" s="4"/>
      <c r="Y74" s="745"/>
    </row>
    <row r="75" spans="1:28" ht="15.75">
      <c r="A75" s="1315"/>
      <c r="B75" s="1317" t="s">
        <v>348</v>
      </c>
      <c r="C75" s="649">
        <f>'Input data'!C29</f>
        <v>0.19892488097366726</v>
      </c>
      <c r="D75" s="417">
        <f>'Input data'!D29</f>
        <v>0.26585903447659598</v>
      </c>
      <c r="E75" s="417">
        <f>'Input data'!E29</f>
        <v>8.9228108703258049E-2</v>
      </c>
      <c r="F75" s="417">
        <f>'Input data'!F29</f>
        <v>0</v>
      </c>
      <c r="G75" s="417">
        <f>'Input data'!G29</f>
        <v>0</v>
      </c>
      <c r="H75" s="417">
        <f>'Input data'!H29</f>
        <v>0</v>
      </c>
      <c r="I75" s="417">
        <f>'Input data'!I29</f>
        <v>0.12966493815311525</v>
      </c>
      <c r="J75" s="417">
        <f>'Input data'!J29</f>
        <v>4.5840108596457284E-2</v>
      </c>
      <c r="K75" s="417">
        <f>'Input data'!K29</f>
        <v>0.1163879145429883</v>
      </c>
      <c r="L75" s="417">
        <f>'Input data'!L29</f>
        <v>0.1473324711465146</v>
      </c>
      <c r="M75" s="417">
        <f>'Input data'!M29</f>
        <v>6.7625434074032823E-3</v>
      </c>
      <c r="N75" s="525">
        <f>'Input data'!N29</f>
        <v>1</v>
      </c>
      <c r="O75" s="332"/>
      <c r="P75" s="332"/>
      <c r="Q75" s="7"/>
      <c r="R75" s="338"/>
      <c r="S75" s="338"/>
      <c r="T75" s="4"/>
      <c r="U75" s="4"/>
      <c r="Y75" s="745"/>
    </row>
    <row r="76" spans="1:28" ht="15.75">
      <c r="A76" s="1315"/>
      <c r="B76" s="1317" t="s">
        <v>497</v>
      </c>
      <c r="C76" s="649">
        <f>'Input data'!C30</f>
        <v>0.24001298204245269</v>
      </c>
      <c r="D76" s="417">
        <f>'Input data'!D30</f>
        <v>0.30440139352934503</v>
      </c>
      <c r="E76" s="417">
        <f>'Input data'!E30</f>
        <v>5.8998240613430578E-2</v>
      </c>
      <c r="F76" s="417">
        <f>'Input data'!F30</f>
        <v>0</v>
      </c>
      <c r="G76" s="417">
        <f>'Input data'!G30</f>
        <v>0</v>
      </c>
      <c r="H76" s="417">
        <f>'Input data'!H30</f>
        <v>0</v>
      </c>
      <c r="I76" s="417">
        <f>'Input data'!I30</f>
        <v>0.25111644440272562</v>
      </c>
      <c r="J76" s="417">
        <f>'Input data'!J30</f>
        <v>3.6305712412339194E-2</v>
      </c>
      <c r="K76" s="417">
        <f>'Input data'!K30</f>
        <v>5.2770165582472633E-2</v>
      </c>
      <c r="L76" s="417">
        <f>'Input data'!L30</f>
        <v>4.6389164586929758E-2</v>
      </c>
      <c r="M76" s="417">
        <f>'Input data'!M30</f>
        <v>1.0005896830304312E-2</v>
      </c>
      <c r="N76" s="525">
        <f>'Input data'!N30</f>
        <v>1</v>
      </c>
      <c r="O76" s="332"/>
      <c r="P76" s="332"/>
      <c r="Q76" s="7"/>
      <c r="R76" s="338"/>
      <c r="S76" s="338"/>
      <c r="T76" s="4"/>
      <c r="U76" s="4"/>
      <c r="Y76" s="745"/>
    </row>
    <row r="77" spans="1:28" ht="16.5" thickBot="1">
      <c r="A77" s="1320"/>
      <c r="B77" s="1321" t="s">
        <v>745</v>
      </c>
      <c r="C77" s="650">
        <f>'Input data'!C31</f>
        <v>0.29028184578274857</v>
      </c>
      <c r="D77" s="651">
        <f>'Input data'!D31</f>
        <v>0.30317187715157518</v>
      </c>
      <c r="E77" s="651">
        <f>'Input data'!E31</f>
        <v>8.2805443243048754E-2</v>
      </c>
      <c r="F77" s="651">
        <f>'Input data'!F31</f>
        <v>0</v>
      </c>
      <c r="G77" s="651">
        <f>'Input data'!G31</f>
        <v>0</v>
      </c>
      <c r="H77" s="651">
        <f>'Input data'!H31</f>
        <v>0</v>
      </c>
      <c r="I77" s="651">
        <f>'Input data'!I31</f>
        <v>0.10674798164530724</v>
      </c>
      <c r="J77" s="651">
        <f>'Input data'!J31</f>
        <v>7.3566915963792778E-2</v>
      </c>
      <c r="K77" s="651">
        <f>'Input data'!K31</f>
        <v>7.4064190823870071E-2</v>
      </c>
      <c r="L77" s="651">
        <f>'Input data'!L31</f>
        <v>6.5108303152026786E-2</v>
      </c>
      <c r="M77" s="651">
        <f>'Input data'!M31</f>
        <v>4.2534422376305772E-3</v>
      </c>
      <c r="N77" s="652">
        <f>'Input data'!N31</f>
        <v>1</v>
      </c>
      <c r="O77" s="332"/>
      <c r="P77" s="332"/>
      <c r="Q77" s="7"/>
      <c r="R77" s="338"/>
      <c r="S77" s="338"/>
      <c r="T77" s="4"/>
      <c r="U77" s="4"/>
      <c r="Y77" s="745"/>
    </row>
    <row r="78" spans="1:28" ht="14.45" customHeight="1" thickBot="1">
      <c r="A78" s="1322" t="s">
        <v>549</v>
      </c>
      <c r="B78" s="1323" t="s">
        <v>327</v>
      </c>
      <c r="C78" s="1308" t="s">
        <v>545</v>
      </c>
      <c r="D78" s="1309" t="s">
        <v>546</v>
      </c>
      <c r="E78" s="1309" t="s">
        <v>547</v>
      </c>
      <c r="F78" s="1309" t="s">
        <v>548</v>
      </c>
      <c r="G78" s="1309" t="s">
        <v>498</v>
      </c>
      <c r="H78" s="1330" t="s">
        <v>544</v>
      </c>
      <c r="I78" s="1324"/>
      <c r="J78" s="1324"/>
      <c r="K78" s="1324"/>
      <c r="L78" s="1324"/>
      <c r="M78" s="1324"/>
      <c r="N78" s="1324"/>
      <c r="O78" s="339"/>
      <c r="P78" s="339"/>
      <c r="Q78" s="7"/>
      <c r="R78" s="338"/>
      <c r="S78" s="338"/>
      <c r="T78" s="4"/>
      <c r="U78" s="4"/>
      <c r="Y78" s="745"/>
    </row>
    <row r="79" spans="1:28" ht="15.75">
      <c r="A79" s="1315"/>
      <c r="B79" s="1325" t="s">
        <v>378</v>
      </c>
      <c r="C79" s="1314">
        <f>'Waste Summary 2017 SASOW'!J10+'Waste Summary 2017 SASOW'!J13</f>
        <v>49995051</v>
      </c>
      <c r="D79" s="1351">
        <f>'Waste Summary 2017 SASOW'!K10+'Waste Summary 2017 SASOW'!K13</f>
        <v>0</v>
      </c>
      <c r="E79" s="1351">
        <f>'Waste Summary 2017 SASOW'!L10+'Waste Summary 2017 SASOW'!L13</f>
        <v>46917968.670000002</v>
      </c>
      <c r="F79" s="1351">
        <f>'Waste Summary 2017 SASOW'!M10+'Waste Summary 2017 SASOW'!M13</f>
        <v>0</v>
      </c>
      <c r="G79" s="1351">
        <f>'Waste Summary 2017 SASOW'!N10+'Waste Summary 2017 SASOW'!N13</f>
        <v>0</v>
      </c>
      <c r="H79" s="1326">
        <f>'Waste Summary 2017 SASOW'!O10+'Waste Summary 2017 SASOW'!O13</f>
        <v>3077082.33</v>
      </c>
      <c r="L79" s="1324"/>
      <c r="M79" s="1324"/>
      <c r="N79" s="1324"/>
      <c r="O79" s="339"/>
      <c r="P79" s="339"/>
      <c r="Q79" s="7"/>
      <c r="R79" s="338"/>
      <c r="S79" s="338"/>
      <c r="T79" s="4"/>
      <c r="U79" s="4"/>
      <c r="Y79" s="745"/>
    </row>
    <row r="80" spans="1:28" ht="16.5" thickBot="1">
      <c r="A80" s="1320"/>
      <c r="B80" s="1320" t="s">
        <v>374</v>
      </c>
      <c r="C80" s="1327">
        <f t="shared" ref="C80:H80" si="8">C79/$C$79</f>
        <v>1</v>
      </c>
      <c r="D80" s="1328">
        <f t="shared" si="8"/>
        <v>0</v>
      </c>
      <c r="E80" s="1328">
        <f t="shared" si="8"/>
        <v>0.93845226140483384</v>
      </c>
      <c r="F80" s="1328">
        <f t="shared" si="8"/>
        <v>0</v>
      </c>
      <c r="G80" s="1328">
        <f t="shared" si="8"/>
        <v>0</v>
      </c>
      <c r="H80" s="1329">
        <f t="shared" si="8"/>
        <v>6.154773859516615E-2</v>
      </c>
      <c r="L80" s="1324"/>
      <c r="M80" s="1324"/>
      <c r="N80" s="1324"/>
      <c r="O80" s="339"/>
      <c r="P80" s="339"/>
      <c r="Q80" s="7"/>
      <c r="R80" s="338"/>
      <c r="S80" s="338"/>
      <c r="T80" s="4"/>
      <c r="U80" s="4"/>
      <c r="Y80" s="745"/>
    </row>
    <row r="81" spans="1:91" s="4" customFormat="1" ht="15.75">
      <c r="A81" s="99"/>
      <c r="B81" s="99"/>
      <c r="C81" s="1334"/>
      <c r="D81" s="1334"/>
      <c r="E81" s="1334"/>
      <c r="F81" s="1334"/>
      <c r="G81" s="1334"/>
      <c r="H81" s="1334"/>
      <c r="L81" s="1396"/>
      <c r="M81" s="1396"/>
      <c r="N81" s="1396"/>
      <c r="O81" s="1334"/>
      <c r="P81" s="1334"/>
      <c r="Q81" s="7"/>
      <c r="R81" s="1397"/>
      <c r="S81" s="1397"/>
      <c r="Y81" s="1398"/>
    </row>
    <row r="82" spans="1:91" ht="16.5" thickBot="1">
      <c r="B82" s="286"/>
      <c r="C82" s="339"/>
      <c r="D82" s="339"/>
      <c r="E82" s="339"/>
      <c r="F82" s="339"/>
      <c r="G82" s="339"/>
      <c r="H82" s="339"/>
      <c r="I82" s="286"/>
      <c r="J82" s="286"/>
      <c r="K82" s="286"/>
      <c r="L82" s="339"/>
      <c r="M82" s="339"/>
      <c r="N82" s="339"/>
      <c r="O82" s="339"/>
      <c r="P82" s="339"/>
      <c r="Q82" s="7"/>
      <c r="R82" s="338"/>
      <c r="S82" s="338"/>
      <c r="T82" s="4"/>
      <c r="U82" s="4"/>
      <c r="Y82" s="745"/>
    </row>
    <row r="83" spans="1:91" ht="15.75">
      <c r="A83" s="656" t="s">
        <v>613</v>
      </c>
      <c r="B83" s="115"/>
      <c r="C83" s="116"/>
      <c r="D83" s="128"/>
      <c r="E83" s="128"/>
      <c r="F83" s="128"/>
      <c r="G83" s="128"/>
      <c r="H83" s="339"/>
      <c r="I83" s="286"/>
      <c r="J83" s="286"/>
      <c r="K83" s="286"/>
      <c r="L83" s="339"/>
      <c r="M83" s="339"/>
      <c r="N83" s="339"/>
      <c r="O83" s="339"/>
      <c r="P83" s="339"/>
      <c r="Q83" s="7"/>
      <c r="R83" s="338"/>
      <c r="S83" s="338"/>
      <c r="T83" s="4"/>
      <c r="U83" s="4"/>
      <c r="Y83" s="745"/>
    </row>
    <row r="84" spans="1:91" ht="15.75">
      <c r="A84" s="657" t="s">
        <v>581</v>
      </c>
      <c r="B84" s="128">
        <v>2017</v>
      </c>
      <c r="C84" s="525">
        <f>'Waste Summary 2017 SASOW'!L25</f>
        <v>2.197312110627072E-2</v>
      </c>
      <c r="D84" s="629"/>
      <c r="E84" s="629"/>
      <c r="F84" s="629"/>
      <c r="G84" s="629"/>
      <c r="H84" s="630"/>
      <c r="I84" s="286"/>
      <c r="J84" s="286"/>
      <c r="K84" s="286"/>
      <c r="L84" s="339"/>
      <c r="M84" s="339"/>
      <c r="N84" s="339"/>
      <c r="O84" s="339"/>
      <c r="P84" s="339"/>
      <c r="Q84" s="7"/>
      <c r="R84" s="338"/>
      <c r="S84" s="338"/>
      <c r="T84" s="4"/>
      <c r="U84" s="4"/>
      <c r="Y84" s="745"/>
    </row>
    <row r="85" spans="1:91" ht="15.75">
      <c r="A85" s="657" t="s">
        <v>580</v>
      </c>
      <c r="B85" s="128">
        <v>2017</v>
      </c>
      <c r="C85" s="525">
        <f>'Waste Summary 2017 SASOW'!L26</f>
        <v>6.9875113374971584E-2</v>
      </c>
      <c r="D85" s="629"/>
      <c r="E85" s="629"/>
      <c r="F85" s="629"/>
      <c r="G85" s="629"/>
      <c r="H85" s="630"/>
      <c r="I85" s="286"/>
      <c r="J85" s="286"/>
      <c r="K85" s="286"/>
      <c r="L85" s="339"/>
      <c r="M85" s="339"/>
      <c r="N85" s="339"/>
      <c r="O85" s="339"/>
      <c r="P85" s="339"/>
      <c r="Q85" s="7"/>
      <c r="R85" s="338"/>
      <c r="S85" s="338"/>
      <c r="T85" s="4"/>
      <c r="U85" s="4"/>
      <c r="Y85" s="745"/>
    </row>
    <row r="86" spans="1:91" ht="16.5" thickBot="1">
      <c r="A86" s="658" t="s">
        <v>733</v>
      </c>
      <c r="B86" s="138">
        <v>2017</v>
      </c>
      <c r="C86" s="652">
        <f>'Waste Summary 2017 SASOW'!L27</f>
        <v>0.93012488662502824</v>
      </c>
      <c r="D86" s="629"/>
      <c r="E86" s="629"/>
      <c r="F86" s="629"/>
      <c r="G86" s="629"/>
      <c r="H86" s="630"/>
      <c r="I86" s="286"/>
      <c r="J86" s="286"/>
      <c r="K86" s="286"/>
      <c r="L86" s="339"/>
      <c r="M86" s="339"/>
      <c r="N86" s="339"/>
      <c r="O86" s="339"/>
      <c r="P86" s="339"/>
      <c r="Q86" s="7"/>
      <c r="R86" s="338"/>
      <c r="S86" s="338"/>
      <c r="T86" s="4"/>
      <c r="U86" s="4"/>
      <c r="Y86" s="745"/>
    </row>
    <row r="87" spans="1:91" ht="15.75">
      <c r="A87" s="128"/>
      <c r="B87" s="629"/>
      <c r="C87" s="629"/>
      <c r="D87" s="629"/>
      <c r="E87" s="629"/>
      <c r="F87" s="629"/>
      <c r="G87" s="629"/>
      <c r="H87" s="630"/>
      <c r="I87" s="286"/>
      <c r="J87" s="286"/>
      <c r="K87" s="286"/>
      <c r="L87" s="339"/>
      <c r="M87" s="339"/>
      <c r="N87" s="339"/>
      <c r="O87" s="339"/>
      <c r="P87" s="339"/>
      <c r="Q87" s="7"/>
      <c r="R87" s="338"/>
      <c r="S87" s="338"/>
      <c r="T87" s="4"/>
      <c r="U87" s="4"/>
      <c r="Y87" s="745"/>
    </row>
    <row r="88" spans="1:91" ht="28.5">
      <c r="A88" s="685" t="s">
        <v>618</v>
      </c>
      <c r="B88" s="629"/>
      <c r="C88" s="629"/>
      <c r="D88" s="629"/>
      <c r="E88" s="629"/>
      <c r="F88" s="629"/>
      <c r="G88" s="629"/>
      <c r="H88" s="630"/>
      <c r="I88" s="286"/>
      <c r="J88" s="286"/>
      <c r="K88" s="286"/>
      <c r="L88" s="339"/>
      <c r="M88" s="339"/>
      <c r="N88" s="339"/>
      <c r="O88" s="339"/>
      <c r="P88" s="339"/>
      <c r="Q88" s="7"/>
      <c r="R88" s="338"/>
      <c r="S88" s="338"/>
      <c r="T88" s="4"/>
      <c r="U88" s="4"/>
      <c r="Y88" s="745"/>
    </row>
    <row r="89" spans="1:91" ht="15.75">
      <c r="A89" s="128"/>
      <c r="B89" s="629"/>
      <c r="C89" s="629"/>
      <c r="D89" s="629"/>
      <c r="E89" s="629"/>
      <c r="F89" s="629"/>
      <c r="G89" s="629"/>
      <c r="H89" s="630"/>
      <c r="I89" s="286"/>
      <c r="J89" s="286"/>
      <c r="K89" s="286"/>
      <c r="L89" s="339"/>
      <c r="M89" s="339"/>
      <c r="N89" s="339"/>
      <c r="O89" s="339"/>
      <c r="P89" s="339"/>
      <c r="Q89" s="7"/>
      <c r="R89" s="338"/>
      <c r="S89" s="338"/>
      <c r="T89" s="4"/>
      <c r="U89" s="4"/>
      <c r="X89" s="623"/>
      <c r="Y89" s="745"/>
    </row>
    <row r="90" spans="1:91" ht="23.25">
      <c r="A90" s="686" t="s">
        <v>595</v>
      </c>
      <c r="B90" s="687"/>
      <c r="C90" s="629"/>
      <c r="D90" s="629"/>
      <c r="E90" s="629"/>
      <c r="F90" s="629"/>
      <c r="G90" s="629"/>
      <c r="H90" s="630"/>
      <c r="I90" s="286"/>
      <c r="J90" s="286"/>
      <c r="K90" s="286"/>
      <c r="L90" s="339"/>
      <c r="M90" s="339"/>
      <c r="N90" s="339"/>
      <c r="O90" s="339"/>
      <c r="P90" s="339"/>
      <c r="Q90" s="7"/>
      <c r="R90" s="338"/>
      <c r="S90" s="338"/>
      <c r="T90" s="4"/>
      <c r="U90" s="4"/>
      <c r="Y90" s="745"/>
      <c r="AB90" s="623"/>
      <c r="AF90" s="623"/>
    </row>
    <row r="91" spans="1:91">
      <c r="A91" s="128"/>
      <c r="B91" s="629"/>
      <c r="C91" s="629"/>
      <c r="D91" s="629"/>
      <c r="E91" s="629"/>
      <c r="F91" s="629"/>
      <c r="G91" s="629"/>
      <c r="H91" s="630"/>
      <c r="I91" s="286"/>
      <c r="J91" s="286"/>
      <c r="K91" s="286"/>
      <c r="L91" s="339"/>
      <c r="M91" s="339"/>
      <c r="N91" s="339"/>
      <c r="O91" s="339"/>
      <c r="P91" s="339"/>
      <c r="Q91" s="7"/>
      <c r="R91" s="338"/>
      <c r="S91" s="338"/>
      <c r="T91" s="4"/>
      <c r="U91" s="4"/>
    </row>
    <row r="92" spans="1:91">
      <c r="A92" s="128"/>
      <c r="B92" s="629"/>
      <c r="C92" s="629"/>
      <c r="D92" s="629"/>
      <c r="E92" s="629"/>
      <c r="F92" s="629"/>
      <c r="G92" s="629"/>
      <c r="H92" s="630"/>
      <c r="I92" s="286"/>
      <c r="J92" s="286"/>
      <c r="K92" s="286"/>
      <c r="L92" s="339"/>
      <c r="M92" s="339"/>
      <c r="N92" s="339"/>
      <c r="O92" s="339"/>
      <c r="P92" s="339"/>
      <c r="Q92" s="7"/>
      <c r="R92" s="338"/>
      <c r="S92" s="338"/>
      <c r="T92" s="4"/>
      <c r="U92" s="4"/>
      <c r="BI92" s="99"/>
      <c r="BJ92" s="99"/>
      <c r="BK92" s="99"/>
      <c r="BL92" s="99"/>
      <c r="BM92" s="99"/>
    </row>
    <row r="93" spans="1:91" ht="15.75" thickBot="1">
      <c r="E93" s="10"/>
      <c r="F93" s="10"/>
      <c r="G93" s="10"/>
      <c r="H93" s="10"/>
      <c r="I93" s="10"/>
      <c r="J93" s="10"/>
      <c r="K93" s="10"/>
      <c r="L93" s="10"/>
      <c r="M93" s="10"/>
      <c r="N93" s="10"/>
      <c r="O93" s="10"/>
      <c r="P93" s="10"/>
      <c r="Q93" s="10"/>
      <c r="R93" s="10"/>
      <c r="S93" s="10"/>
      <c r="V93" s="740"/>
      <c r="CG93" s="1" t="s">
        <v>552</v>
      </c>
    </row>
    <row r="94" spans="1:91" ht="34.9" customHeight="1" thickBot="1">
      <c r="A94" s="1874" t="s">
        <v>602</v>
      </c>
      <c r="B94" s="1875"/>
      <c r="C94" s="1875"/>
      <c r="D94" s="1876"/>
      <c r="E94" s="1871" t="s">
        <v>600</v>
      </c>
      <c r="F94" s="1872"/>
      <c r="G94" s="1873"/>
      <c r="H94" s="1917" t="s">
        <v>601</v>
      </c>
      <c r="I94" s="1918"/>
      <c r="J94" s="1918"/>
      <c r="K94" s="1919"/>
      <c r="L94" s="1825" t="s">
        <v>598</v>
      </c>
      <c r="M94" s="1920"/>
      <c r="N94" s="1920"/>
      <c r="O94" s="1920"/>
      <c r="P94" s="1921"/>
      <c r="Q94" s="1922" t="s">
        <v>782</v>
      </c>
      <c r="R94" s="1920"/>
      <c r="S94" s="1920"/>
      <c r="T94" s="1920"/>
      <c r="U94" s="1921"/>
      <c r="V94" s="1926" t="s">
        <v>599</v>
      </c>
      <c r="W94" s="1782" t="s">
        <v>608</v>
      </c>
      <c r="X94" s="1784"/>
      <c r="Y94" s="1884" t="s">
        <v>594</v>
      </c>
      <c r="Z94" s="1843" t="s">
        <v>770</v>
      </c>
      <c r="AA94" s="1928" t="s">
        <v>778</v>
      </c>
      <c r="AB94" s="1841" t="s">
        <v>780</v>
      </c>
      <c r="AC94" s="1839" t="s">
        <v>788</v>
      </c>
      <c r="AD94" s="1841" t="s">
        <v>780</v>
      </c>
      <c r="AE94" s="1841" t="s">
        <v>779</v>
      </c>
      <c r="AF94" s="1857" t="s">
        <v>781</v>
      </c>
      <c r="AG94" s="1849" t="s">
        <v>609</v>
      </c>
      <c r="AH94" s="1849"/>
      <c r="AI94" s="1849"/>
      <c r="AJ94" s="1849"/>
      <c r="AK94" s="1849"/>
      <c r="AL94" s="1849"/>
      <c r="AM94" s="1850"/>
      <c r="AN94" s="1850"/>
      <c r="AO94" s="1850"/>
      <c r="AP94" s="1850"/>
      <c r="AQ94" s="1850"/>
      <c r="AR94" s="1887" t="s">
        <v>612</v>
      </c>
      <c r="AS94" s="1888"/>
      <c r="AT94" s="1888"/>
      <c r="AU94" s="1888"/>
      <c r="AV94" s="1888"/>
      <c r="AW94" s="1888"/>
      <c r="AX94" s="1888"/>
      <c r="AY94" s="1888"/>
      <c r="AZ94" s="1888"/>
      <c r="BA94" s="1888"/>
      <c r="BB94" s="1888"/>
      <c r="BC94" s="1891" t="s">
        <v>225</v>
      </c>
      <c r="BD94" s="1904" t="s">
        <v>616</v>
      </c>
      <c r="BE94" s="1889" t="s">
        <v>610</v>
      </c>
      <c r="BF94" s="1889"/>
      <c r="BG94" s="1889"/>
      <c r="BH94" s="1889"/>
      <c r="BI94" s="1889"/>
      <c r="BJ94" s="1889"/>
      <c r="BK94" s="1889"/>
      <c r="BL94" s="1890"/>
      <c r="BM94" s="1707" t="s">
        <v>741</v>
      </c>
      <c r="BN94" s="1708"/>
      <c r="BO94" s="1708"/>
      <c r="BP94" s="1708"/>
      <c r="BQ94" s="1708"/>
      <c r="BR94" s="1708"/>
      <c r="BS94" s="1708"/>
      <c r="BT94" s="1709"/>
      <c r="BV94" s="1933" t="s">
        <v>646</v>
      </c>
      <c r="BW94" s="1934"/>
      <c r="BX94" s="1935"/>
      <c r="BY94" s="1933" t="s">
        <v>650</v>
      </c>
      <c r="BZ94" s="1934"/>
      <c r="CA94" s="1935"/>
      <c r="CB94" s="1931" t="s">
        <v>647</v>
      </c>
      <c r="CC94" s="1932"/>
      <c r="CD94" s="1909" t="s">
        <v>651</v>
      </c>
      <c r="CE94" s="1908"/>
      <c r="CG94" s="1899" t="s">
        <v>742</v>
      </c>
      <c r="CH94" s="1900"/>
      <c r="CI94" s="1900"/>
      <c r="CJ94" s="1900"/>
      <c r="CK94" s="1900"/>
      <c r="CL94" s="1900"/>
      <c r="CM94" s="1901"/>
    </row>
    <row r="95" spans="1:91" s="10" customFormat="1" ht="42.6" customHeight="1" thickBot="1">
      <c r="A95" s="1869" t="s">
        <v>217</v>
      </c>
      <c r="B95" s="703" t="s">
        <v>218</v>
      </c>
      <c r="C95" s="703" t="s">
        <v>390</v>
      </c>
      <c r="D95" s="513" t="s">
        <v>500</v>
      </c>
      <c r="E95" s="701" t="s">
        <v>501</v>
      </c>
      <c r="F95" s="699" t="s">
        <v>504</v>
      </c>
      <c r="G95" s="700" t="s">
        <v>528</v>
      </c>
      <c r="H95" s="746" t="s">
        <v>478</v>
      </c>
      <c r="I95" s="694" t="s">
        <v>288</v>
      </c>
      <c r="J95" s="693" t="s">
        <v>773</v>
      </c>
      <c r="K95" s="695" t="s">
        <v>596</v>
      </c>
      <c r="L95" s="678" t="s">
        <v>87</v>
      </c>
      <c r="M95" s="661" t="s">
        <v>323</v>
      </c>
      <c r="N95" s="661" t="s">
        <v>324</v>
      </c>
      <c r="O95" s="661" t="s">
        <v>325</v>
      </c>
      <c r="P95" s="660" t="s">
        <v>582</v>
      </c>
      <c r="Q95" s="503" t="s">
        <v>87</v>
      </c>
      <c r="R95" s="661" t="s">
        <v>323</v>
      </c>
      <c r="S95" s="661" t="s">
        <v>324</v>
      </c>
      <c r="T95" s="661" t="s">
        <v>325</v>
      </c>
      <c r="U95" s="1168" t="s">
        <v>582</v>
      </c>
      <c r="V95" s="1927"/>
      <c r="W95" s="1597" t="s">
        <v>605</v>
      </c>
      <c r="X95" s="1598" t="s">
        <v>576</v>
      </c>
      <c r="Y95" s="1885"/>
      <c r="Z95" s="1844"/>
      <c r="AA95" s="1929"/>
      <c r="AB95" s="1842"/>
      <c r="AC95" s="1840"/>
      <c r="AD95" s="1842"/>
      <c r="AE95" s="1842"/>
      <c r="AF95" s="1858"/>
      <c r="AG95" s="1581" t="s">
        <v>473</v>
      </c>
      <c r="AH95" s="1582" t="s">
        <v>489</v>
      </c>
      <c r="AI95" s="1638" t="s">
        <v>814</v>
      </c>
      <c r="AJ95" s="1582" t="s">
        <v>377</v>
      </c>
      <c r="AK95" s="1582" t="s">
        <v>225</v>
      </c>
      <c r="AL95" s="713" t="s">
        <v>591</v>
      </c>
      <c r="AM95" s="1581" t="s">
        <v>473</v>
      </c>
      <c r="AN95" s="1582" t="s">
        <v>489</v>
      </c>
      <c r="AO95" s="1638" t="s">
        <v>814</v>
      </c>
      <c r="AP95" s="1582" t="s">
        <v>377</v>
      </c>
      <c r="AQ95" s="1583" t="s">
        <v>225</v>
      </c>
      <c r="AR95" s="720" t="s">
        <v>221</v>
      </c>
      <c r="AS95" s="719" t="s">
        <v>85</v>
      </c>
      <c r="AT95" s="719" t="s">
        <v>87</v>
      </c>
      <c r="AU95" s="719" t="s">
        <v>222</v>
      </c>
      <c r="AV95" s="719" t="s">
        <v>115</v>
      </c>
      <c r="AW95" s="719" t="s">
        <v>223</v>
      </c>
      <c r="AX95" s="719" t="s">
        <v>472</v>
      </c>
      <c r="AY95" s="719" t="s">
        <v>329</v>
      </c>
      <c r="AZ95" s="719" t="s">
        <v>330</v>
      </c>
      <c r="BA95" s="719" t="s">
        <v>331</v>
      </c>
      <c r="BB95" s="719" t="s">
        <v>332</v>
      </c>
      <c r="BC95" s="1892"/>
      <c r="BD95" s="1905"/>
      <c r="BE95" s="1252" t="s">
        <v>221</v>
      </c>
      <c r="BF95" s="719" t="s">
        <v>85</v>
      </c>
      <c r="BG95" s="719" t="s">
        <v>87</v>
      </c>
      <c r="BH95" s="719" t="s">
        <v>222</v>
      </c>
      <c r="BI95" s="719" t="s">
        <v>115</v>
      </c>
      <c r="BJ95" s="719" t="s">
        <v>223</v>
      </c>
      <c r="BK95" s="719" t="s">
        <v>611</v>
      </c>
      <c r="BL95" s="1088" t="s">
        <v>303</v>
      </c>
      <c r="BM95" s="442" t="s">
        <v>221</v>
      </c>
      <c r="BN95" s="416" t="s">
        <v>85</v>
      </c>
      <c r="BO95" s="416" t="s">
        <v>87</v>
      </c>
      <c r="BP95" s="416" t="s">
        <v>222</v>
      </c>
      <c r="BQ95" s="416" t="s">
        <v>115</v>
      </c>
      <c r="BR95" s="416" t="s">
        <v>223</v>
      </c>
      <c r="BS95" s="416" t="s">
        <v>224</v>
      </c>
      <c r="BT95" s="1090" t="s">
        <v>225</v>
      </c>
      <c r="BU95"/>
      <c r="BV95" s="1098" t="s">
        <v>531</v>
      </c>
      <c r="BW95" s="40" t="s">
        <v>624</v>
      </c>
      <c r="BX95" s="1099" t="str">
        <f>D135</f>
        <v xml:space="preserve">Coal ash generated - ‘IRP realistic’ </v>
      </c>
      <c r="BY95" s="1098" t="s">
        <v>531</v>
      </c>
      <c r="BZ95" s="40" t="s">
        <v>624</v>
      </c>
      <c r="CA95" s="1099" t="s">
        <v>630</v>
      </c>
      <c r="CB95" s="1270" t="s">
        <v>267</v>
      </c>
      <c r="CC95" s="1271" t="s">
        <v>633</v>
      </c>
      <c r="CD95" s="1272" t="s">
        <v>267</v>
      </c>
      <c r="CE95" s="1273" t="s">
        <v>633</v>
      </c>
      <c r="CF95"/>
      <c r="CG95" s="1260" t="s">
        <v>87</v>
      </c>
      <c r="CH95" s="1261" t="s">
        <v>323</v>
      </c>
      <c r="CI95" s="1261" t="s">
        <v>324</v>
      </c>
      <c r="CJ95" s="1261" t="s">
        <v>325</v>
      </c>
      <c r="CK95" s="1262" t="s">
        <v>582</v>
      </c>
      <c r="CL95" s="1261" t="s">
        <v>303</v>
      </c>
      <c r="CM95" s="1902" t="s">
        <v>743</v>
      </c>
    </row>
    <row r="96" spans="1:91" ht="30.75" thickBot="1">
      <c r="A96" s="1870"/>
      <c r="B96" s="458" t="s">
        <v>232</v>
      </c>
      <c r="C96" s="459" t="s">
        <v>482</v>
      </c>
      <c r="D96" s="477" t="s">
        <v>480</v>
      </c>
      <c r="E96" s="741" t="s">
        <v>229</v>
      </c>
      <c r="F96" s="742" t="s">
        <v>229</v>
      </c>
      <c r="G96" s="743" t="s">
        <v>228</v>
      </c>
      <c r="H96" s="747" t="s">
        <v>227</v>
      </c>
      <c r="I96" s="696" t="s">
        <v>228</v>
      </c>
      <c r="J96" s="696" t="s">
        <v>228</v>
      </c>
      <c r="K96" s="697" t="s">
        <v>228</v>
      </c>
      <c r="L96" s="562" t="s">
        <v>229</v>
      </c>
      <c r="M96" s="446" t="s">
        <v>229</v>
      </c>
      <c r="N96" s="446" t="s">
        <v>229</v>
      </c>
      <c r="O96" s="446" t="s">
        <v>229</v>
      </c>
      <c r="P96" s="447" t="s">
        <v>229</v>
      </c>
      <c r="Q96" s="1470" t="s">
        <v>228</v>
      </c>
      <c r="R96" s="1471" t="s">
        <v>228</v>
      </c>
      <c r="S96" s="1471" t="s">
        <v>228</v>
      </c>
      <c r="T96" s="1471" t="s">
        <v>228</v>
      </c>
      <c r="U96" s="1472" t="s">
        <v>228</v>
      </c>
      <c r="V96" s="689" t="s">
        <v>228</v>
      </c>
      <c r="W96" s="688" t="s">
        <v>229</v>
      </c>
      <c r="X96" s="554" t="s">
        <v>228</v>
      </c>
      <c r="Y96" s="1115" t="s">
        <v>228</v>
      </c>
      <c r="Z96" s="1116" t="s">
        <v>228</v>
      </c>
      <c r="AA96" s="1473" t="s">
        <v>228</v>
      </c>
      <c r="AB96" s="1893"/>
      <c r="AC96" s="1840"/>
      <c r="AD96" s="1893"/>
      <c r="AE96" s="1646" t="s">
        <v>28</v>
      </c>
      <c r="AF96" s="1647" t="s">
        <v>3</v>
      </c>
      <c r="AG96" s="191" t="s">
        <v>228</v>
      </c>
      <c r="AH96" s="1095" t="s">
        <v>228</v>
      </c>
      <c r="AI96" s="1095" t="s">
        <v>228</v>
      </c>
      <c r="AJ96" s="1095" t="s">
        <v>228</v>
      </c>
      <c r="AK96" s="1095" t="s">
        <v>228</v>
      </c>
      <c r="AL96" s="1096" t="s">
        <v>590</v>
      </c>
      <c r="AM96" s="191" t="s">
        <v>229</v>
      </c>
      <c r="AN96" s="1095" t="s">
        <v>229</v>
      </c>
      <c r="AO96" s="1095" t="s">
        <v>229</v>
      </c>
      <c r="AP96" s="1095" t="s">
        <v>229</v>
      </c>
      <c r="AQ96" s="1574" t="s">
        <v>229</v>
      </c>
      <c r="AR96" s="722" t="s">
        <v>228</v>
      </c>
      <c r="AS96" s="723" t="s">
        <v>228</v>
      </c>
      <c r="AT96" s="723" t="s">
        <v>228</v>
      </c>
      <c r="AU96" s="723" t="s">
        <v>228</v>
      </c>
      <c r="AV96" s="723" t="s">
        <v>228</v>
      </c>
      <c r="AW96" s="723" t="s">
        <v>228</v>
      </c>
      <c r="AX96" s="723" t="s">
        <v>228</v>
      </c>
      <c r="AY96" s="723" t="s">
        <v>228</v>
      </c>
      <c r="AZ96" s="723" t="s">
        <v>228</v>
      </c>
      <c r="BA96" s="723" t="s">
        <v>228</v>
      </c>
      <c r="BB96" s="723" t="s">
        <v>228</v>
      </c>
      <c r="BC96" s="723" t="s">
        <v>228</v>
      </c>
      <c r="BD96" s="1906"/>
      <c r="BE96" s="1263" t="s">
        <v>229</v>
      </c>
      <c r="BF96" s="723" t="s">
        <v>229</v>
      </c>
      <c r="BG96" s="723" t="s">
        <v>229</v>
      </c>
      <c r="BH96" s="723" t="s">
        <v>229</v>
      </c>
      <c r="BI96" s="723" t="s">
        <v>229</v>
      </c>
      <c r="BJ96" s="723" t="s">
        <v>229</v>
      </c>
      <c r="BK96" s="723" t="s">
        <v>229</v>
      </c>
      <c r="BL96" s="1089" t="s">
        <v>229</v>
      </c>
      <c r="BM96" s="1264" t="s">
        <v>229</v>
      </c>
      <c r="BN96" s="1265" t="s">
        <v>229</v>
      </c>
      <c r="BO96" s="1265" t="s">
        <v>229</v>
      </c>
      <c r="BP96" s="1265" t="s">
        <v>229</v>
      </c>
      <c r="BQ96" s="1265" t="s">
        <v>229</v>
      </c>
      <c r="BR96" s="1265" t="s">
        <v>229</v>
      </c>
      <c r="BS96" s="1265" t="s">
        <v>229</v>
      </c>
      <c r="BT96" s="1266" t="s">
        <v>229</v>
      </c>
      <c r="BV96" s="1098" t="s">
        <v>625</v>
      </c>
      <c r="BW96" s="40" t="s">
        <v>229</v>
      </c>
      <c r="BX96" s="1099" t="s">
        <v>625</v>
      </c>
      <c r="BY96" s="1098" t="s">
        <v>625</v>
      </c>
      <c r="BZ96" s="40" t="s">
        <v>229</v>
      </c>
      <c r="CA96" s="1099" t="s">
        <v>625</v>
      </c>
      <c r="CB96" s="1575" t="s">
        <v>229</v>
      </c>
      <c r="CC96" s="1576" t="s">
        <v>229</v>
      </c>
      <c r="CD96" s="1478" t="s">
        <v>229</v>
      </c>
      <c r="CE96" s="1479" t="s">
        <v>229</v>
      </c>
      <c r="CG96" s="1274" t="s">
        <v>227</v>
      </c>
      <c r="CH96" s="1261" t="s">
        <v>227</v>
      </c>
      <c r="CI96" s="1261" t="s">
        <v>227</v>
      </c>
      <c r="CJ96" s="1261" t="s">
        <v>227</v>
      </c>
      <c r="CK96" s="1261" t="s">
        <v>227</v>
      </c>
      <c r="CL96" s="1261" t="s">
        <v>227</v>
      </c>
      <c r="CM96" s="1902"/>
    </row>
    <row r="97" spans="1:91">
      <c r="A97" s="127">
        <f>'Input data'!A117</f>
        <v>2017</v>
      </c>
      <c r="B97" s="662">
        <f>'Input data'!B117</f>
        <v>56.521948041648095</v>
      </c>
      <c r="C97" s="236">
        <f>'Input data'!C117</f>
        <v>3107.1496601967842</v>
      </c>
      <c r="D97" s="236">
        <f>'Input data'!D117</f>
        <v>49995051</v>
      </c>
      <c r="E97" s="708">
        <f>'Input data'!F117</f>
        <v>0.71479999999999999</v>
      </c>
      <c r="F97" s="647">
        <f>'Input data'!G117</f>
        <v>0.28959999999999997</v>
      </c>
      <c r="G97" s="1702">
        <f>'Input data'!H117</f>
        <v>501</v>
      </c>
      <c r="H97" s="529">
        <f>'Input data'!I117</f>
        <v>424.26313389388866</v>
      </c>
      <c r="I97" s="528">
        <f>'Input data'!K117</f>
        <v>23980.178809937162</v>
      </c>
      <c r="J97" s="957">
        <f>I97*B10</f>
        <v>11144.031481960794</v>
      </c>
      <c r="K97" s="1469">
        <f>I97*$B$10-J97</f>
        <v>0</v>
      </c>
      <c r="L97" s="417">
        <f>C17</f>
        <v>0.57999999999999996</v>
      </c>
      <c r="M97" s="417">
        <f>D17</f>
        <v>0.437</v>
      </c>
      <c r="N97" s="417">
        <f>E17</f>
        <v>0.71200000000000008</v>
      </c>
      <c r="O97" s="417">
        <f>F17</f>
        <v>0.8</v>
      </c>
      <c r="P97" s="114">
        <f>$G$17</f>
        <v>0.23600000000000002</v>
      </c>
      <c r="Q97" s="956">
        <f>H97*$E$75*L97*B97-H97*$E$75*$L$97*B97</f>
        <v>0</v>
      </c>
      <c r="R97" s="957">
        <f>H97*$J$75*M97*B97-H97*$J$75*$M$97*B97</f>
        <v>0</v>
      </c>
      <c r="S97" s="957">
        <f>H97*$K$75*N97*B97-H97*$K$75*$N$97*B97</f>
        <v>0</v>
      </c>
      <c r="T97" s="957">
        <f>H97*$L$75*O97*B97-H97*$L$75*$O$97*B97</f>
        <v>0</v>
      </c>
      <c r="U97" s="1469">
        <f>H97*$M$75*P97*B97-H97*$M$75*$P$97*B97</f>
        <v>0</v>
      </c>
      <c r="V97" s="528">
        <f t="shared" ref="V97:V130" si="9">SUM(Q97:U97)</f>
        <v>0</v>
      </c>
      <c r="W97" s="708">
        <v>0</v>
      </c>
      <c r="X97" s="1469">
        <f>W97*($C$76+$D$76)*$B$10*$I$97</f>
        <v>0</v>
      </c>
      <c r="Y97" s="957">
        <f>X97+V97</f>
        <v>0</v>
      </c>
      <c r="Z97" s="957">
        <f>$J$97-Y97</f>
        <v>11144.031481960794</v>
      </c>
      <c r="AA97" s="1469">
        <f>Z97-J97</f>
        <v>0</v>
      </c>
      <c r="AB97" s="1091">
        <f>AA97/Z97</f>
        <v>0</v>
      </c>
      <c r="AC97" s="1491" t="str">
        <f>IF(AND(AB97&gt;=0,AB97&lt;=1),"Yes","No")</f>
        <v>Yes</v>
      </c>
      <c r="AD97" s="1119">
        <f>IF(AB97&lt;=0,0,IF(AB97&gt;=1,1,AB97))</f>
        <v>0</v>
      </c>
      <c r="AE97" s="649">
        <f t="shared" ref="AE97:AE130" si="10">1-AK97/I97</f>
        <v>0</v>
      </c>
      <c r="AF97" s="530">
        <f t="shared" ref="AF97:AF130" si="11">AK97/B97</f>
        <v>424.26313389388866</v>
      </c>
      <c r="AG97" s="527">
        <f>J97</f>
        <v>11144.031481960794</v>
      </c>
      <c r="AH97" s="528">
        <f>V97+I97*$C$10*$G$10</f>
        <v>6573.3162308435367</v>
      </c>
      <c r="AI97" s="528">
        <f>($C$10*$H$10*$I$97+X97)</f>
        <v>3350.0000024684418</v>
      </c>
      <c r="AJ97" s="528">
        <f t="shared" ref="AJ97:AJ130" si="12">I97*$D$10*(1-AD97)</f>
        <v>2912.8310946643915</v>
      </c>
      <c r="AK97" s="528">
        <f>SUM(AG97:AJ97)</f>
        <v>23980.178809937162</v>
      </c>
      <c r="AL97" s="716">
        <f t="shared" ref="AL97:AL130" si="13">AG97-(I97*$B$10-Y97)*(1-AD97)</f>
        <v>0</v>
      </c>
      <c r="AM97" s="417">
        <f>AG97/AK97</f>
        <v>0.46471844811027058</v>
      </c>
      <c r="AN97" s="417">
        <f>AH97/AK97</f>
        <v>0.27411456282050806</v>
      </c>
      <c r="AO97" s="417">
        <f>AI97/AK97</f>
        <v>0.13969870821314448</v>
      </c>
      <c r="AP97" s="417">
        <f>AJ97/AK97</f>
        <v>0.12146828085607692</v>
      </c>
      <c r="AQ97" s="417">
        <f>SUM(AM97:AP97)</f>
        <v>1</v>
      </c>
      <c r="AR97" s="1475">
        <f t="shared" ref="AR97:AR130" si="14">(I97*$C$76*$B$10-$C$66/($D$66+$C$66)*X97)*(1-AD97)</f>
        <v>2674.7122279603836</v>
      </c>
      <c r="AS97" s="1375">
        <f t="shared" ref="AS97:AS130" si="15">(I97*$D$76*$B$10-$D$66/($D$66+$C$66)*X97)*(1-AD97)</f>
        <v>3392.2587126437579</v>
      </c>
      <c r="AT97" s="1375">
        <f t="shared" ref="AT97:AT130" si="16">(I97*$B$10*$E$76-(Q97))*(1-AD97)</f>
        <v>657.47825077636821</v>
      </c>
      <c r="AU97" s="1375">
        <f t="shared" ref="AU97:AU130" si="17">I97*$F$76*(1-AD97)*$B$10</f>
        <v>0</v>
      </c>
      <c r="AV97" s="1375">
        <f t="shared" ref="AV97:AV130" si="18">I97*$G$76*(1-AD97)*$B$10</f>
        <v>0</v>
      </c>
      <c r="AW97" s="1375">
        <f t="shared" ref="AW97:AW130" si="19">I97*$G$76*(1-AD97)*$B$10</f>
        <v>0</v>
      </c>
      <c r="AX97" s="1375">
        <f t="shared" ref="AX97:AX130" si="20">I97*$I$76*(1-AD97)*$AM$97</f>
        <v>2798.4495620620314</v>
      </c>
      <c r="AY97" s="1375">
        <f t="shared" ref="AY97:AY130" si="21">(I97*$J$76*$B$10-R97)*(1-AD97)</f>
        <v>404.59200209812275</v>
      </c>
      <c r="AZ97" s="1375">
        <f t="shared" ref="AZ97:AZ130" si="22">(I97*$K$76*$B$10-S97)*(1-AD97)</f>
        <v>588.07238655935896</v>
      </c>
      <c r="BA97" s="1375">
        <f t="shared" ref="BA97:BA130" si="23">(I97*$L$76*$B$10-T97)*(1-AD97)</f>
        <v>516.96231057860598</v>
      </c>
      <c r="BB97" s="1375">
        <f t="shared" ref="BB97:BB130" si="24">(I97*$M$76*$B$10-U97)*(1-AD97)</f>
        <v>111.50602928216298</v>
      </c>
      <c r="BC97" s="1469">
        <f>SUM(AR97:BB97)</f>
        <v>11144.031481960794</v>
      </c>
      <c r="BD97" s="1158">
        <f>BC97-AG97</f>
        <v>0</v>
      </c>
      <c r="BE97" s="436">
        <f>AR97/BC97</f>
        <v>0.24001298204245269</v>
      </c>
      <c r="BF97" s="624">
        <f>AS97/BC97</f>
        <v>0.30440139352934503</v>
      </c>
      <c r="BG97" s="624">
        <f>AT97/BC97</f>
        <v>5.8998240613430571E-2</v>
      </c>
      <c r="BH97" s="624">
        <f>AU97/BC97</f>
        <v>0</v>
      </c>
      <c r="BI97" s="624">
        <f>AV97/BC97</f>
        <v>0</v>
      </c>
      <c r="BJ97" s="624">
        <f>AW97/BC97</f>
        <v>0</v>
      </c>
      <c r="BK97" s="624">
        <f>SUM(AX97:BB97)/BC97</f>
        <v>0.39658738381477143</v>
      </c>
      <c r="BL97" s="624">
        <f>SUM(BE97:BK97)</f>
        <v>0.99999999999999978</v>
      </c>
      <c r="BM97" s="708">
        <f>'Input data'!V118</f>
        <v>0.29028184578274857</v>
      </c>
      <c r="BN97" s="647">
        <f>'Input data'!W118</f>
        <v>0.30317187715157518</v>
      </c>
      <c r="BO97" s="647">
        <f>'Input data'!X118</f>
        <v>8.2805443243048754E-2</v>
      </c>
      <c r="BP97" s="647">
        <f>'Input data'!Y118</f>
        <v>0</v>
      </c>
      <c r="BQ97" s="647">
        <f>'Input data'!Z118</f>
        <v>0</v>
      </c>
      <c r="BR97" s="647">
        <f>'Input data'!AA118</f>
        <v>0</v>
      </c>
      <c r="BS97" s="647">
        <f>'Input data'!AB118</f>
        <v>0.32374083382262742</v>
      </c>
      <c r="BT97" s="715">
        <f>SUM(BM97:BS97)</f>
        <v>0.99999999999999989</v>
      </c>
      <c r="BV97" s="956">
        <f>(AK97+AC137)*1000/10^6</f>
        <v>111.48215319455257</v>
      </c>
      <c r="BW97" s="647">
        <f>((AK97-AM97*AK97)+(AC137-AC137*AE137))/(AK97+AC137)</f>
        <v>0.28613022309776337</v>
      </c>
      <c r="BX97" s="1694">
        <f t="shared" ref="BX97:BX130" si="25">D137/10^6</f>
        <v>49.995050999999997</v>
      </c>
      <c r="BY97" s="956">
        <f>(AK97+AC177)*1000/10^6</f>
        <v>111.48215319455257</v>
      </c>
      <c r="BZ97" s="647">
        <f>((AK97-AM97*AK97)+(AC177-AC177*AE177))/(AK97+AC177)</f>
        <v>0.28613022309776337</v>
      </c>
      <c r="CA97" s="677">
        <f t="shared" ref="CA97:CA130" si="26">D177/10^6</f>
        <v>49.995050999999997</v>
      </c>
      <c r="CB97" s="708">
        <f t="shared" ref="CB97:CB130" si="27">AE97</f>
        <v>0</v>
      </c>
      <c r="CC97" s="715">
        <f>W177</f>
        <v>0</v>
      </c>
      <c r="CD97" s="647">
        <f t="shared" ref="CD97:CD130" si="28">AE97</f>
        <v>0</v>
      </c>
      <c r="CE97" s="715">
        <f>W177</f>
        <v>0</v>
      </c>
      <c r="CG97" s="956">
        <f>$I97*$E$75*$L97</f>
        <v>1241.0294809144502</v>
      </c>
      <c r="CH97" s="957">
        <f>$I97*$J$75*M97</f>
        <v>480.37399835396275</v>
      </c>
      <c r="CI97" s="957">
        <f>$I97*$K$75*N97</f>
        <v>1987.1941374642606</v>
      </c>
      <c r="CJ97" s="957">
        <f>$I97*$L$75*O97</f>
        <v>2826.4472020826624</v>
      </c>
      <c r="CK97" s="957">
        <f>$I97*$M$75*P97</f>
        <v>38.271412028200224</v>
      </c>
      <c r="CL97" s="957">
        <f>SUM(CG97:CK97)</f>
        <v>6573.3162308435358</v>
      </c>
      <c r="CM97" s="1130">
        <f>AH97-CL97</f>
        <v>0</v>
      </c>
    </row>
    <row r="98" spans="1:91">
      <c r="A98" s="127">
        <f>'Input data'!A118</f>
        <v>2018</v>
      </c>
      <c r="B98" s="662">
        <f>'Input data'!B118</f>
        <v>57.436000617299655</v>
      </c>
      <c r="C98" s="236">
        <f>'Input data'!C118</f>
        <v>3150.6223338999603</v>
      </c>
      <c r="D98" s="236">
        <f>'Input data'!D118</f>
        <v>50343843.445756853</v>
      </c>
      <c r="E98" s="649">
        <f>($E$110-$E$97)/($A$110-$A$97)+E97</f>
        <v>0.73673846153846156</v>
      </c>
      <c r="F98" s="417">
        <f>($F$110-$F$97)/($A$110-$A$97)+F97</f>
        <v>0.29557307692307688</v>
      </c>
      <c r="G98" s="530">
        <f>B98*F98*'Input data'!$C$9</f>
        <v>519.60235526187978</v>
      </c>
      <c r="H98" s="529">
        <f>'Input data'!I118</f>
        <v>424.26313389388866</v>
      </c>
      <c r="I98" s="528">
        <f>'Input data'!K118</f>
        <v>24367.977620226877</v>
      </c>
      <c r="J98" s="528">
        <f>J97*0.94</f>
        <v>10475.389593043146</v>
      </c>
      <c r="K98" s="530">
        <f>I98*$B$10-J98</f>
        <v>848.85915021449364</v>
      </c>
      <c r="L98" s="417">
        <f>($L$110-$L$97)/($A$110-$A$97)+L97</f>
        <v>0.58923076923076922</v>
      </c>
      <c r="M98" s="417">
        <f t="shared" ref="M98:M108" si="29">($M$110-$M$97)/($A$110-$A$97)+M97</f>
        <v>0.44953846153846155</v>
      </c>
      <c r="N98" s="417">
        <f>($N$110-$N$97)/($A$110-$A$97)+N97</f>
        <v>0.72646153846153849</v>
      </c>
      <c r="O98" s="417">
        <f>($O$110-$O$97)/($A$110-$A$97)+O97</f>
        <v>0.80769230769230771</v>
      </c>
      <c r="P98" s="417">
        <f t="shared" ref="P98:P109" si="30">($P$110-$P$97)/($A$110-$A$97)+P97</f>
        <v>0.23600000000000002</v>
      </c>
      <c r="Q98" s="527">
        <f t="shared" ref="Q98:Q130" si="31">H98*$E$75*L98*B98-H98*$E$75*$L$97*B98</f>
        <v>20.070540516702977</v>
      </c>
      <c r="R98" s="528">
        <f t="shared" ref="R98:R130" si="32">H98*$J$75*M98*B98-H98*$J$75*$M$97*B98</f>
        <v>14.00584697562465</v>
      </c>
      <c r="S98" s="528">
        <f t="shared" ref="S98:S130" si="33">H98*$K$75*N98*B98-H98*$K$75*$N$97*B98</f>
        <v>41.014920169807738</v>
      </c>
      <c r="T98" s="528">
        <f t="shared" ref="T98:T130" si="34">H98*$L$75*O98*B98-H98*$L$75*$O$97*B98</f>
        <v>27.616879689468988</v>
      </c>
      <c r="U98" s="530">
        <f t="shared" ref="U98:U130" si="35">H98*$M$75*P98*B98-H98*$M$75*$P$97*B98</f>
        <v>0</v>
      </c>
      <c r="V98" s="528">
        <f t="shared" si="9"/>
        <v>102.70818735160435</v>
      </c>
      <c r="W98" s="649">
        <v>0.05</v>
      </c>
      <c r="X98" s="530">
        <f t="shared" ref="X98:X130" si="36">W98*($C$76+$D$76)*$B$10*$I$97</f>
        <v>303.3485470302071</v>
      </c>
      <c r="Y98" s="528">
        <f>X98+V98</f>
        <v>406.05673438181145</v>
      </c>
      <c r="Z98" s="528">
        <f>I98*$B$10-Y98</f>
        <v>10918.192008875829</v>
      </c>
      <c r="AA98" s="530">
        <f>Z98-J98</f>
        <v>442.80241583268253</v>
      </c>
      <c r="AB98" s="1091">
        <f t="shared" ref="AB98:AB130" si="37">AA98/Z98</f>
        <v>4.0556386576890292E-2</v>
      </c>
      <c r="AC98" s="135" t="str">
        <f t="shared" ref="AC98:AC130" si="38">IF(AND(AB98&gt;=0,AB98&lt;=1),"Yes","No")</f>
        <v>Yes</v>
      </c>
      <c r="AD98" s="1091">
        <f t="shared" ref="AD98:AD130" si="39">IF(AB98&lt;=0,0,IF(AB98&gt;=1,1,AB98))</f>
        <v>4.0556386576890292E-2</v>
      </c>
      <c r="AE98" s="649">
        <f t="shared" si="10"/>
        <v>2.3097802675159818E-2</v>
      </c>
      <c r="AF98" s="530">
        <f t="shared" si="11"/>
        <v>414.46358774486276</v>
      </c>
      <c r="AG98" s="527">
        <f t="shared" ref="AG98:AG130" si="40">J98</f>
        <v>10475.389593043146</v>
      </c>
      <c r="AH98" s="528">
        <f>IF(V98+I98*$C$10*$G$10&lt;AH97,AH97,V98+I98*$C$10*$G$10)</f>
        <v>6782.3257195400192</v>
      </c>
      <c r="AI98" s="528">
        <f>IF(($C$10*$H$10*$I$98+X98)&lt;AI97,AI97,($C$10*$H$10*$I$98+X98))</f>
        <v>3707.5235423427162</v>
      </c>
      <c r="AJ98" s="528">
        <f t="shared" si="12"/>
        <v>2839.8920266362888</v>
      </c>
      <c r="AK98" s="528">
        <f t="shared" ref="AK98:AK130" si="41">SUM(AG98:AJ98)</f>
        <v>23805.130881562167</v>
      </c>
      <c r="AL98" s="716">
        <f t="shared" si="13"/>
        <v>0</v>
      </c>
      <c r="AM98" s="417">
        <f t="shared" ref="AM98:AM130" si="42">AG98/AK98</f>
        <v>0.44004755299021142</v>
      </c>
      <c r="AN98" s="417">
        <f t="shared" ref="AN98:AN130" si="43">AH98/AK98</f>
        <v>0.28491024700868783</v>
      </c>
      <c r="AO98" s="417">
        <f t="shared" ref="AO98:AO130" si="44">AI98/AK98</f>
        <v>0.15574472414324389</v>
      </c>
      <c r="AP98" s="417">
        <f t="shared" ref="AP98:AP130" si="45">AJ98/AK98</f>
        <v>0.11929747585785701</v>
      </c>
      <c r="AQ98" s="417">
        <f t="shared" ref="AQ98:AQ130" si="46">SUM(AM98:AP98)</f>
        <v>1.0000000000000002</v>
      </c>
      <c r="AR98" s="1086">
        <f t="shared" si="14"/>
        <v>2479.4240234122854</v>
      </c>
      <c r="AS98" s="938">
        <f t="shared" si="15"/>
        <v>3144.5804366671259</v>
      </c>
      <c r="AT98" s="938">
        <f t="shared" si="16"/>
        <v>621.75804226515436</v>
      </c>
      <c r="AU98" s="938">
        <f t="shared" si="17"/>
        <v>0</v>
      </c>
      <c r="AV98" s="938">
        <f t="shared" si="18"/>
        <v>0</v>
      </c>
      <c r="AW98" s="938">
        <f t="shared" si="19"/>
        <v>0</v>
      </c>
      <c r="AX98" s="938">
        <f t="shared" si="20"/>
        <v>2728.3746774062242</v>
      </c>
      <c r="AY98" s="938">
        <f t="shared" si="21"/>
        <v>381.02295105106646</v>
      </c>
      <c r="AZ98" s="938">
        <f t="shared" si="22"/>
        <v>533.9951919445117</v>
      </c>
      <c r="BA98" s="938">
        <f t="shared" si="23"/>
        <v>477.52042002913004</v>
      </c>
      <c r="BB98" s="938">
        <f t="shared" si="24"/>
        <v>108.71385026764568</v>
      </c>
      <c r="BC98" s="530">
        <f t="shared" ref="BC98:BC130" si="47">SUM(AR98:BB98)</f>
        <v>10475.389593043146</v>
      </c>
      <c r="BD98" s="724">
        <f t="shared" ref="BD98:BD130" si="48">BC98-AG98</f>
        <v>0</v>
      </c>
      <c r="BE98" s="436">
        <f t="shared" ref="BE98:BE130" si="49">AR98/BC98</f>
        <v>0.23669038763569289</v>
      </c>
      <c r="BF98" s="624">
        <f t="shared" ref="BF98:BF129" si="50">AS98/BC98</f>
        <v>0.30018744493813254</v>
      </c>
      <c r="BG98" s="624">
        <f t="shared" ref="BG98:BG130" si="51">AT98/BC98</f>
        <v>5.9354168810873881E-2</v>
      </c>
      <c r="BH98" s="624">
        <f t="shared" ref="BH98:BH130" si="52">AU98/BC98</f>
        <v>0</v>
      </c>
      <c r="BI98" s="624">
        <f t="shared" ref="BI98:BI130" si="53">AV98/BC98</f>
        <v>0</v>
      </c>
      <c r="BJ98" s="624">
        <f t="shared" ref="BJ98:BJ130" si="54">AW98/BC98</f>
        <v>0</v>
      </c>
      <c r="BK98" s="624">
        <f t="shared" ref="BK98:BK130" si="55">SUM(AX98:BB98)/BC98</f>
        <v>0.40376799861530049</v>
      </c>
      <c r="BL98" s="624">
        <f t="shared" ref="BL98:BL130" si="56">SUM(BE98:BK98)</f>
        <v>0.99999999999999978</v>
      </c>
      <c r="BM98" s="649">
        <f>BM97</f>
        <v>0.29028184578274857</v>
      </c>
      <c r="BN98" s="417">
        <f t="shared" ref="BN98:BS113" si="57">BN97</f>
        <v>0.30317187715157518</v>
      </c>
      <c r="BO98" s="417">
        <f t="shared" si="57"/>
        <v>8.2805443243048754E-2</v>
      </c>
      <c r="BP98" s="417">
        <f t="shared" si="57"/>
        <v>0</v>
      </c>
      <c r="BQ98" s="417">
        <f t="shared" si="57"/>
        <v>0</v>
      </c>
      <c r="BR98" s="417">
        <f t="shared" si="57"/>
        <v>0</v>
      </c>
      <c r="BS98" s="417">
        <f t="shared" si="57"/>
        <v>0.32374083382262742</v>
      </c>
      <c r="BT98" s="525">
        <f>SUM(BM98:BS98)</f>
        <v>0.99999999999999989</v>
      </c>
      <c r="BV98" s="527">
        <f t="shared" ref="BV98:BV130" si="58">(AK98+AC138)*1000/10^6</f>
        <v>108.83172470800969</v>
      </c>
      <c r="BW98" s="114">
        <f t="shared" ref="BW98:BW130" si="59">((AK98-AM98*AK98)+(AC138-AC138*AE138))/(AK98+AC138)</f>
        <v>0.31262032609967511</v>
      </c>
      <c r="BX98" s="1695">
        <f t="shared" si="25"/>
        <v>50.343843445756853</v>
      </c>
      <c r="BY98" s="527">
        <f t="shared" ref="BY98:BY130" si="60">(AK98+AC178)*1000/10^6</f>
        <v>108.83172470800969</v>
      </c>
      <c r="BZ98" s="417">
        <f t="shared" ref="BZ98:BZ130" si="61">((AK98-AM98*AK98)+(AC178-AC178*AE178))/(AK98+AC178)</f>
        <v>0.31262032609967511</v>
      </c>
      <c r="CA98" s="544">
        <f t="shared" si="26"/>
        <v>50.343843445756853</v>
      </c>
      <c r="CB98" s="649">
        <f t="shared" si="27"/>
        <v>2.3097802675159818E-2</v>
      </c>
      <c r="CC98" s="525">
        <f t="shared" ref="CC98:CC130" si="62">W178</f>
        <v>3.7894412822106371E-2</v>
      </c>
      <c r="CD98" s="417">
        <f t="shared" si="28"/>
        <v>2.3097802675159818E-2</v>
      </c>
      <c r="CE98" s="525">
        <f t="shared" ref="CE98:CE130" si="63">W178</f>
        <v>3.7894412822106371E-2</v>
      </c>
      <c r="CG98" s="527">
        <f t="shared" ref="CG98:CG130" si="64">$I98*$E$75*$L98</f>
        <v>1281.1695029828775</v>
      </c>
      <c r="CH98" s="528">
        <f t="shared" ref="CH98:CH130" si="65">$I98*$J$75*M98</f>
        <v>502.14828052484881</v>
      </c>
      <c r="CI98" s="528">
        <f t="shared" ref="CI98:CI130" si="66">$I98*$K$75*N98</f>
        <v>2060.3452451258809</v>
      </c>
      <c r="CJ98" s="528">
        <f t="shared" ref="CJ98:CJ130" si="67">$I98*$L$75*O98</f>
        <v>2899.772367394261</v>
      </c>
      <c r="CK98" s="528">
        <f t="shared" ref="CK98:CK130" si="68">$I98*$M$75*P98</f>
        <v>38.890323512150175</v>
      </c>
      <c r="CL98" s="528">
        <f t="shared" ref="CL98:CL130" si="69">SUM(CG98:CK98)</f>
        <v>6782.3257195400174</v>
      </c>
      <c r="CM98" s="646">
        <f t="shared" ref="CM98:CM130" si="70">AH98-CL98</f>
        <v>0</v>
      </c>
    </row>
    <row r="99" spans="1:91">
      <c r="A99" s="127">
        <f>'Input data'!A119</f>
        <v>2019</v>
      </c>
      <c r="B99" s="662">
        <f>'Input data'!B119</f>
        <v>58.364834921819444</v>
      </c>
      <c r="C99" s="236">
        <f>'Input data'!C119</f>
        <v>3168.3184457469288</v>
      </c>
      <c r="D99" s="236">
        <f>'Input data'!D119</f>
        <v>48412890.850439847</v>
      </c>
      <c r="E99" s="649">
        <f t="shared" ref="E99:E109" si="71">($E$110-$E$97)/($A$110-$A$97)+E98</f>
        <v>0.75867692307692314</v>
      </c>
      <c r="F99" s="417">
        <f t="shared" ref="F99:F109" si="72">($F$110-$F$97)/($A$110-$A$97)+F98</f>
        <v>0.3015461538461538</v>
      </c>
      <c r="G99" s="530">
        <f>B99*F99*'Input data'!$C$9</f>
        <v>538.67534920907258</v>
      </c>
      <c r="H99" s="529">
        <f>'Input data'!I119</f>
        <v>424.26313389388866</v>
      </c>
      <c r="I99" s="528">
        <f>'Input data'!K119</f>
        <v>24762.047773130591</v>
      </c>
      <c r="J99" s="528">
        <f>J97*0.89</f>
        <v>9918.1880189451058</v>
      </c>
      <c r="K99" s="530">
        <f t="shared" ref="K99:K130" si="73">I99*$B$10-J99</f>
        <v>1589.1923942165249</v>
      </c>
      <c r="L99" s="417">
        <f t="shared" ref="L99:L109" si="74">($L$110-$L$97)/($A$110-$A$97)+L98</f>
        <v>0.59846153846153849</v>
      </c>
      <c r="M99" s="417">
        <f t="shared" si="29"/>
        <v>0.46207692307692311</v>
      </c>
      <c r="N99" s="417">
        <f t="shared" ref="N99:N109" si="75">($N$110-$N$97)/($A$110-$A$97)+N98</f>
        <v>0.74092307692307691</v>
      </c>
      <c r="O99" s="417">
        <f t="shared" ref="O99:O109" si="76">($O$110-$O$97)/($A$110-$A$97)+O98</f>
        <v>0.81538461538461537</v>
      </c>
      <c r="P99" s="417">
        <f t="shared" si="30"/>
        <v>0.23600000000000002</v>
      </c>
      <c r="Q99" s="527">
        <f t="shared" si="31"/>
        <v>40.79022813076017</v>
      </c>
      <c r="R99" s="528">
        <f t="shared" si="32"/>
        <v>28.464688971619694</v>
      </c>
      <c r="S99" s="528">
        <f t="shared" si="33"/>
        <v>83.356397357562855</v>
      </c>
      <c r="T99" s="528">
        <f t="shared" si="34"/>
        <v>56.126979831743938</v>
      </c>
      <c r="U99" s="530">
        <f t="shared" si="35"/>
        <v>0</v>
      </c>
      <c r="V99" s="528">
        <f t="shared" si="9"/>
        <v>208.73829429168666</v>
      </c>
      <c r="W99" s="649">
        <v>0.1</v>
      </c>
      <c r="X99" s="530">
        <f t="shared" si="36"/>
        <v>606.6970940604142</v>
      </c>
      <c r="Y99" s="528">
        <f t="shared" ref="Y99:Y130" si="77">X99+V99</f>
        <v>815.43538835210086</v>
      </c>
      <c r="Z99" s="528">
        <f t="shared" ref="Z99:Z130" si="78">I99*$B$10-Y99</f>
        <v>10691.945024809529</v>
      </c>
      <c r="AA99" s="530">
        <f t="shared" ref="AA99:AA130" si="79">Z99-J99</f>
        <v>773.75700586442326</v>
      </c>
      <c r="AB99" s="1091">
        <f t="shared" si="37"/>
        <v>7.2368217762904863E-2</v>
      </c>
      <c r="AC99" s="135" t="str">
        <f t="shared" si="38"/>
        <v>Yes</v>
      </c>
      <c r="AD99" s="1091">
        <f t="shared" si="39"/>
        <v>7.2368217762904863E-2</v>
      </c>
      <c r="AE99" s="649">
        <f t="shared" si="10"/>
        <v>4.2261345922522509E-2</v>
      </c>
      <c r="AF99" s="530">
        <f t="shared" si="11"/>
        <v>406.33320283022556</v>
      </c>
      <c r="AG99" s="527">
        <f t="shared" si="40"/>
        <v>9918.1880189451058</v>
      </c>
      <c r="AH99" s="528">
        <f t="shared" ref="AH99:AH130" si="80">IF(V99+I99*$C$10*$G$10&lt;AH98,AH98,V99+I99*$C$10*$G$10)</f>
        <v>6996.3761941639132</v>
      </c>
      <c r="AI99" s="528">
        <f t="shared" ref="AI99:AI130" si="81">IF(($C$10*$H$10*$I$98+X99)&lt;AI98,AI98,($C$10*$H$10*$I$98+X99))</f>
        <v>4010.8720893729233</v>
      </c>
      <c r="AJ99" s="528">
        <f t="shared" si="12"/>
        <v>2790.1340039583492</v>
      </c>
      <c r="AK99" s="528">
        <f t="shared" si="41"/>
        <v>23715.570306440291</v>
      </c>
      <c r="AL99" s="716">
        <f t="shared" si="13"/>
        <v>0</v>
      </c>
      <c r="AM99" s="417">
        <f t="shared" si="42"/>
        <v>0.41821418969847352</v>
      </c>
      <c r="AN99" s="417">
        <f t="shared" si="43"/>
        <v>0.29501193113892565</v>
      </c>
      <c r="AO99" s="417">
        <f t="shared" si="44"/>
        <v>0.16912399902454445</v>
      </c>
      <c r="AP99" s="417">
        <f t="shared" si="45"/>
        <v>0.11764988013805638</v>
      </c>
      <c r="AQ99" s="417">
        <f t="shared" si="46"/>
        <v>1</v>
      </c>
      <c r="AR99" s="1086">
        <f t="shared" si="14"/>
        <v>2313.9306035340765</v>
      </c>
      <c r="AS99" s="938">
        <f t="shared" si="15"/>
        <v>2934.6900082320794</v>
      </c>
      <c r="AT99" s="938">
        <f t="shared" si="16"/>
        <v>591.94500350350825</v>
      </c>
      <c r="AU99" s="938">
        <f t="shared" si="17"/>
        <v>0</v>
      </c>
      <c r="AV99" s="938">
        <f t="shared" si="18"/>
        <v>0</v>
      </c>
      <c r="AW99" s="938">
        <f t="shared" si="19"/>
        <v>0</v>
      </c>
      <c r="AX99" s="938">
        <f t="shared" si="20"/>
        <v>2680.5705609824404</v>
      </c>
      <c r="AY99" s="938">
        <f t="shared" si="21"/>
        <v>361.14463601855459</v>
      </c>
      <c r="AZ99" s="938">
        <f t="shared" si="22"/>
        <v>485.9769888542948</v>
      </c>
      <c r="BA99" s="938">
        <f t="shared" si="23"/>
        <v>443.12115343037897</v>
      </c>
      <c r="BB99" s="938">
        <f t="shared" si="24"/>
        <v>106.80906438977173</v>
      </c>
      <c r="BC99" s="530">
        <f t="shared" si="47"/>
        <v>9918.188018945104</v>
      </c>
      <c r="BD99" s="724">
        <f t="shared" si="48"/>
        <v>0</v>
      </c>
      <c r="BE99" s="436">
        <f t="shared" si="49"/>
        <v>0.23330174817357269</v>
      </c>
      <c r="BF99" s="624">
        <f t="shared" si="50"/>
        <v>0.29588973334911756</v>
      </c>
      <c r="BG99" s="624">
        <f t="shared" si="51"/>
        <v>5.9682776972246526E-2</v>
      </c>
      <c r="BH99" s="624">
        <f t="shared" si="52"/>
        <v>0</v>
      </c>
      <c r="BI99" s="624">
        <f t="shared" si="53"/>
        <v>0</v>
      </c>
      <c r="BJ99" s="624">
        <f t="shared" si="54"/>
        <v>0</v>
      </c>
      <c r="BK99" s="624">
        <f t="shared" si="55"/>
        <v>0.41112574150506326</v>
      </c>
      <c r="BL99" s="624">
        <f t="shared" si="56"/>
        <v>1</v>
      </c>
      <c r="BM99" s="649">
        <f t="shared" ref="BM99:BS114" si="82">BM98</f>
        <v>0.29028184578274857</v>
      </c>
      <c r="BN99" s="417">
        <f t="shared" si="57"/>
        <v>0.30317187715157518</v>
      </c>
      <c r="BO99" s="417">
        <f t="shared" si="57"/>
        <v>8.2805443243048754E-2</v>
      </c>
      <c r="BP99" s="417">
        <f t="shared" si="57"/>
        <v>0</v>
      </c>
      <c r="BQ99" s="417">
        <f t="shared" si="57"/>
        <v>0</v>
      </c>
      <c r="BR99" s="417">
        <f t="shared" si="57"/>
        <v>0</v>
      </c>
      <c r="BS99" s="417">
        <f t="shared" si="57"/>
        <v>0.32374083382262742</v>
      </c>
      <c r="BT99" s="525">
        <f t="shared" ref="BT99:BT130" si="83">SUM(BM99:BS99)</f>
        <v>0.99999999999999989</v>
      </c>
      <c r="BV99" s="527">
        <f t="shared" si="58"/>
        <v>106.57771234372578</v>
      </c>
      <c r="BW99" s="114">
        <f t="shared" si="59"/>
        <v>0.33541894556819557</v>
      </c>
      <c r="BX99" s="1695">
        <f t="shared" si="25"/>
        <v>48.412890850439844</v>
      </c>
      <c r="BY99" s="527">
        <f t="shared" si="60"/>
        <v>106.57771234372578</v>
      </c>
      <c r="BZ99" s="417">
        <f t="shared" si="61"/>
        <v>0.33541894556819557</v>
      </c>
      <c r="CA99" s="544">
        <f t="shared" si="26"/>
        <v>48.412890850439844</v>
      </c>
      <c r="CB99" s="649">
        <f t="shared" si="27"/>
        <v>4.2261345922522509E-2</v>
      </c>
      <c r="CC99" s="525">
        <f t="shared" si="62"/>
        <v>4.3804869635095334E-2</v>
      </c>
      <c r="CD99" s="417">
        <f t="shared" si="28"/>
        <v>4.2261345922522509E-2</v>
      </c>
      <c r="CE99" s="525">
        <f t="shared" si="63"/>
        <v>4.3804869635095334E-2</v>
      </c>
      <c r="CG99" s="527">
        <f t="shared" si="64"/>
        <v>1322.2832285721358</v>
      </c>
      <c r="CH99" s="528">
        <f t="shared" si="65"/>
        <v>524.50118605067348</v>
      </c>
      <c r="CI99" s="528">
        <f t="shared" si="66"/>
        <v>2135.3426046490672</v>
      </c>
      <c r="CJ99" s="528">
        <f t="shared" si="67"/>
        <v>2974.7299310824474</v>
      </c>
      <c r="CK99" s="528">
        <f t="shared" si="68"/>
        <v>39.519243809589504</v>
      </c>
      <c r="CL99" s="528">
        <f t="shared" si="69"/>
        <v>6996.3761941639132</v>
      </c>
      <c r="CM99" s="646">
        <f t="shared" si="70"/>
        <v>0</v>
      </c>
    </row>
    <row r="100" spans="1:91">
      <c r="A100" s="127">
        <f>'Input data'!A120</f>
        <v>2020</v>
      </c>
      <c r="B100" s="662">
        <f>'Input data'!B120</f>
        <v>59.308690000000006</v>
      </c>
      <c r="C100" s="236">
        <f>'Input data'!C120</f>
        <v>2944.9182124750064</v>
      </c>
      <c r="D100" s="236">
        <f>'Input data'!D120</f>
        <v>45517474.780710384</v>
      </c>
      <c r="E100" s="649">
        <f t="shared" si="71"/>
        <v>0.78061538461538471</v>
      </c>
      <c r="F100" s="417">
        <f t="shared" si="72"/>
        <v>0.30751923076923071</v>
      </c>
      <c r="G100" s="530">
        <f>B100*F100*'Input data'!$C$9</f>
        <v>558.22933891619243</v>
      </c>
      <c r="H100" s="529">
        <f>'Input data'!I120</f>
        <v>424.26313389388866</v>
      </c>
      <c r="I100" s="528">
        <f>'Input data'!K120</f>
        <v>25162.490686541139</v>
      </c>
      <c r="J100" s="528">
        <f>J97*0.81</f>
        <v>9026.6655003882443</v>
      </c>
      <c r="K100" s="530">
        <f t="shared" si="73"/>
        <v>2666.8081220502918</v>
      </c>
      <c r="L100" s="417">
        <f t="shared" si="74"/>
        <v>0.60769230769230775</v>
      </c>
      <c r="M100" s="417">
        <f t="shared" si="29"/>
        <v>0.47461538461538466</v>
      </c>
      <c r="N100" s="417">
        <f t="shared" si="75"/>
        <v>0.75538461538461532</v>
      </c>
      <c r="O100" s="417">
        <f t="shared" si="76"/>
        <v>0.82307692307692304</v>
      </c>
      <c r="P100" s="417">
        <f t="shared" si="30"/>
        <v>0.23600000000000002</v>
      </c>
      <c r="Q100" s="527">
        <f t="shared" si="31"/>
        <v>62.174809501571872</v>
      </c>
      <c r="R100" s="528">
        <f t="shared" si="32"/>
        <v>43.387514496329516</v>
      </c>
      <c r="S100" s="528">
        <f t="shared" si="33"/>
        <v>127.05661046635623</v>
      </c>
      <c r="T100" s="528">
        <f t="shared" si="34"/>
        <v>85.551967685751606</v>
      </c>
      <c r="U100" s="530">
        <f t="shared" si="35"/>
        <v>0</v>
      </c>
      <c r="V100" s="528">
        <f t="shared" si="9"/>
        <v>318.17090215000923</v>
      </c>
      <c r="W100" s="649">
        <f>($N$142-$N$137)/($A$102-$A$97)+W99</f>
        <v>0.2</v>
      </c>
      <c r="X100" s="530">
        <f t="shared" si="36"/>
        <v>1213.3941881208284</v>
      </c>
      <c r="Y100" s="528">
        <f t="shared" si="77"/>
        <v>1531.5650902708376</v>
      </c>
      <c r="Z100" s="528">
        <f t="shared" si="78"/>
        <v>10161.908532167698</v>
      </c>
      <c r="AA100" s="530">
        <f t="shared" si="79"/>
        <v>1135.2430317794533</v>
      </c>
      <c r="AB100" s="1091">
        <f t="shared" si="37"/>
        <v>0.11171553337503697</v>
      </c>
      <c r="AC100" s="135" t="str">
        <f t="shared" si="38"/>
        <v>Yes</v>
      </c>
      <c r="AD100" s="1091">
        <f t="shared" si="39"/>
        <v>0.11171553337503697</v>
      </c>
      <c r="AE100" s="649">
        <f t="shared" si="10"/>
        <v>6.3097402659273327E-2</v>
      </c>
      <c r="AF100" s="530">
        <f t="shared" si="11"/>
        <v>397.49323210110077</v>
      </c>
      <c r="AG100" s="527">
        <f t="shared" si="40"/>
        <v>9026.6655003882443</v>
      </c>
      <c r="AH100" s="528">
        <f t="shared" si="80"/>
        <v>7215.5760361663397</v>
      </c>
      <c r="AI100" s="528">
        <f t="shared" si="81"/>
        <v>4617.5691834333375</v>
      </c>
      <c r="AJ100" s="528">
        <f t="shared" si="12"/>
        <v>2714.9921597943135</v>
      </c>
      <c r="AK100" s="528">
        <f t="shared" si="41"/>
        <v>23574.802879782237</v>
      </c>
      <c r="AL100" s="716">
        <f t="shared" si="13"/>
        <v>0</v>
      </c>
      <c r="AM100" s="417">
        <f t="shared" si="42"/>
        <v>0.38289463315638228</v>
      </c>
      <c r="AN100" s="417">
        <f t="shared" si="43"/>
        <v>0.30607153209134236</v>
      </c>
      <c r="AO100" s="417">
        <f t="shared" si="44"/>
        <v>0.19586883534001326</v>
      </c>
      <c r="AP100" s="417">
        <f t="shared" si="45"/>
        <v>0.11516499941226198</v>
      </c>
      <c r="AQ100" s="417">
        <f t="shared" si="46"/>
        <v>0.99999999999999989</v>
      </c>
      <c r="AR100" s="1086">
        <f t="shared" si="14"/>
        <v>2017.8652163457427</v>
      </c>
      <c r="AS100" s="938">
        <f t="shared" si="15"/>
        <v>2559.1990007498525</v>
      </c>
      <c r="AT100" s="938">
        <f t="shared" si="16"/>
        <v>557.59353532799946</v>
      </c>
      <c r="AU100" s="938">
        <f t="shared" si="17"/>
        <v>0</v>
      </c>
      <c r="AV100" s="938">
        <f t="shared" si="18"/>
        <v>0</v>
      </c>
      <c r="AW100" s="938">
        <f t="shared" si="19"/>
        <v>0</v>
      </c>
      <c r="AX100" s="938">
        <f t="shared" si="20"/>
        <v>2608.3793991678872</v>
      </c>
      <c r="AY100" s="938">
        <f t="shared" si="21"/>
        <v>338.57173496576468</v>
      </c>
      <c r="AZ100" s="938">
        <f t="shared" si="22"/>
        <v>435.26820826636424</v>
      </c>
      <c r="BA100" s="938">
        <f t="shared" si="23"/>
        <v>405.8558446188876</v>
      </c>
      <c r="BB100" s="938">
        <f t="shared" si="24"/>
        <v>103.93256094574485</v>
      </c>
      <c r="BC100" s="530">
        <f t="shared" si="47"/>
        <v>9026.6655003882424</v>
      </c>
      <c r="BD100" s="724">
        <f t="shared" si="48"/>
        <v>0</v>
      </c>
      <c r="BE100" s="436">
        <f t="shared" si="49"/>
        <v>0.22354491991078579</v>
      </c>
      <c r="BF100" s="624">
        <f t="shared" si="50"/>
        <v>0.28351543553262054</v>
      </c>
      <c r="BG100" s="624">
        <f t="shared" si="51"/>
        <v>6.1771817655591317E-2</v>
      </c>
      <c r="BH100" s="624">
        <f t="shared" si="52"/>
        <v>0</v>
      </c>
      <c r="BI100" s="624">
        <f t="shared" si="53"/>
        <v>0</v>
      </c>
      <c r="BJ100" s="624">
        <f t="shared" si="54"/>
        <v>0</v>
      </c>
      <c r="BK100" s="624">
        <f t="shared" si="55"/>
        <v>0.43116782690100253</v>
      </c>
      <c r="BL100" s="624">
        <f t="shared" si="56"/>
        <v>1.0000000000000002</v>
      </c>
      <c r="BM100" s="649">
        <f t="shared" si="82"/>
        <v>0.29028184578274857</v>
      </c>
      <c r="BN100" s="417">
        <f t="shared" si="57"/>
        <v>0.30317187715157518</v>
      </c>
      <c r="BO100" s="417">
        <f t="shared" si="57"/>
        <v>8.2805443243048754E-2</v>
      </c>
      <c r="BP100" s="417">
        <f t="shared" si="57"/>
        <v>0</v>
      </c>
      <c r="BQ100" s="417">
        <f t="shared" si="57"/>
        <v>0</v>
      </c>
      <c r="BR100" s="417">
        <f t="shared" si="57"/>
        <v>0</v>
      </c>
      <c r="BS100" s="417">
        <f t="shared" si="57"/>
        <v>0.32374083382262742</v>
      </c>
      <c r="BT100" s="525">
        <f t="shared" si="83"/>
        <v>0.99999999999999989</v>
      </c>
      <c r="BV100" s="527">
        <f t="shared" si="58"/>
        <v>100.8189050917279</v>
      </c>
      <c r="BW100" s="114">
        <f t="shared" si="59"/>
        <v>0.36060772329052165</v>
      </c>
      <c r="BX100" s="1695">
        <f t="shared" si="25"/>
        <v>45.517474780710387</v>
      </c>
      <c r="BY100" s="527">
        <f t="shared" si="60"/>
        <v>100.8189050917279</v>
      </c>
      <c r="BZ100" s="417">
        <f t="shared" si="61"/>
        <v>0.36060772329052165</v>
      </c>
      <c r="CA100" s="544">
        <f t="shared" si="26"/>
        <v>45.517474780710387</v>
      </c>
      <c r="CB100" s="649">
        <f t="shared" si="27"/>
        <v>6.3097402659273327E-2</v>
      </c>
      <c r="CC100" s="525">
        <f t="shared" si="62"/>
        <v>4.7146392566751349E-2</v>
      </c>
      <c r="CD100" s="417">
        <f t="shared" si="28"/>
        <v>6.3097402659273327E-2</v>
      </c>
      <c r="CE100" s="525">
        <f t="shared" si="63"/>
        <v>4.7146392566751349E-2</v>
      </c>
      <c r="CG100" s="527">
        <f t="shared" si="64"/>
        <v>1364.3916529511498</v>
      </c>
      <c r="CH100" s="528">
        <f t="shared" si="65"/>
        <v>547.44573505593632</v>
      </c>
      <c r="CI100" s="528">
        <f t="shared" si="66"/>
        <v>2212.2267992546454</v>
      </c>
      <c r="CJ100" s="528">
        <f t="shared" si="67"/>
        <v>3051.3535141251637</v>
      </c>
      <c r="CK100" s="528">
        <f t="shared" si="68"/>
        <v>40.158334779443209</v>
      </c>
      <c r="CL100" s="528">
        <f t="shared" si="69"/>
        <v>7215.5760361663388</v>
      </c>
      <c r="CM100" s="646">
        <f t="shared" si="70"/>
        <v>0</v>
      </c>
    </row>
    <row r="101" spans="1:91">
      <c r="A101" s="873">
        <f>'Input data'!A121</f>
        <v>2021</v>
      </c>
      <c r="B101" s="1553">
        <f>'Input data'!B121</f>
        <v>59.991580449204264</v>
      </c>
      <c r="C101" s="1552">
        <f>'Input data'!C121</f>
        <v>3018.4380966643439</v>
      </c>
      <c r="D101" s="1552">
        <f>'Input data'!D121</f>
        <v>45871162.972715415</v>
      </c>
      <c r="E101" s="1456">
        <f t="shared" si="71"/>
        <v>0.80255384615384628</v>
      </c>
      <c r="F101" s="1506">
        <f t="shared" si="72"/>
        <v>0.31349230769230763</v>
      </c>
      <c r="G101" s="1513">
        <f>B101*F101*'Input data'!$C$9</f>
        <v>575.62445854598354</v>
      </c>
      <c r="H101" s="1544">
        <f>'Input data'!I121</f>
        <v>424.26313389388866</v>
      </c>
      <c r="I101" s="1511">
        <f>'Input data'!K121</f>
        <v>25452.215928626742</v>
      </c>
      <c r="J101" s="1511">
        <f>J97*0.65</f>
        <v>7243.6204632745166</v>
      </c>
      <c r="K101" s="1513">
        <f t="shared" si="73"/>
        <v>4584.4938240444126</v>
      </c>
      <c r="L101" s="1506">
        <f t="shared" si="74"/>
        <v>0.61692307692307702</v>
      </c>
      <c r="M101" s="1506">
        <f t="shared" si="29"/>
        <v>0.48715384615384622</v>
      </c>
      <c r="N101" s="1506">
        <f t="shared" si="75"/>
        <v>0.76984615384615374</v>
      </c>
      <c r="O101" s="1506">
        <f t="shared" si="76"/>
        <v>0.8307692307692307</v>
      </c>
      <c r="P101" s="1506">
        <f t="shared" si="30"/>
        <v>0.23600000000000002</v>
      </c>
      <c r="Q101" s="1510">
        <f t="shared" si="31"/>
        <v>83.854267924368514</v>
      </c>
      <c r="R101" s="1511">
        <f t="shared" si="32"/>
        <v>58.51611439285017</v>
      </c>
      <c r="S101" s="1511">
        <f t="shared" si="33"/>
        <v>171.35941615291358</v>
      </c>
      <c r="T101" s="1511">
        <f t="shared" si="34"/>
        <v>115.38270365905373</v>
      </c>
      <c r="U101" s="1513">
        <f t="shared" si="35"/>
        <v>0</v>
      </c>
      <c r="V101" s="1511">
        <f t="shared" si="9"/>
        <v>429.112502129186</v>
      </c>
      <c r="W101" s="1456">
        <v>0.4</v>
      </c>
      <c r="X101" s="530">
        <f t="shared" si="36"/>
        <v>2426.7883762416568</v>
      </c>
      <c r="Y101" s="528">
        <f t="shared" si="77"/>
        <v>2855.9008783708427</v>
      </c>
      <c r="Z101" s="528">
        <f t="shared" si="78"/>
        <v>8972.213408948086</v>
      </c>
      <c r="AA101" s="530">
        <f t="shared" si="79"/>
        <v>1728.5929456735694</v>
      </c>
      <c r="AB101" s="1091">
        <f t="shared" si="37"/>
        <v>0.19266070331648874</v>
      </c>
      <c r="AC101" s="135" t="str">
        <f t="shared" si="38"/>
        <v>Yes</v>
      </c>
      <c r="AD101" s="1091">
        <f t="shared" si="39"/>
        <v>0.19266070331648874</v>
      </c>
      <c r="AE101" s="649">
        <f t="shared" si="10"/>
        <v>9.726841017376453E-2</v>
      </c>
      <c r="AF101" s="530">
        <f t="shared" si="11"/>
        <v>382.99573336469109</v>
      </c>
      <c r="AG101" s="527">
        <f t="shared" si="40"/>
        <v>7243.6204632745166</v>
      </c>
      <c r="AH101" s="528">
        <f t="shared" si="80"/>
        <v>7405.9355442178767</v>
      </c>
      <c r="AI101" s="528">
        <f t="shared" si="81"/>
        <v>5830.9633715541659</v>
      </c>
      <c r="AJ101" s="528">
        <f t="shared" si="12"/>
        <v>2495.9999708032969</v>
      </c>
      <c r="AK101" s="528">
        <f t="shared" si="41"/>
        <v>22976.519349849852</v>
      </c>
      <c r="AL101" s="716">
        <f t="shared" si="13"/>
        <v>0</v>
      </c>
      <c r="AM101" s="417">
        <f t="shared" si="42"/>
        <v>0.31526187030246827</v>
      </c>
      <c r="AN101" s="417">
        <f t="shared" si="43"/>
        <v>0.32232625975466878</v>
      </c>
      <c r="AO101" s="417">
        <f t="shared" si="44"/>
        <v>0.25377922925442015</v>
      </c>
      <c r="AP101" s="417">
        <f t="shared" si="45"/>
        <v>0.108632640688443</v>
      </c>
      <c r="AQ101" s="417">
        <f t="shared" si="46"/>
        <v>1.0000000000000002</v>
      </c>
      <c r="AR101" s="1086">
        <f t="shared" si="14"/>
        <v>1428.1962066120468</v>
      </c>
      <c r="AS101" s="938">
        <f t="shared" si="15"/>
        <v>1811.3391693501608</v>
      </c>
      <c r="AT101" s="938">
        <f t="shared" si="16"/>
        <v>495.69314011643525</v>
      </c>
      <c r="AU101" s="938">
        <f t="shared" si="17"/>
        <v>0</v>
      </c>
      <c r="AV101" s="938">
        <f t="shared" si="18"/>
        <v>0</v>
      </c>
      <c r="AW101" s="938">
        <f t="shared" si="19"/>
        <v>0</v>
      </c>
      <c r="AX101" s="938">
        <f t="shared" si="20"/>
        <v>2397.9866316299795</v>
      </c>
      <c r="AY101" s="938">
        <f t="shared" si="21"/>
        <v>299.45183426330141</v>
      </c>
      <c r="AZ101" s="938">
        <f t="shared" si="22"/>
        <v>365.5730292421627</v>
      </c>
      <c r="BA101" s="938">
        <f t="shared" si="23"/>
        <v>349.83112675197412</v>
      </c>
      <c r="BB101" s="938">
        <f t="shared" si="24"/>
        <v>95.549325308454769</v>
      </c>
      <c r="BC101" s="530">
        <f t="shared" si="47"/>
        <v>7243.6204632745166</v>
      </c>
      <c r="BD101" s="724">
        <f t="shared" si="48"/>
        <v>0</v>
      </c>
      <c r="BE101" s="436">
        <f t="shared" si="49"/>
        <v>0.19716607376836848</v>
      </c>
      <c r="BF101" s="624">
        <f t="shared" si="50"/>
        <v>0.2500599221803147</v>
      </c>
      <c r="BG101" s="624">
        <f t="shared" si="51"/>
        <v>6.8431683110624295E-2</v>
      </c>
      <c r="BH101" s="624">
        <f t="shared" si="52"/>
        <v>0</v>
      </c>
      <c r="BI101" s="624">
        <f t="shared" si="53"/>
        <v>0</v>
      </c>
      <c r="BJ101" s="624">
        <f t="shared" si="54"/>
        <v>0</v>
      </c>
      <c r="BK101" s="624">
        <f t="shared" si="55"/>
        <v>0.48434232094069229</v>
      </c>
      <c r="BL101" s="624">
        <f t="shared" si="56"/>
        <v>0.99999999999999978</v>
      </c>
      <c r="BM101" s="649">
        <f t="shared" si="82"/>
        <v>0.29028184578274857</v>
      </c>
      <c r="BN101" s="417">
        <f t="shared" si="57"/>
        <v>0.30317187715157518</v>
      </c>
      <c r="BO101" s="417">
        <f t="shared" si="57"/>
        <v>8.2805443243048754E-2</v>
      </c>
      <c r="BP101" s="417">
        <f t="shared" si="57"/>
        <v>0</v>
      </c>
      <c r="BQ101" s="417">
        <f t="shared" si="57"/>
        <v>0</v>
      </c>
      <c r="BR101" s="417">
        <f t="shared" si="57"/>
        <v>0</v>
      </c>
      <c r="BS101" s="417">
        <f t="shared" si="57"/>
        <v>0.32374083382262742</v>
      </c>
      <c r="BT101" s="525">
        <f t="shared" si="83"/>
        <v>0.99999999999999989</v>
      </c>
      <c r="BV101" s="527">
        <f t="shared" si="58"/>
        <v>91.192908137843304</v>
      </c>
      <c r="BW101" s="114">
        <f t="shared" si="59"/>
        <v>0.43274721745870259</v>
      </c>
      <c r="BX101" s="1695">
        <f t="shared" si="25"/>
        <v>45.871162972715418</v>
      </c>
      <c r="BY101" s="527">
        <f t="shared" si="60"/>
        <v>91.192908137843304</v>
      </c>
      <c r="BZ101" s="417">
        <f t="shared" si="61"/>
        <v>0.43274721745870259</v>
      </c>
      <c r="CA101" s="544">
        <f t="shared" si="26"/>
        <v>45.871162972715418</v>
      </c>
      <c r="CB101" s="649">
        <f t="shared" si="27"/>
        <v>9.726841017376453E-2</v>
      </c>
      <c r="CC101" s="525">
        <f t="shared" si="62"/>
        <v>0.17119814042650427</v>
      </c>
      <c r="CD101" s="417">
        <f t="shared" si="28"/>
        <v>9.726841017376453E-2</v>
      </c>
      <c r="CE101" s="525">
        <f t="shared" si="63"/>
        <v>0.17119814042650427</v>
      </c>
      <c r="CG101" s="527">
        <f t="shared" si="64"/>
        <v>1401.0650599029839</v>
      </c>
      <c r="CH101" s="528">
        <f t="shared" si="65"/>
        <v>568.37814792932511</v>
      </c>
      <c r="CI101" s="528">
        <f t="shared" si="66"/>
        <v>2280.5386128435684</v>
      </c>
      <c r="CJ101" s="528">
        <f t="shared" si="67"/>
        <v>3115.3329987944608</v>
      </c>
      <c r="CK101" s="528">
        <f t="shared" si="68"/>
        <v>40.620724747537743</v>
      </c>
      <c r="CL101" s="528">
        <f t="shared" si="69"/>
        <v>7405.9355442178758</v>
      </c>
      <c r="CM101" s="646">
        <f t="shared" si="70"/>
        <v>0</v>
      </c>
    </row>
    <row r="102" spans="1:91" s="464" customFormat="1">
      <c r="A102" s="150">
        <f>'Input data'!A122</f>
        <v>2022</v>
      </c>
      <c r="B102" s="1508">
        <f>'Input data'!B122</f>
        <v>60.682333816399378</v>
      </c>
      <c r="C102" s="1509">
        <f>'Input data'!C122</f>
        <v>3086.0582602351519</v>
      </c>
      <c r="D102" s="1509">
        <f>'Input data'!D122</f>
        <v>45764081.347342722</v>
      </c>
      <c r="E102" s="1457">
        <f t="shared" si="71"/>
        <v>0.82449230769230786</v>
      </c>
      <c r="F102" s="1451">
        <f t="shared" si="72"/>
        <v>0.31946538461538454</v>
      </c>
      <c r="G102" s="1556">
        <f>B102*F102*'Input data'!$C$9</f>
        <v>593.34615107097636</v>
      </c>
      <c r="H102" s="1551">
        <f>'Input data'!I122</f>
        <v>424.26313389388866</v>
      </c>
      <c r="I102" s="1559">
        <f>'Input data'!K122</f>
        <v>25745.277116940699</v>
      </c>
      <c r="J102" s="1559">
        <f>J97*(1-$G$4)</f>
        <v>5572.0157409803969</v>
      </c>
      <c r="K102" s="1513">
        <f t="shared" si="73"/>
        <v>6392.2894869731472</v>
      </c>
      <c r="L102" s="1506">
        <f t="shared" si="74"/>
        <v>0.62615384615384628</v>
      </c>
      <c r="M102" s="1506">
        <f t="shared" si="29"/>
        <v>0.49969230769230777</v>
      </c>
      <c r="N102" s="1506">
        <f t="shared" si="75"/>
        <v>0.78430769230769215</v>
      </c>
      <c r="O102" s="1506">
        <f t="shared" si="76"/>
        <v>0.83846153846153837</v>
      </c>
      <c r="P102" s="1451">
        <f t="shared" si="30"/>
        <v>0.23600000000000002</v>
      </c>
      <c r="Q102" s="1510">
        <f t="shared" si="31"/>
        <v>106.02472547011826</v>
      </c>
      <c r="R102" s="1511">
        <f t="shared" si="32"/>
        <v>73.987348737881234</v>
      </c>
      <c r="S102" s="1511">
        <f t="shared" si="33"/>
        <v>216.66559739951708</v>
      </c>
      <c r="T102" s="1511">
        <f t="shared" si="34"/>
        <v>145.88904992271819</v>
      </c>
      <c r="U102" s="1513">
        <f t="shared" si="35"/>
        <v>0</v>
      </c>
      <c r="V102" s="1511">
        <f t="shared" si="9"/>
        <v>542.56672153023476</v>
      </c>
      <c r="W102" s="1456">
        <f>$E$26</f>
        <v>0.5</v>
      </c>
      <c r="X102" s="530">
        <f t="shared" si="36"/>
        <v>3033.4854703020706</v>
      </c>
      <c r="Y102" s="528">
        <f t="shared" si="77"/>
        <v>3576.0521918323052</v>
      </c>
      <c r="Z102" s="528">
        <f t="shared" si="78"/>
        <v>8388.2530361212393</v>
      </c>
      <c r="AA102" s="530">
        <f t="shared" si="79"/>
        <v>2816.2372951408424</v>
      </c>
      <c r="AB102" s="1091">
        <f t="shared" si="37"/>
        <v>0.33573585382005611</v>
      </c>
      <c r="AC102" s="135" t="str">
        <f t="shared" si="38"/>
        <v>Yes</v>
      </c>
      <c r="AD102" s="1091">
        <f t="shared" si="39"/>
        <v>0.33573585382005611</v>
      </c>
      <c r="AE102" s="649">
        <f t="shared" si="10"/>
        <v>0.15764324460297707</v>
      </c>
      <c r="AF102" s="530">
        <f t="shared" si="11"/>
        <v>357.3809169014288</v>
      </c>
      <c r="AG102" s="527">
        <f t="shared" si="40"/>
        <v>5572.0157409803969</v>
      </c>
      <c r="AH102" s="528">
        <f t="shared" si="80"/>
        <v>7599.7221031332638</v>
      </c>
      <c r="AI102" s="528">
        <f t="shared" si="81"/>
        <v>6437.6604656145792</v>
      </c>
      <c r="AJ102" s="528">
        <f t="shared" si="12"/>
        <v>2077.3097892951496</v>
      </c>
      <c r="AK102" s="528">
        <f t="shared" si="41"/>
        <v>21686.708099023388</v>
      </c>
      <c r="AL102" s="716">
        <f t="shared" si="13"/>
        <v>0</v>
      </c>
      <c r="AM102" s="417">
        <f t="shared" si="42"/>
        <v>0.25693229767920933</v>
      </c>
      <c r="AN102" s="417">
        <f t="shared" si="43"/>
        <v>0.35043225871037109</v>
      </c>
      <c r="AO102" s="417">
        <f t="shared" si="44"/>
        <v>0.29684820933724304</v>
      </c>
      <c r="AP102" s="417">
        <f t="shared" si="45"/>
        <v>9.5787234273176591E-2</v>
      </c>
      <c r="AQ102" s="417">
        <f t="shared" si="46"/>
        <v>1</v>
      </c>
      <c r="AR102" s="1086">
        <f t="shared" si="14"/>
        <v>1019.135616310381</v>
      </c>
      <c r="AS102" s="938">
        <f t="shared" si="15"/>
        <v>1292.5396749805643</v>
      </c>
      <c r="AT102" s="938">
        <f t="shared" si="16"/>
        <v>398.45767442509401</v>
      </c>
      <c r="AU102" s="938">
        <f t="shared" si="17"/>
        <v>0</v>
      </c>
      <c r="AV102" s="938">
        <f t="shared" si="18"/>
        <v>0</v>
      </c>
      <c r="AW102" s="938">
        <f t="shared" si="19"/>
        <v>0</v>
      </c>
      <c r="AX102" s="938">
        <f t="shared" si="20"/>
        <v>1995.737645333661</v>
      </c>
      <c r="AY102" s="938">
        <f t="shared" si="21"/>
        <v>239.39101771219828</v>
      </c>
      <c r="AZ102" s="938">
        <f t="shared" si="22"/>
        <v>275.46553916225946</v>
      </c>
      <c r="BA102" s="938">
        <f t="shared" si="23"/>
        <v>271.76711827035427</v>
      </c>
      <c r="BB102" s="938">
        <f t="shared" si="24"/>
        <v>79.521454785883094</v>
      </c>
      <c r="BC102" s="530">
        <f t="shared" si="47"/>
        <v>5572.0157409803951</v>
      </c>
      <c r="BD102" s="724">
        <f t="shared" si="48"/>
        <v>0</v>
      </c>
      <c r="BE102" s="436">
        <f t="shared" si="49"/>
        <v>0.18290250130037577</v>
      </c>
      <c r="BF102" s="624">
        <f t="shared" si="50"/>
        <v>0.23196985347229873</v>
      </c>
      <c r="BG102" s="624">
        <f t="shared" si="51"/>
        <v>7.1510507677601337E-2</v>
      </c>
      <c r="BH102" s="624">
        <f t="shared" si="52"/>
        <v>0</v>
      </c>
      <c r="BI102" s="624">
        <f t="shared" si="53"/>
        <v>0</v>
      </c>
      <c r="BJ102" s="624">
        <f t="shared" si="54"/>
        <v>0</v>
      </c>
      <c r="BK102" s="624">
        <f t="shared" si="55"/>
        <v>0.51361713754972427</v>
      </c>
      <c r="BL102" s="624">
        <f t="shared" si="56"/>
        <v>1</v>
      </c>
      <c r="BM102" s="649">
        <f t="shared" si="82"/>
        <v>0.29028184578274857</v>
      </c>
      <c r="BN102" s="417">
        <f t="shared" si="57"/>
        <v>0.30317187715157518</v>
      </c>
      <c r="BO102" s="417">
        <f t="shared" si="57"/>
        <v>8.2805443243048754E-2</v>
      </c>
      <c r="BP102" s="417">
        <f t="shared" si="57"/>
        <v>0</v>
      </c>
      <c r="BQ102" s="417">
        <f t="shared" si="57"/>
        <v>0</v>
      </c>
      <c r="BR102" s="417">
        <f t="shared" si="57"/>
        <v>0</v>
      </c>
      <c r="BS102" s="417">
        <f t="shared" si="57"/>
        <v>0.32374083382262742</v>
      </c>
      <c r="BT102" s="525">
        <f t="shared" si="83"/>
        <v>0.99999999999999989</v>
      </c>
      <c r="BU102" s="1"/>
      <c r="BV102" s="527">
        <f t="shared" si="58"/>
        <v>84.079382376176127</v>
      </c>
      <c r="BW102" s="114">
        <f t="shared" si="59"/>
        <v>0.49378635898790341</v>
      </c>
      <c r="BX102" s="1695">
        <f t="shared" si="25"/>
        <v>45.764081347342724</v>
      </c>
      <c r="BY102" s="527">
        <f t="shared" si="60"/>
        <v>84.079382376176127</v>
      </c>
      <c r="BZ102" s="417">
        <f t="shared" si="61"/>
        <v>0.49378635898790341</v>
      </c>
      <c r="CA102" s="544">
        <f t="shared" si="26"/>
        <v>45.764081347342724</v>
      </c>
      <c r="CB102" s="649">
        <f t="shared" si="27"/>
        <v>0.15764324460297707</v>
      </c>
      <c r="CC102" s="525">
        <f t="shared" si="62"/>
        <v>0.24842959848266077</v>
      </c>
      <c r="CD102" s="417">
        <f t="shared" si="28"/>
        <v>0.15764324460297707</v>
      </c>
      <c r="CE102" s="525">
        <f t="shared" si="63"/>
        <v>0.24842959848266077</v>
      </c>
      <c r="CF102" s="1"/>
      <c r="CG102" s="527">
        <f t="shared" si="64"/>
        <v>1438.4021088779325</v>
      </c>
      <c r="CH102" s="528">
        <f t="shared" si="65"/>
        <v>589.72002135125922</v>
      </c>
      <c r="CI102" s="528">
        <f t="shared" si="66"/>
        <v>2350.1302458356136</v>
      </c>
      <c r="CJ102" s="528">
        <f t="shared" si="67"/>
        <v>3180.3812883152686</v>
      </c>
      <c r="CK102" s="528">
        <f t="shared" si="68"/>
        <v>41.088438753189351</v>
      </c>
      <c r="CL102" s="528">
        <f t="shared" si="69"/>
        <v>7599.7221031332638</v>
      </c>
      <c r="CM102" s="646">
        <f t="shared" si="70"/>
        <v>0</v>
      </c>
    </row>
    <row r="103" spans="1:91" s="4" customFormat="1">
      <c r="A103" s="150">
        <f>'Input data'!A123</f>
        <v>2023</v>
      </c>
      <c r="B103" s="1508">
        <f>'Input data'!B123</f>
        <v>61.381040636574369</v>
      </c>
      <c r="C103" s="1509">
        <f>'Input data'!C123</f>
        <v>3153.9083559128044</v>
      </c>
      <c r="D103" s="1509">
        <f>'Input data'!D123</f>
        <v>45569695.474175937</v>
      </c>
      <c r="E103" s="1457">
        <f t="shared" si="71"/>
        <v>0.84643076923076943</v>
      </c>
      <c r="F103" s="1451">
        <f t="shared" si="72"/>
        <v>0.32543846153846145</v>
      </c>
      <c r="G103" s="1556">
        <f>B103*F103*'Input data'!$C$9</f>
        <v>611.39963074599768</v>
      </c>
      <c r="H103" s="1551">
        <f>'Input data'!I123</f>
        <v>424.26313389388866</v>
      </c>
      <c r="I103" s="1559">
        <f>'Input data'!K123</f>
        <v>26041.712662141173</v>
      </c>
      <c r="J103" s="1559">
        <f>($J$107-$J$102)/($A$107-$A$102)+J102</f>
        <v>5237.6947965215732</v>
      </c>
      <c r="K103" s="1513">
        <f t="shared" si="73"/>
        <v>6864.3694979622578</v>
      </c>
      <c r="L103" s="1506">
        <f t="shared" si="74"/>
        <v>0.63538461538461555</v>
      </c>
      <c r="M103" s="1506">
        <f t="shared" si="29"/>
        <v>0.51223076923076927</v>
      </c>
      <c r="N103" s="1506">
        <f t="shared" si="75"/>
        <v>0.79876923076923056</v>
      </c>
      <c r="O103" s="1506">
        <f t="shared" si="76"/>
        <v>0.84615384615384603</v>
      </c>
      <c r="P103" s="1451">
        <f t="shared" si="30"/>
        <v>0.23600000000000002</v>
      </c>
      <c r="Q103" s="1510">
        <f t="shared" si="31"/>
        <v>128.6946148561783</v>
      </c>
      <c r="R103" s="1511">
        <f t="shared" si="32"/>
        <v>89.807102143687757</v>
      </c>
      <c r="S103" s="1511">
        <f t="shared" si="33"/>
        <v>262.99238678786514</v>
      </c>
      <c r="T103" s="1511">
        <f t="shared" si="34"/>
        <v>177.08260981849526</v>
      </c>
      <c r="U103" s="1513">
        <f t="shared" si="35"/>
        <v>0</v>
      </c>
      <c r="V103" s="1511">
        <f t="shared" si="9"/>
        <v>658.57671360622646</v>
      </c>
      <c r="W103" s="1456">
        <f>($N$147-$N$142)/($A$107-$A$102)+W102</f>
        <v>0.5</v>
      </c>
      <c r="X103" s="530">
        <f t="shared" si="36"/>
        <v>3033.4854703020706</v>
      </c>
      <c r="Y103" s="528">
        <f t="shared" si="77"/>
        <v>3692.0621839082969</v>
      </c>
      <c r="Z103" s="528">
        <f t="shared" si="78"/>
        <v>8410.0021105755332</v>
      </c>
      <c r="AA103" s="530">
        <f t="shared" si="79"/>
        <v>3172.30731405396</v>
      </c>
      <c r="AB103" s="1091">
        <f t="shared" si="37"/>
        <v>0.37720648251262628</v>
      </c>
      <c r="AC103" s="135" t="str">
        <f t="shared" si="38"/>
        <v>Yes</v>
      </c>
      <c r="AD103" s="1091">
        <f t="shared" si="39"/>
        <v>0.37720648251262628</v>
      </c>
      <c r="AE103" s="649">
        <f t="shared" si="10"/>
        <v>0.17661362793734681</v>
      </c>
      <c r="AF103" s="530">
        <f t="shared" si="11"/>
        <v>349.33248261682064</v>
      </c>
      <c r="AG103" s="527">
        <f t="shared" si="40"/>
        <v>5237.6947965215732</v>
      </c>
      <c r="AH103" s="528">
        <f t="shared" si="80"/>
        <v>7796.9893950863434</v>
      </c>
      <c r="AI103" s="528">
        <f t="shared" si="81"/>
        <v>6437.6604656145792</v>
      </c>
      <c r="AJ103" s="528">
        <f t="shared" si="12"/>
        <v>1970.0466539559834</v>
      </c>
      <c r="AK103" s="528">
        <f t="shared" si="41"/>
        <v>21442.391311178479</v>
      </c>
      <c r="AL103" s="716">
        <f t="shared" si="13"/>
        <v>0</v>
      </c>
      <c r="AM103" s="417">
        <f t="shared" si="42"/>
        <v>0.24426822179068367</v>
      </c>
      <c r="AN103" s="417">
        <f t="shared" si="43"/>
        <v>0.36362499321713104</v>
      </c>
      <c r="AO103" s="417">
        <f t="shared" si="44"/>
        <v>0.30023052803156608</v>
      </c>
      <c r="AP103" s="417">
        <f t="shared" si="45"/>
        <v>9.1876256960619254E-2</v>
      </c>
      <c r="AQ103" s="417">
        <f t="shared" si="46"/>
        <v>1</v>
      </c>
      <c r="AR103" s="1086">
        <f t="shared" si="14"/>
        <v>976.10205422369711</v>
      </c>
      <c r="AS103" s="938">
        <f t="shared" si="15"/>
        <v>1237.9614761004675</v>
      </c>
      <c r="AT103" s="938">
        <f t="shared" si="16"/>
        <v>364.52471174043808</v>
      </c>
      <c r="AU103" s="938">
        <f t="shared" si="17"/>
        <v>0</v>
      </c>
      <c r="AV103" s="938">
        <f t="shared" si="18"/>
        <v>0</v>
      </c>
      <c r="AW103" s="938">
        <f t="shared" si="19"/>
        <v>0</v>
      </c>
      <c r="AX103" s="938">
        <f t="shared" si="20"/>
        <v>1892.6865365120302</v>
      </c>
      <c r="AY103" s="938">
        <f t="shared" si="21"/>
        <v>217.70803893721899</v>
      </c>
      <c r="AZ103" s="938">
        <f t="shared" si="22"/>
        <v>233.94338542908716</v>
      </c>
      <c r="BA103" s="938">
        <f t="shared" si="23"/>
        <v>239.35327674628138</v>
      </c>
      <c r="BB103" s="938">
        <f t="shared" si="24"/>
        <v>75.415316832352445</v>
      </c>
      <c r="BC103" s="530">
        <f t="shared" si="47"/>
        <v>5237.6947965215732</v>
      </c>
      <c r="BD103" s="724">
        <f t="shared" si="48"/>
        <v>0</v>
      </c>
      <c r="BE103" s="436">
        <f t="shared" si="49"/>
        <v>0.18636100272049838</v>
      </c>
      <c r="BF103" s="624">
        <f t="shared" si="50"/>
        <v>0.23635616892427852</v>
      </c>
      <c r="BG103" s="624">
        <f t="shared" si="51"/>
        <v>6.9596401833593682E-2</v>
      </c>
      <c r="BH103" s="624">
        <f t="shared" si="52"/>
        <v>0</v>
      </c>
      <c r="BI103" s="624">
        <f t="shared" si="53"/>
        <v>0</v>
      </c>
      <c r="BJ103" s="624">
        <f t="shared" si="54"/>
        <v>0</v>
      </c>
      <c r="BK103" s="624">
        <f t="shared" si="55"/>
        <v>0.50768642652162943</v>
      </c>
      <c r="BL103" s="624">
        <f t="shared" si="56"/>
        <v>1</v>
      </c>
      <c r="BM103" s="649">
        <f t="shared" si="82"/>
        <v>0.29028184578274857</v>
      </c>
      <c r="BN103" s="417">
        <f t="shared" si="57"/>
        <v>0.30317187715157518</v>
      </c>
      <c r="BO103" s="417">
        <f t="shared" si="57"/>
        <v>8.2805443243048754E-2</v>
      </c>
      <c r="BP103" s="417">
        <f t="shared" si="57"/>
        <v>0</v>
      </c>
      <c r="BQ103" s="417">
        <f t="shared" si="57"/>
        <v>0</v>
      </c>
      <c r="BR103" s="417">
        <f t="shared" si="57"/>
        <v>0</v>
      </c>
      <c r="BS103" s="417">
        <f t="shared" si="57"/>
        <v>0.32374083382262742</v>
      </c>
      <c r="BT103" s="525">
        <f t="shared" si="83"/>
        <v>0.99999999999999989</v>
      </c>
      <c r="BU103"/>
      <c r="BV103" s="527">
        <f t="shared" si="58"/>
        <v>83.98974440871261</v>
      </c>
      <c r="BW103" s="114">
        <f t="shared" si="59"/>
        <v>0.51322278306491953</v>
      </c>
      <c r="BX103" s="1695">
        <f t="shared" si="25"/>
        <v>45.569695474175937</v>
      </c>
      <c r="BY103" s="527">
        <f t="shared" si="60"/>
        <v>83.98974440871261</v>
      </c>
      <c r="BZ103" s="417">
        <f t="shared" si="61"/>
        <v>0.51322278306491953</v>
      </c>
      <c r="CA103" s="544">
        <f t="shared" si="26"/>
        <v>45.569695474175937</v>
      </c>
      <c r="CB103" s="649">
        <f t="shared" si="27"/>
        <v>0.17661362793734681</v>
      </c>
      <c r="CC103" s="525">
        <f t="shared" si="62"/>
        <v>0.25219312256056914</v>
      </c>
      <c r="CD103" s="417">
        <f t="shared" si="28"/>
        <v>0.17661362793734681</v>
      </c>
      <c r="CE103" s="525">
        <f t="shared" si="63"/>
        <v>0.25219312256056914</v>
      </c>
      <c r="CF103"/>
      <c r="CG103" s="527">
        <f t="shared" si="64"/>
        <v>1476.4132204333737</v>
      </c>
      <c r="CH103" s="528">
        <f t="shared" si="65"/>
        <v>611.47800938120383</v>
      </c>
      <c r="CI103" s="528">
        <f t="shared" si="66"/>
        <v>2421.0221138343977</v>
      </c>
      <c r="CJ103" s="528">
        <f t="shared" si="67"/>
        <v>3246.5145133390856</v>
      </c>
      <c r="CK103" s="528">
        <f t="shared" si="68"/>
        <v>41.561538098281396</v>
      </c>
      <c r="CL103" s="528">
        <f t="shared" si="69"/>
        <v>7796.9893950863425</v>
      </c>
      <c r="CM103" s="646">
        <f t="shared" si="70"/>
        <v>0</v>
      </c>
    </row>
    <row r="104" spans="1:91" s="4" customFormat="1">
      <c r="A104" s="150">
        <f>'Input data'!A124</f>
        <v>2024</v>
      </c>
      <c r="B104" s="1508">
        <f>'Input data'!B124</f>
        <v>62.087792487153699</v>
      </c>
      <c r="C104" s="1509">
        <f>'Input data'!C124</f>
        <v>3232.6126442228219</v>
      </c>
      <c r="D104" s="1509">
        <f>'Input data'!D124</f>
        <v>46327457.455900244</v>
      </c>
      <c r="E104" s="1457">
        <f t="shared" si="71"/>
        <v>0.868369230769231</v>
      </c>
      <c r="F104" s="1451">
        <f t="shared" si="72"/>
        <v>0.33141153846153837</v>
      </c>
      <c r="G104" s="1556">
        <f>B104*F104*'Input data'!$C$9</f>
        <v>629.79018860574899</v>
      </c>
      <c r="H104" s="1551">
        <f>'Input data'!I124</f>
        <v>424.26313389388866</v>
      </c>
      <c r="I104" s="1559">
        <f>'Input data'!K124</f>
        <v>26341.561417153265</v>
      </c>
      <c r="J104" s="1559">
        <f t="shared" ref="J104:J106" si="84">($J$107-$J$102)/($A$107-$A$102)+J103</f>
        <v>4903.3738520627494</v>
      </c>
      <c r="K104" s="1513">
        <f t="shared" si="73"/>
        <v>7338.035690518097</v>
      </c>
      <c r="L104" s="1506">
        <f t="shared" si="74"/>
        <v>0.64461538461538481</v>
      </c>
      <c r="M104" s="1506">
        <f t="shared" si="29"/>
        <v>0.52476923076923077</v>
      </c>
      <c r="N104" s="1506">
        <f t="shared" si="75"/>
        <v>0.81323076923076898</v>
      </c>
      <c r="O104" s="1506">
        <f t="shared" si="76"/>
        <v>0.8538461538461537</v>
      </c>
      <c r="P104" s="1451">
        <f t="shared" si="30"/>
        <v>0.23600000000000002</v>
      </c>
      <c r="Q104" s="1510">
        <f t="shared" si="31"/>
        <v>151.87249789664475</v>
      </c>
      <c r="R104" s="1511">
        <f t="shared" si="32"/>
        <v>105.98134931025186</v>
      </c>
      <c r="S104" s="1511">
        <f t="shared" si="33"/>
        <v>310.35728071380254</v>
      </c>
      <c r="T104" s="1511">
        <f t="shared" si="34"/>
        <v>208.97516432406155</v>
      </c>
      <c r="U104" s="1513">
        <f t="shared" si="35"/>
        <v>0</v>
      </c>
      <c r="V104" s="1511">
        <f t="shared" si="9"/>
        <v>777.18629224476069</v>
      </c>
      <c r="W104" s="1456">
        <f>($N$147-$N$142)/($A$107-$A$102)+W103</f>
        <v>0.5</v>
      </c>
      <c r="X104" s="530">
        <f t="shared" si="36"/>
        <v>3033.4854703020706</v>
      </c>
      <c r="Y104" s="528">
        <f t="shared" si="77"/>
        <v>3810.6717625468314</v>
      </c>
      <c r="Z104" s="528">
        <f t="shared" si="78"/>
        <v>8430.7377800340146</v>
      </c>
      <c r="AA104" s="530">
        <f t="shared" si="79"/>
        <v>3527.3639279712652</v>
      </c>
      <c r="AB104" s="1091">
        <f t="shared" si="37"/>
        <v>0.41839326758862067</v>
      </c>
      <c r="AC104" s="135" t="str">
        <f t="shared" si="38"/>
        <v>Yes</v>
      </c>
      <c r="AD104" s="1091">
        <f t="shared" si="39"/>
        <v>0.41839326758862067</v>
      </c>
      <c r="AE104" s="649">
        <f t="shared" si="10"/>
        <v>0.19519681863773264</v>
      </c>
      <c r="AF104" s="530">
        <f t="shared" si="11"/>
        <v>341.44831989252719</v>
      </c>
      <c r="AG104" s="527">
        <f t="shared" si="40"/>
        <v>4903.3738520627494</v>
      </c>
      <c r="AH104" s="528">
        <f t="shared" si="80"/>
        <v>7997.7918841172905</v>
      </c>
      <c r="AI104" s="528">
        <f t="shared" si="81"/>
        <v>6437.6604656145792</v>
      </c>
      <c r="AJ104" s="528">
        <f t="shared" si="12"/>
        <v>1860.9462287798847</v>
      </c>
      <c r="AK104" s="528">
        <f t="shared" si="41"/>
        <v>21199.772430574503</v>
      </c>
      <c r="AL104" s="716">
        <f t="shared" si="13"/>
        <v>0</v>
      </c>
      <c r="AM104" s="417">
        <f t="shared" si="42"/>
        <v>0.23129370223762682</v>
      </c>
      <c r="AN104" s="417">
        <f t="shared" si="43"/>
        <v>0.37725838380146021</v>
      </c>
      <c r="AO104" s="417">
        <f t="shared" si="44"/>
        <v>0.3036664891897673</v>
      </c>
      <c r="AP104" s="417">
        <f t="shared" si="45"/>
        <v>8.7781424771145714E-2</v>
      </c>
      <c r="AQ104" s="417">
        <f t="shared" si="46"/>
        <v>1</v>
      </c>
      <c r="AR104" s="1086">
        <f t="shared" si="14"/>
        <v>931.00179754693477</v>
      </c>
      <c r="AS104" s="938">
        <f t="shared" si="15"/>
        <v>1180.7621493635941</v>
      </c>
      <c r="AT104" s="938">
        <f t="shared" si="16"/>
        <v>331.71889252091779</v>
      </c>
      <c r="AU104" s="938">
        <f t="shared" si="17"/>
        <v>0</v>
      </c>
      <c r="AV104" s="938">
        <f t="shared" si="18"/>
        <v>0</v>
      </c>
      <c r="AW104" s="938">
        <f t="shared" si="19"/>
        <v>0</v>
      </c>
      <c r="AX104" s="938">
        <f t="shared" si="20"/>
        <v>1787.8702848542894</v>
      </c>
      <c r="AY104" s="938">
        <f t="shared" si="21"/>
        <v>196.84581352580756</v>
      </c>
      <c r="AZ104" s="938">
        <f t="shared" si="22"/>
        <v>195.20113597325712</v>
      </c>
      <c r="BA104" s="938">
        <f t="shared" si="23"/>
        <v>208.73493265488335</v>
      </c>
      <c r="BB104" s="938">
        <f t="shared" si="24"/>
        <v>71.238845623065188</v>
      </c>
      <c r="BC104" s="530">
        <f t="shared" si="47"/>
        <v>4903.3738520627503</v>
      </c>
      <c r="BD104" s="724">
        <f t="shared" si="48"/>
        <v>0</v>
      </c>
      <c r="BE104" s="436">
        <f t="shared" si="49"/>
        <v>0.18986963377374971</v>
      </c>
      <c r="BF104" s="624">
        <f t="shared" si="50"/>
        <v>0.24080606231296667</v>
      </c>
      <c r="BG104" s="624">
        <f t="shared" si="51"/>
        <v>6.76511525592466E-2</v>
      </c>
      <c r="BH104" s="624">
        <f t="shared" si="52"/>
        <v>0</v>
      </c>
      <c r="BI104" s="624">
        <f t="shared" si="53"/>
        <v>0</v>
      </c>
      <c r="BJ104" s="624">
        <f t="shared" si="54"/>
        <v>0</v>
      </c>
      <c r="BK104" s="624">
        <f t="shared" si="55"/>
        <v>0.50167315135403667</v>
      </c>
      <c r="BL104" s="624">
        <f t="shared" si="56"/>
        <v>0.99999999999999967</v>
      </c>
      <c r="BM104" s="649">
        <f t="shared" si="82"/>
        <v>0.29028184578274857</v>
      </c>
      <c r="BN104" s="417">
        <f t="shared" si="57"/>
        <v>0.30317187715157518</v>
      </c>
      <c r="BO104" s="417">
        <f t="shared" si="57"/>
        <v>8.2805443243048754E-2</v>
      </c>
      <c r="BP104" s="417">
        <f t="shared" si="57"/>
        <v>0</v>
      </c>
      <c r="BQ104" s="417">
        <f t="shared" si="57"/>
        <v>0</v>
      </c>
      <c r="BR104" s="417">
        <f t="shared" si="57"/>
        <v>0</v>
      </c>
      <c r="BS104" s="417">
        <f t="shared" si="57"/>
        <v>0.32374083382262742</v>
      </c>
      <c r="BT104" s="525">
        <f t="shared" si="83"/>
        <v>0.99999999999999989</v>
      </c>
      <c r="BU104"/>
      <c r="BV104" s="527">
        <f t="shared" si="58"/>
        <v>84.909793177326478</v>
      </c>
      <c r="BW104" s="114">
        <f t="shared" si="59"/>
        <v>0.5296584716087146</v>
      </c>
      <c r="BX104" s="1695">
        <f t="shared" si="25"/>
        <v>46.327457455900245</v>
      </c>
      <c r="BY104" s="527">
        <f t="shared" si="60"/>
        <v>84.909793177326478</v>
      </c>
      <c r="BZ104" s="417">
        <f t="shared" si="61"/>
        <v>0.5296584716087146</v>
      </c>
      <c r="CA104" s="544">
        <f t="shared" si="26"/>
        <v>46.327457455900245</v>
      </c>
      <c r="CB104" s="649">
        <f t="shared" si="27"/>
        <v>0.19519681863773264</v>
      </c>
      <c r="CC104" s="525">
        <f t="shared" si="62"/>
        <v>0.25353406439254278</v>
      </c>
      <c r="CD104" s="417">
        <f t="shared" si="28"/>
        <v>0.19519681863773264</v>
      </c>
      <c r="CE104" s="525">
        <f t="shared" si="63"/>
        <v>0.25353406439254278</v>
      </c>
      <c r="CF104"/>
      <c r="CG104" s="527">
        <f t="shared" si="64"/>
        <v>1515.1089671117584</v>
      </c>
      <c r="CH104" s="528">
        <f t="shared" si="65"/>
        <v>633.65886502588842</v>
      </c>
      <c r="CI104" s="528">
        <f t="shared" si="66"/>
        <v>2493.2349329075432</v>
      </c>
      <c r="CJ104" s="528">
        <f t="shared" si="67"/>
        <v>3313.7490342815627</v>
      </c>
      <c r="CK104" s="528">
        <f t="shared" si="68"/>
        <v>42.040084790537726</v>
      </c>
      <c r="CL104" s="528">
        <f t="shared" si="69"/>
        <v>7997.7918841172905</v>
      </c>
      <c r="CM104" s="646">
        <f t="shared" si="70"/>
        <v>0</v>
      </c>
    </row>
    <row r="105" spans="1:91" s="4" customFormat="1">
      <c r="A105" s="150">
        <f>'Input data'!A125</f>
        <v>2025</v>
      </c>
      <c r="B105" s="1508">
        <f>'Input data'!B125</f>
        <v>62.802682000000026</v>
      </c>
      <c r="C105" s="1509">
        <f>'Input data'!C125</f>
        <v>3311.8439930677405</v>
      </c>
      <c r="D105" s="1509">
        <f>'Input data'!D125</f>
        <v>46801820.784301206</v>
      </c>
      <c r="E105" s="1457">
        <f t="shared" si="71"/>
        <v>0.89030769230769258</v>
      </c>
      <c r="F105" s="1451">
        <f t="shared" si="72"/>
        <v>0.33738461538461528</v>
      </c>
      <c r="G105" s="1556">
        <f>B105*F105*'Input data'!$C$9</f>
        <v>648.52319354163239</v>
      </c>
      <c r="H105" s="1551">
        <f>'Input data'!I125</f>
        <v>424.26313389388866</v>
      </c>
      <c r="I105" s="1559">
        <f>'Input data'!K125</f>
        <v>26644.862682261322</v>
      </c>
      <c r="J105" s="1559">
        <f t="shared" si="84"/>
        <v>4569.0529076039256</v>
      </c>
      <c r="K105" s="1513">
        <f t="shared" si="73"/>
        <v>7813.3063282078183</v>
      </c>
      <c r="L105" s="1506">
        <f t="shared" si="74"/>
        <v>0.65384615384615408</v>
      </c>
      <c r="M105" s="1506">
        <f t="shared" si="29"/>
        <v>0.53730769230769226</v>
      </c>
      <c r="N105" s="1506">
        <f t="shared" si="75"/>
        <v>0.82769230769230739</v>
      </c>
      <c r="O105" s="1506">
        <f t="shared" si="76"/>
        <v>0.86153846153846136</v>
      </c>
      <c r="P105" s="1451">
        <f t="shared" si="30"/>
        <v>0.23600000000000002</v>
      </c>
      <c r="Q105" s="1510">
        <f t="shared" si="31"/>
        <v>175.56706735725811</v>
      </c>
      <c r="R105" s="1511">
        <f t="shared" si="32"/>
        <v>122.51615631968355</v>
      </c>
      <c r="S105" s="1511">
        <f t="shared" si="33"/>
        <v>358.77804317788559</v>
      </c>
      <c r="T105" s="1511">
        <f t="shared" si="34"/>
        <v>241.57867460535908</v>
      </c>
      <c r="U105" s="1513">
        <f t="shared" si="35"/>
        <v>0</v>
      </c>
      <c r="V105" s="1511">
        <f t="shared" si="9"/>
        <v>898.43994146018633</v>
      </c>
      <c r="W105" s="1456">
        <f>($N$147-$N$142)/($A$107-$A$102)+W104</f>
        <v>0.5</v>
      </c>
      <c r="X105" s="530">
        <f t="shared" si="36"/>
        <v>3033.4854703020706</v>
      </c>
      <c r="Y105" s="528">
        <f t="shared" si="77"/>
        <v>3931.9254117622568</v>
      </c>
      <c r="Z105" s="528">
        <f t="shared" si="78"/>
        <v>8450.4338240494872</v>
      </c>
      <c r="AA105" s="530">
        <f t="shared" si="79"/>
        <v>3881.3809164455615</v>
      </c>
      <c r="AB105" s="1091">
        <f t="shared" si="37"/>
        <v>0.459311438591396</v>
      </c>
      <c r="AC105" s="135" t="str">
        <f t="shared" si="38"/>
        <v>Yes</v>
      </c>
      <c r="AD105" s="1091">
        <f t="shared" si="39"/>
        <v>0.459311438591396</v>
      </c>
      <c r="AE105" s="649">
        <f t="shared" si="10"/>
        <v>0.21340034507035144</v>
      </c>
      <c r="AF105" s="530">
        <f t="shared" si="11"/>
        <v>333.72523472030412</v>
      </c>
      <c r="AG105" s="527">
        <f t="shared" si="40"/>
        <v>4569.0529076039256</v>
      </c>
      <c r="AH105" s="528">
        <f t="shared" si="80"/>
        <v>8202.1848270207192</v>
      </c>
      <c r="AI105" s="528">
        <f t="shared" si="81"/>
        <v>6437.6604656145792</v>
      </c>
      <c r="AJ105" s="528">
        <f t="shared" si="12"/>
        <v>1749.9415912754064</v>
      </c>
      <c r="AK105" s="528">
        <f t="shared" si="41"/>
        <v>20958.839791514627</v>
      </c>
      <c r="AL105" s="716">
        <f t="shared" si="13"/>
        <v>0</v>
      </c>
      <c r="AM105" s="417">
        <f t="shared" si="42"/>
        <v>0.21800123256124831</v>
      </c>
      <c r="AN105" s="417">
        <f t="shared" si="43"/>
        <v>0.39134727440120265</v>
      </c>
      <c r="AO105" s="417">
        <f t="shared" si="44"/>
        <v>0.30715729160833238</v>
      </c>
      <c r="AP105" s="417">
        <f t="shared" si="45"/>
        <v>8.3494201429216791E-2</v>
      </c>
      <c r="AQ105" s="417">
        <f t="shared" si="46"/>
        <v>1</v>
      </c>
      <c r="AR105" s="1086">
        <f t="shared" si="14"/>
        <v>883.793761908639</v>
      </c>
      <c r="AS105" s="938">
        <f t="shared" si="15"/>
        <v>1120.8895886721123</v>
      </c>
      <c r="AT105" s="938">
        <f t="shared" si="16"/>
        <v>300.06611594807072</v>
      </c>
      <c r="AU105" s="938">
        <f t="shared" si="17"/>
        <v>0</v>
      </c>
      <c r="AV105" s="938">
        <f t="shared" si="18"/>
        <v>0</v>
      </c>
      <c r="AW105" s="938">
        <f t="shared" si="19"/>
        <v>0</v>
      </c>
      <c r="AX105" s="938">
        <f t="shared" si="20"/>
        <v>1681.2245957924411</v>
      </c>
      <c r="AY105" s="938">
        <f t="shared" si="21"/>
        <v>176.82366036543934</v>
      </c>
      <c r="AZ105" s="938">
        <f t="shared" si="22"/>
        <v>159.30907465228333</v>
      </c>
      <c r="BA105" s="938">
        <f t="shared" si="23"/>
        <v>179.9566309654831</v>
      </c>
      <c r="BB105" s="938">
        <f t="shared" si="24"/>
        <v>66.989479299455425</v>
      </c>
      <c r="BC105" s="530">
        <f t="shared" si="47"/>
        <v>4569.0529076039238</v>
      </c>
      <c r="BD105" s="724">
        <f t="shared" si="48"/>
        <v>0</v>
      </c>
      <c r="BE105" s="436">
        <f t="shared" si="49"/>
        <v>0.19343040664681491</v>
      </c>
      <c r="BF105" s="624">
        <f t="shared" si="50"/>
        <v>0.24532208563545013</v>
      </c>
      <c r="BG105" s="624">
        <f t="shared" si="51"/>
        <v>6.5673591883493782E-2</v>
      </c>
      <c r="BH105" s="624">
        <f t="shared" si="52"/>
        <v>0</v>
      </c>
      <c r="BI105" s="624">
        <f t="shared" si="53"/>
        <v>0</v>
      </c>
      <c r="BJ105" s="624">
        <f t="shared" si="54"/>
        <v>0</v>
      </c>
      <c r="BK105" s="624">
        <f t="shared" si="55"/>
        <v>0.49557391583424132</v>
      </c>
      <c r="BL105" s="624">
        <f t="shared" si="56"/>
        <v>1.0000000000000002</v>
      </c>
      <c r="BM105" s="649">
        <f t="shared" si="82"/>
        <v>0.29028184578274857</v>
      </c>
      <c r="BN105" s="417">
        <f t="shared" si="57"/>
        <v>0.30317187715157518</v>
      </c>
      <c r="BO105" s="417">
        <f t="shared" si="57"/>
        <v>8.2805443243048754E-2</v>
      </c>
      <c r="BP105" s="417">
        <f t="shared" si="57"/>
        <v>0</v>
      </c>
      <c r="BQ105" s="417">
        <f t="shared" si="57"/>
        <v>0</v>
      </c>
      <c r="BR105" s="417">
        <f t="shared" si="57"/>
        <v>0</v>
      </c>
      <c r="BS105" s="417">
        <f t="shared" si="57"/>
        <v>0.32374083382262742</v>
      </c>
      <c r="BT105" s="525">
        <f t="shared" si="83"/>
        <v>0.99999999999999989</v>
      </c>
      <c r="BU105"/>
      <c r="BV105" s="527">
        <f t="shared" si="58"/>
        <v>85.550841073802417</v>
      </c>
      <c r="BW105" s="114">
        <f t="shared" si="59"/>
        <v>0.54714035986241105</v>
      </c>
      <c r="BX105" s="1695">
        <f t="shared" si="25"/>
        <v>46.801820784301206</v>
      </c>
      <c r="BY105" s="527">
        <f t="shared" si="60"/>
        <v>85.550841073802417</v>
      </c>
      <c r="BZ105" s="417">
        <f t="shared" si="61"/>
        <v>0.54714035986241105</v>
      </c>
      <c r="CA105" s="544">
        <f t="shared" si="26"/>
        <v>46.801820784301206</v>
      </c>
      <c r="CB105" s="649">
        <f t="shared" si="27"/>
        <v>0.21340034507035144</v>
      </c>
      <c r="CC105" s="525">
        <f t="shared" si="62"/>
        <v>0.25567796175396307</v>
      </c>
      <c r="CD105" s="417">
        <f t="shared" si="28"/>
        <v>0.21340034507035144</v>
      </c>
      <c r="CE105" s="525">
        <f t="shared" si="63"/>
        <v>0.25567796175396307</v>
      </c>
      <c r="CF105"/>
      <c r="CG105" s="527">
        <f t="shared" si="64"/>
        <v>1554.5000755590524</v>
      </c>
      <c r="CH105" s="528">
        <f t="shared" si="65"/>
        <v>656.26944163572841</v>
      </c>
      <c r="CI105" s="528">
        <f t="shared" si="66"/>
        <v>2566.7897237992397</v>
      </c>
      <c r="CJ105" s="528">
        <f t="shared" si="67"/>
        <v>3382.1014444750476</v>
      </c>
      <c r="CK105" s="528">
        <f t="shared" si="68"/>
        <v>42.524141551649727</v>
      </c>
      <c r="CL105" s="528">
        <f t="shared" si="69"/>
        <v>8202.1848270207174</v>
      </c>
      <c r="CM105" s="646">
        <f t="shared" si="70"/>
        <v>0</v>
      </c>
    </row>
    <row r="106" spans="1:91" s="4" customFormat="1">
      <c r="A106" s="150">
        <f>'Input data'!A126</f>
        <v>2026</v>
      </c>
      <c r="B106" s="1508">
        <f>'Input data'!B126</f>
        <v>63.421065342005143</v>
      </c>
      <c r="C106" s="1509">
        <f>'Input data'!C126</f>
        <v>3393.1756913606432</v>
      </c>
      <c r="D106" s="1509">
        <f>'Input data'!D126</f>
        <v>46479674.028888769</v>
      </c>
      <c r="E106" s="1457">
        <f t="shared" si="71"/>
        <v>0.91224615384615415</v>
      </c>
      <c r="F106" s="1451">
        <f t="shared" si="72"/>
        <v>0.3433576923076922</v>
      </c>
      <c r="G106" s="1556">
        <f>B106*F106*'Input data'!$C$9</f>
        <v>666.50338782740016</v>
      </c>
      <c r="H106" s="1551">
        <f>'Input data'!I126</f>
        <v>424.26313389388866</v>
      </c>
      <c r="I106" s="1559">
        <f>'Input data'!K126</f>
        <v>26907.219936888188</v>
      </c>
      <c r="J106" s="1559">
        <f t="shared" si="84"/>
        <v>4234.7319631451019</v>
      </c>
      <c r="K106" s="1513">
        <f t="shared" si="73"/>
        <v>8269.5495288873099</v>
      </c>
      <c r="L106" s="1506">
        <f t="shared" si="74"/>
        <v>0.66307692307692334</v>
      </c>
      <c r="M106" s="1506">
        <f t="shared" si="29"/>
        <v>0.54984615384615376</v>
      </c>
      <c r="N106" s="1506">
        <f t="shared" si="75"/>
        <v>0.84215384615384581</v>
      </c>
      <c r="O106" s="1506">
        <f t="shared" si="76"/>
        <v>0.86923076923076903</v>
      </c>
      <c r="P106" s="1451">
        <f t="shared" si="30"/>
        <v>0.23600000000000002</v>
      </c>
      <c r="Q106" s="1510">
        <f t="shared" si="31"/>
        <v>199.45775177427959</v>
      </c>
      <c r="R106" s="1511">
        <f t="shared" si="32"/>
        <v>139.18781844105331</v>
      </c>
      <c r="S106" s="1511">
        <f t="shared" si="33"/>
        <v>407.5995740853723</v>
      </c>
      <c r="T106" s="1511">
        <f t="shared" si="34"/>
        <v>274.45203726815635</v>
      </c>
      <c r="U106" s="1513">
        <f t="shared" si="35"/>
        <v>0</v>
      </c>
      <c r="V106" s="1511">
        <f t="shared" si="9"/>
        <v>1020.6971815688615</v>
      </c>
      <c r="W106" s="1456">
        <f>($N$147-$N$142)/($A$107-$A$102)+W105</f>
        <v>0.5</v>
      </c>
      <c r="X106" s="530">
        <f t="shared" si="36"/>
        <v>3033.4854703020706</v>
      </c>
      <c r="Y106" s="528">
        <f t="shared" si="77"/>
        <v>4054.1826518709322</v>
      </c>
      <c r="Z106" s="528">
        <f t="shared" si="78"/>
        <v>8450.0988401614813</v>
      </c>
      <c r="AA106" s="530">
        <f t="shared" si="79"/>
        <v>4215.3668770163795</v>
      </c>
      <c r="AB106" s="1091">
        <f t="shared" si="37"/>
        <v>0.49885415031853331</v>
      </c>
      <c r="AC106" s="135" t="str">
        <f t="shared" si="38"/>
        <v>Yes</v>
      </c>
      <c r="AD106" s="1091">
        <f t="shared" si="39"/>
        <v>0.49885415031853331</v>
      </c>
      <c r="AE106" s="649">
        <f t="shared" si="10"/>
        <v>0.23044140465623386</v>
      </c>
      <c r="AF106" s="530">
        <f t="shared" si="11"/>
        <v>326.49534137552507</v>
      </c>
      <c r="AG106" s="527">
        <f t="shared" si="40"/>
        <v>4234.7319631451019</v>
      </c>
      <c r="AH106" s="528">
        <f t="shared" si="80"/>
        <v>8396.3580112842246</v>
      </c>
      <c r="AI106" s="528">
        <f t="shared" si="81"/>
        <v>6437.6604656145792</v>
      </c>
      <c r="AJ106" s="528">
        <f t="shared" si="12"/>
        <v>1637.9319391935446</v>
      </c>
      <c r="AK106" s="528">
        <f t="shared" si="41"/>
        <v>20706.682379237453</v>
      </c>
      <c r="AL106" s="716">
        <f t="shared" si="13"/>
        <v>0</v>
      </c>
      <c r="AM106" s="417">
        <f t="shared" si="42"/>
        <v>0.20451040324022446</v>
      </c>
      <c r="AN106" s="417">
        <f t="shared" si="43"/>
        <v>0.40549025949725465</v>
      </c>
      <c r="AO106" s="417">
        <f t="shared" si="44"/>
        <v>0.31089772604372434</v>
      </c>
      <c r="AP106" s="417">
        <f t="shared" si="45"/>
        <v>7.9101611218796483E-2</v>
      </c>
      <c r="AQ106" s="417">
        <f t="shared" si="46"/>
        <v>0.99999999999999989</v>
      </c>
      <c r="AR106" s="1086">
        <f t="shared" si="14"/>
        <v>833.82339101172897</v>
      </c>
      <c r="AS106" s="938">
        <f t="shared" si="15"/>
        <v>1057.5136395598799</v>
      </c>
      <c r="AT106" s="938">
        <f t="shared" si="16"/>
        <v>269.75320797639517</v>
      </c>
      <c r="AU106" s="938">
        <f t="shared" si="17"/>
        <v>0</v>
      </c>
      <c r="AV106" s="938">
        <f t="shared" si="18"/>
        <v>0</v>
      </c>
      <c r="AW106" s="938">
        <f t="shared" si="19"/>
        <v>0</v>
      </c>
      <c r="AX106" s="938">
        <f t="shared" si="20"/>
        <v>1573.6133572316546</v>
      </c>
      <c r="AY106" s="938">
        <f t="shared" si="21"/>
        <v>157.75521557479439</v>
      </c>
      <c r="AZ106" s="938">
        <f t="shared" si="22"/>
        <v>126.41575988277421</v>
      </c>
      <c r="BA106" s="938">
        <f t="shared" si="23"/>
        <v>153.15575187510333</v>
      </c>
      <c r="BB106" s="938">
        <f t="shared" si="24"/>
        <v>62.701640032769753</v>
      </c>
      <c r="BC106" s="530">
        <f t="shared" si="47"/>
        <v>4234.7319631451001</v>
      </c>
      <c r="BD106" s="724">
        <f t="shared" si="48"/>
        <v>0</v>
      </c>
      <c r="BE106" s="436">
        <f t="shared" si="49"/>
        <v>0.19690110218745824</v>
      </c>
      <c r="BF106" s="624">
        <f t="shared" si="50"/>
        <v>0.24972386653120623</v>
      </c>
      <c r="BG106" s="624">
        <f t="shared" si="51"/>
        <v>6.3700184645464952E-2</v>
      </c>
      <c r="BH106" s="624">
        <f t="shared" si="52"/>
        <v>0</v>
      </c>
      <c r="BI106" s="624">
        <f t="shared" si="53"/>
        <v>0</v>
      </c>
      <c r="BJ106" s="624">
        <f t="shared" si="54"/>
        <v>0</v>
      </c>
      <c r="BK106" s="624">
        <f t="shared" si="55"/>
        <v>0.48967484663587058</v>
      </c>
      <c r="BL106" s="624">
        <f t="shared" si="56"/>
        <v>1</v>
      </c>
      <c r="BM106" s="649">
        <f t="shared" si="82"/>
        <v>0.29028184578274857</v>
      </c>
      <c r="BN106" s="417">
        <f t="shared" si="57"/>
        <v>0.30317187715157518</v>
      </c>
      <c r="BO106" s="417">
        <f t="shared" si="57"/>
        <v>8.2805443243048754E-2</v>
      </c>
      <c r="BP106" s="417">
        <f t="shared" si="57"/>
        <v>0</v>
      </c>
      <c r="BQ106" s="417">
        <f t="shared" si="57"/>
        <v>0</v>
      </c>
      <c r="BR106" s="417">
        <f t="shared" si="57"/>
        <v>0</v>
      </c>
      <c r="BS106" s="417">
        <f t="shared" si="57"/>
        <v>0.32374083382262742</v>
      </c>
      <c r="BT106" s="525">
        <f t="shared" si="83"/>
        <v>0.99999999999999989</v>
      </c>
      <c r="BU106"/>
      <c r="BV106" s="527">
        <f t="shared" si="58"/>
        <v>85.394959666711983</v>
      </c>
      <c r="BW106" s="114">
        <f t="shared" si="59"/>
        <v>0.56715372180911028</v>
      </c>
      <c r="BX106" s="1695">
        <f t="shared" si="25"/>
        <v>46.479674028888766</v>
      </c>
      <c r="BY106" s="527">
        <f t="shared" si="60"/>
        <v>85.394959666711983</v>
      </c>
      <c r="BZ106" s="417">
        <f t="shared" si="61"/>
        <v>0.56715372180911028</v>
      </c>
      <c r="CA106" s="544">
        <f t="shared" si="26"/>
        <v>46.479674028888766</v>
      </c>
      <c r="CB106" s="649">
        <f t="shared" si="27"/>
        <v>0.23044140465623386</v>
      </c>
      <c r="CC106" s="525">
        <f t="shared" si="62"/>
        <v>0.26019189518724284</v>
      </c>
      <c r="CD106" s="417">
        <f t="shared" si="28"/>
        <v>0.23044140465623386</v>
      </c>
      <c r="CE106" s="525">
        <f t="shared" si="63"/>
        <v>0.26019189518724284</v>
      </c>
      <c r="CF106"/>
      <c r="CG106" s="527">
        <f t="shared" si="64"/>
        <v>1591.9683521243355</v>
      </c>
      <c r="CH106" s="528">
        <f t="shared" si="65"/>
        <v>678.19667772096068</v>
      </c>
      <c r="CI106" s="528">
        <f t="shared" si="66"/>
        <v>2637.3523268833728</v>
      </c>
      <c r="CJ106" s="528">
        <f t="shared" si="67"/>
        <v>3445.8978012557582</v>
      </c>
      <c r="CK106" s="528">
        <f t="shared" si="68"/>
        <v>42.942853299797797</v>
      </c>
      <c r="CL106" s="528">
        <f t="shared" si="69"/>
        <v>8396.3580112842246</v>
      </c>
      <c r="CM106" s="646">
        <f t="shared" si="70"/>
        <v>0</v>
      </c>
    </row>
    <row r="107" spans="1:91" s="464" customFormat="1">
      <c r="A107" s="150">
        <f>'Input data'!A127</f>
        <v>2027</v>
      </c>
      <c r="B107" s="1508">
        <f>'Input data'!B127</f>
        <v>64.045537563425796</v>
      </c>
      <c r="C107" s="1509">
        <f>'Input data'!C127</f>
        <v>3472.5774012476563</v>
      </c>
      <c r="D107" s="1509">
        <f>'Input data'!D127</f>
        <v>45641833.264745638</v>
      </c>
      <c r="E107" s="1457">
        <f t="shared" si="71"/>
        <v>0.93418461538461572</v>
      </c>
      <c r="F107" s="1451">
        <f t="shared" si="72"/>
        <v>0.34933076923076911</v>
      </c>
      <c r="G107" s="1556">
        <f>B107*F107*'Input data'!$C$9</f>
        <v>684.77478823938122</v>
      </c>
      <c r="H107" s="1551">
        <f>'Input data'!I127</f>
        <v>424.26313389388866</v>
      </c>
      <c r="I107" s="1559">
        <f>'Input data'!K127</f>
        <v>27172.160478577796</v>
      </c>
      <c r="J107" s="1559">
        <f>J97*(1-$G$5)</f>
        <v>3900.4110186862777</v>
      </c>
      <c r="K107" s="1513">
        <f t="shared" si="73"/>
        <v>8726.9932307216241</v>
      </c>
      <c r="L107" s="1506">
        <f t="shared" si="74"/>
        <v>0.67230769230769261</v>
      </c>
      <c r="M107" s="1506">
        <f t="shared" si="29"/>
        <v>0.56238461538461526</v>
      </c>
      <c r="N107" s="1506">
        <f t="shared" si="75"/>
        <v>0.85661538461538422</v>
      </c>
      <c r="O107" s="1506">
        <f t="shared" si="76"/>
        <v>0.87692307692307669</v>
      </c>
      <c r="P107" s="1451">
        <f t="shared" si="30"/>
        <v>0.23600000000000002</v>
      </c>
      <c r="Q107" s="1510">
        <f t="shared" si="31"/>
        <v>223.80189128168513</v>
      </c>
      <c r="R107" s="1511">
        <f t="shared" si="32"/>
        <v>156.17591561811867</v>
      </c>
      <c r="S107" s="1511">
        <f t="shared" si="33"/>
        <v>457.34775788081924</v>
      </c>
      <c r="T107" s="1511">
        <f t="shared" si="34"/>
        <v>307.94934997680866</v>
      </c>
      <c r="U107" s="1513">
        <f t="shared" si="35"/>
        <v>0</v>
      </c>
      <c r="V107" s="1511">
        <f t="shared" si="9"/>
        <v>1145.2749147574318</v>
      </c>
      <c r="W107" s="1456">
        <f>$C$27</f>
        <v>0.5</v>
      </c>
      <c r="X107" s="530">
        <f t="shared" si="36"/>
        <v>3033.4854703020706</v>
      </c>
      <c r="Y107" s="528">
        <f t="shared" si="77"/>
        <v>4178.7603850595024</v>
      </c>
      <c r="Z107" s="528">
        <f t="shared" si="78"/>
        <v>8448.6438643483998</v>
      </c>
      <c r="AA107" s="530">
        <f t="shared" si="79"/>
        <v>4548.2328456621217</v>
      </c>
      <c r="AB107" s="1091">
        <f t="shared" si="37"/>
        <v>0.53833880545666757</v>
      </c>
      <c r="AC107" s="135" t="str">
        <f t="shared" si="38"/>
        <v>Yes</v>
      </c>
      <c r="AD107" s="1091">
        <f t="shared" si="39"/>
        <v>0.53833880545666757</v>
      </c>
      <c r="AE107" s="649">
        <f t="shared" si="10"/>
        <v>0.24719384179753368</v>
      </c>
      <c r="AF107" s="530">
        <f t="shared" si="11"/>
        <v>319.38789989359691</v>
      </c>
      <c r="AG107" s="527">
        <f t="shared" si="40"/>
        <v>3900.4110186862777</v>
      </c>
      <c r="AH107" s="528">
        <f t="shared" si="80"/>
        <v>8593.5598052314726</v>
      </c>
      <c r="AI107" s="528">
        <f t="shared" si="81"/>
        <v>6437.6604656145792</v>
      </c>
      <c r="AJ107" s="528">
        <f t="shared" si="12"/>
        <v>1523.7384504067129</v>
      </c>
      <c r="AK107" s="528">
        <f t="shared" si="41"/>
        <v>20455.36973993904</v>
      </c>
      <c r="AL107" s="716">
        <f t="shared" si="13"/>
        <v>0</v>
      </c>
      <c r="AM107" s="417">
        <f t="shared" si="42"/>
        <v>0.19067907685240901</v>
      </c>
      <c r="AN107" s="417">
        <f t="shared" si="43"/>
        <v>0.42011266061119279</v>
      </c>
      <c r="AO107" s="417">
        <f t="shared" si="44"/>
        <v>0.31471738460171017</v>
      </c>
      <c r="AP107" s="417">
        <f t="shared" si="45"/>
        <v>7.4490877934688157E-2</v>
      </c>
      <c r="AQ107" s="417">
        <f t="shared" si="46"/>
        <v>1.0000000000000002</v>
      </c>
      <c r="AR107" s="1086">
        <f t="shared" si="14"/>
        <v>781.77006592112741</v>
      </c>
      <c r="AS107" s="938">
        <f t="shared" si="15"/>
        <v>991.49594101467198</v>
      </c>
      <c r="AT107" s="938">
        <f t="shared" si="16"/>
        <v>240.61446429666105</v>
      </c>
      <c r="AU107" s="938">
        <f t="shared" si="17"/>
        <v>0</v>
      </c>
      <c r="AV107" s="938">
        <f t="shared" si="18"/>
        <v>0</v>
      </c>
      <c r="AW107" s="938">
        <f t="shared" si="19"/>
        <v>0</v>
      </c>
      <c r="AX107" s="938">
        <f t="shared" si="20"/>
        <v>1463.9040372263819</v>
      </c>
      <c r="AY107" s="938">
        <f t="shared" si="21"/>
        <v>139.54678704642032</v>
      </c>
      <c r="AZ107" s="938">
        <f t="shared" si="22"/>
        <v>96.488323147320216</v>
      </c>
      <c r="BA107" s="938">
        <f t="shared" si="23"/>
        <v>128.26119867713939</v>
      </c>
      <c r="BB107" s="938">
        <f t="shared" si="24"/>
        <v>58.33020135655503</v>
      </c>
      <c r="BC107" s="530">
        <f t="shared" si="47"/>
        <v>3900.4110186862772</v>
      </c>
      <c r="BD107" s="724">
        <f t="shared" si="48"/>
        <v>0</v>
      </c>
      <c r="BE107" s="436">
        <f t="shared" si="49"/>
        <v>0.20043273956918531</v>
      </c>
      <c r="BF107" s="624">
        <f t="shared" si="50"/>
        <v>0.25420293816845596</v>
      </c>
      <c r="BG107" s="624">
        <f t="shared" si="51"/>
        <v>6.1689515064928716E-2</v>
      </c>
      <c r="BH107" s="624">
        <f t="shared" si="52"/>
        <v>0</v>
      </c>
      <c r="BI107" s="624">
        <f t="shared" si="53"/>
        <v>0</v>
      </c>
      <c r="BJ107" s="624">
        <f t="shared" si="54"/>
        <v>0</v>
      </c>
      <c r="BK107" s="624">
        <f t="shared" si="55"/>
        <v>0.48367480719743011</v>
      </c>
      <c r="BL107" s="624">
        <f t="shared" si="56"/>
        <v>1</v>
      </c>
      <c r="BM107" s="649">
        <f t="shared" si="82"/>
        <v>0.29028184578274857</v>
      </c>
      <c r="BN107" s="417">
        <f t="shared" si="57"/>
        <v>0.30317187715157518</v>
      </c>
      <c r="BO107" s="417">
        <f t="shared" si="57"/>
        <v>8.2805443243048754E-2</v>
      </c>
      <c r="BP107" s="417">
        <f t="shared" si="57"/>
        <v>0</v>
      </c>
      <c r="BQ107" s="417">
        <f t="shared" si="57"/>
        <v>0</v>
      </c>
      <c r="BR107" s="417">
        <f t="shared" si="57"/>
        <v>0</v>
      </c>
      <c r="BS107" s="417">
        <f t="shared" si="57"/>
        <v>0.32374083382262742</v>
      </c>
      <c r="BT107" s="525">
        <f t="shared" si="83"/>
        <v>0.99999999999999989</v>
      </c>
      <c r="BU107" s="1"/>
      <c r="BV107" s="527">
        <f t="shared" si="58"/>
        <v>84.714299917584299</v>
      </c>
      <c r="BW107" s="114">
        <f t="shared" si="59"/>
        <v>0.58861328543473979</v>
      </c>
      <c r="BX107" s="1695">
        <f t="shared" si="25"/>
        <v>45.641833264745635</v>
      </c>
      <c r="BY107" s="527">
        <f t="shared" si="60"/>
        <v>84.714299917584299</v>
      </c>
      <c r="BZ107" s="417">
        <f t="shared" si="61"/>
        <v>0.58861328543473979</v>
      </c>
      <c r="CA107" s="544">
        <f t="shared" si="26"/>
        <v>45.641833264745635</v>
      </c>
      <c r="CB107" s="649">
        <f t="shared" si="27"/>
        <v>0.24719384179753368</v>
      </c>
      <c r="CC107" s="525">
        <f t="shared" si="62"/>
        <v>0.26611459038514973</v>
      </c>
      <c r="CD107" s="417">
        <f t="shared" si="28"/>
        <v>0.24719384179753368</v>
      </c>
      <c r="CE107" s="525">
        <f t="shared" si="63"/>
        <v>0.26611459038514973</v>
      </c>
      <c r="CF107" s="1"/>
      <c r="CG107" s="527">
        <f t="shared" si="64"/>
        <v>1630.0237748349339</v>
      </c>
      <c r="CH107" s="528">
        <f t="shared" si="65"/>
        <v>700.49209759758685</v>
      </c>
      <c r="CI107" s="528">
        <f t="shared" si="66"/>
        <v>2709.0556551919217</v>
      </c>
      <c r="CJ107" s="528">
        <f t="shared" si="67"/>
        <v>3510.6225897356312</v>
      </c>
      <c r="CK107" s="528">
        <f t="shared" si="68"/>
        <v>43.365687871397228</v>
      </c>
      <c r="CL107" s="528">
        <f t="shared" si="69"/>
        <v>8593.5598052314708</v>
      </c>
      <c r="CM107" s="646">
        <f t="shared" si="70"/>
        <v>0</v>
      </c>
    </row>
    <row r="108" spans="1:91" s="4" customFormat="1">
      <c r="A108" s="150">
        <f>'Input data'!A128</f>
        <v>2028</v>
      </c>
      <c r="B108" s="1508">
        <f>'Input data'!B128</f>
        <v>64.676158618096451</v>
      </c>
      <c r="C108" s="1509">
        <f>'Input data'!C128</f>
        <v>3555.7273448150845</v>
      </c>
      <c r="D108" s="1509">
        <f>'Input data'!D128</f>
        <v>44757313.865039073</v>
      </c>
      <c r="E108" s="1457">
        <f t="shared" si="71"/>
        <v>0.9561230769230773</v>
      </c>
      <c r="F108" s="1451">
        <f t="shared" si="72"/>
        <v>0.35530384615384603</v>
      </c>
      <c r="G108" s="1556">
        <f>B108*F108*'Input data'!$C$9</f>
        <v>703.34138624405773</v>
      </c>
      <c r="H108" s="1551">
        <f>'Input data'!I128</f>
        <v>424.26313389388866</v>
      </c>
      <c r="I108" s="1559">
        <f>'Input data'!K128</f>
        <v>27439.709743531836</v>
      </c>
      <c r="J108" s="1559">
        <f>($J$112-$J$107)/($A$112-$A$107)+J107</f>
        <v>3566.0900742274539</v>
      </c>
      <c r="K108" s="1513">
        <f t="shared" si="73"/>
        <v>9185.6492543829336</v>
      </c>
      <c r="L108" s="1506">
        <f t="shared" si="74"/>
        <v>0.68153846153846187</v>
      </c>
      <c r="M108" s="1506">
        <f t="shared" si="29"/>
        <v>0.57492307692307676</v>
      </c>
      <c r="N108" s="1506">
        <f t="shared" si="75"/>
        <v>0.87107692307692264</v>
      </c>
      <c r="O108" s="1506">
        <f t="shared" si="76"/>
        <v>0.88461538461538436</v>
      </c>
      <c r="P108" s="1451">
        <f t="shared" si="30"/>
        <v>0.23600000000000002</v>
      </c>
      <c r="Q108" s="1510">
        <f t="shared" si="31"/>
        <v>248.60609946091267</v>
      </c>
      <c r="R108" s="1511">
        <f t="shared" si="32"/>
        <v>173.48506301356042</v>
      </c>
      <c r="S108" s="1511">
        <f t="shared" si="33"/>
        <v>508.03610967182613</v>
      </c>
      <c r="T108" s="1511">
        <f t="shared" si="34"/>
        <v>342.07971295872221</v>
      </c>
      <c r="U108" s="1513">
        <f t="shared" si="35"/>
        <v>0</v>
      </c>
      <c r="V108" s="1511">
        <f t="shared" si="9"/>
        <v>1272.2069851050214</v>
      </c>
      <c r="W108" s="1456">
        <f>W107</f>
        <v>0.5</v>
      </c>
      <c r="X108" s="530">
        <f t="shared" si="36"/>
        <v>3033.4854703020706</v>
      </c>
      <c r="Y108" s="528">
        <f t="shared" si="77"/>
        <v>4305.692455407092</v>
      </c>
      <c r="Z108" s="528">
        <f t="shared" si="78"/>
        <v>8446.046873203295</v>
      </c>
      <c r="AA108" s="530">
        <f t="shared" si="79"/>
        <v>4879.9567989758416</v>
      </c>
      <c r="AB108" s="1091">
        <f t="shared" si="37"/>
        <v>0.57777998065088187</v>
      </c>
      <c r="AC108" s="135" t="str">
        <f t="shared" si="38"/>
        <v>Yes</v>
      </c>
      <c r="AD108" s="1091">
        <f t="shared" si="39"/>
        <v>0.57777998065088187</v>
      </c>
      <c r="AE108" s="649">
        <f t="shared" si="10"/>
        <v>0.26366335378378059</v>
      </c>
      <c r="AF108" s="530">
        <f t="shared" si="11"/>
        <v>312.40049312460883</v>
      </c>
      <c r="AG108" s="527">
        <f t="shared" si="40"/>
        <v>3566.0900742274539</v>
      </c>
      <c r="AH108" s="528">
        <f t="shared" si="80"/>
        <v>8793.8310253748859</v>
      </c>
      <c r="AI108" s="528">
        <f t="shared" si="81"/>
        <v>6437.6604656145792</v>
      </c>
      <c r="AJ108" s="528">
        <f t="shared" si="12"/>
        <v>1407.2822804818311</v>
      </c>
      <c r="AK108" s="528">
        <f t="shared" si="41"/>
        <v>20204.86384569875</v>
      </c>
      <c r="AL108" s="716">
        <f t="shared" si="13"/>
        <v>0</v>
      </c>
      <c r="AM108" s="417">
        <f t="shared" si="42"/>
        <v>0.17649661494683172</v>
      </c>
      <c r="AN108" s="417">
        <f t="shared" si="43"/>
        <v>0.43523337214900032</v>
      </c>
      <c r="AO108" s="417">
        <f t="shared" si="44"/>
        <v>0.31861934407368159</v>
      </c>
      <c r="AP108" s="417">
        <f t="shared" si="45"/>
        <v>6.9650668830486373E-2</v>
      </c>
      <c r="AQ108" s="417">
        <f t="shared" si="46"/>
        <v>1</v>
      </c>
      <c r="AR108" s="1086">
        <f t="shared" si="14"/>
        <v>727.5808817642037</v>
      </c>
      <c r="AS108" s="938">
        <f t="shared" si="15"/>
        <v>922.76939534528663</v>
      </c>
      <c r="AT108" s="938">
        <f t="shared" si="16"/>
        <v>212.68239320588384</v>
      </c>
      <c r="AU108" s="938">
        <f t="shared" si="17"/>
        <v>0</v>
      </c>
      <c r="AV108" s="938">
        <f t="shared" si="18"/>
        <v>0</v>
      </c>
      <c r="AW108" s="938">
        <f t="shared" si="19"/>
        <v>0</v>
      </c>
      <c r="AX108" s="938">
        <f t="shared" si="20"/>
        <v>1352.0208874197656</v>
      </c>
      <c r="AY108" s="938">
        <f t="shared" si="21"/>
        <v>122.22252761803277</v>
      </c>
      <c r="AZ108" s="938">
        <f t="shared" si="22"/>
        <v>69.613646514132711</v>
      </c>
      <c r="BA108" s="938">
        <f t="shared" si="23"/>
        <v>105.32819733151315</v>
      </c>
      <c r="BB108" s="938">
        <f t="shared" si="24"/>
        <v>53.872145028634442</v>
      </c>
      <c r="BC108" s="530">
        <f t="shared" si="47"/>
        <v>3566.090074227453</v>
      </c>
      <c r="BD108" s="724">
        <f t="shared" si="48"/>
        <v>0</v>
      </c>
      <c r="BE108" s="436">
        <f t="shared" si="49"/>
        <v>0.20402762314460737</v>
      </c>
      <c r="BF108" s="624">
        <f t="shared" si="50"/>
        <v>0.25876222308972174</v>
      </c>
      <c r="BG108" s="624">
        <f t="shared" si="51"/>
        <v>5.9640219057551069E-2</v>
      </c>
      <c r="BH108" s="624">
        <f t="shared" si="52"/>
        <v>0</v>
      </c>
      <c r="BI108" s="624">
        <f t="shared" si="53"/>
        <v>0</v>
      </c>
      <c r="BJ108" s="624">
        <f t="shared" si="54"/>
        <v>0</v>
      </c>
      <c r="BK108" s="624">
        <f t="shared" si="55"/>
        <v>0.47756993470811976</v>
      </c>
      <c r="BL108" s="624">
        <f t="shared" si="56"/>
        <v>1</v>
      </c>
      <c r="BM108" s="649">
        <f t="shared" si="82"/>
        <v>0.29028184578274857</v>
      </c>
      <c r="BN108" s="417">
        <f t="shared" si="57"/>
        <v>0.30317187715157518</v>
      </c>
      <c r="BO108" s="417">
        <f t="shared" si="57"/>
        <v>8.2805443243048754E-2</v>
      </c>
      <c r="BP108" s="417">
        <f t="shared" si="57"/>
        <v>0</v>
      </c>
      <c r="BQ108" s="417">
        <f t="shared" si="57"/>
        <v>0</v>
      </c>
      <c r="BR108" s="417">
        <f t="shared" si="57"/>
        <v>0</v>
      </c>
      <c r="BS108" s="417">
        <f t="shared" si="57"/>
        <v>0.32374083382262742</v>
      </c>
      <c r="BT108" s="525">
        <f t="shared" si="83"/>
        <v>0.99999999999999989</v>
      </c>
      <c r="BU108"/>
      <c r="BV108" s="527">
        <f t="shared" si="58"/>
        <v>84.007051611717188</v>
      </c>
      <c r="BW108" s="114">
        <f t="shared" si="59"/>
        <v>0.61014019370274497</v>
      </c>
      <c r="BX108" s="1695">
        <f t="shared" si="25"/>
        <v>44.757313865039073</v>
      </c>
      <c r="BY108" s="527">
        <f t="shared" si="60"/>
        <v>84.007051611717188</v>
      </c>
      <c r="BZ108" s="417">
        <f t="shared" si="61"/>
        <v>0.61014019370274497</v>
      </c>
      <c r="CA108" s="544">
        <f t="shared" si="26"/>
        <v>44.757313865039073</v>
      </c>
      <c r="CB108" s="649">
        <f t="shared" si="27"/>
        <v>0.26366335378378059</v>
      </c>
      <c r="CC108" s="525">
        <f t="shared" si="62"/>
        <v>0.27232153985756047</v>
      </c>
      <c r="CD108" s="417">
        <f t="shared" si="28"/>
        <v>0.26366335378378059</v>
      </c>
      <c r="CE108" s="525">
        <f t="shared" si="63"/>
        <v>0.27232153985756047</v>
      </c>
      <c r="CF108"/>
      <c r="CG108" s="527">
        <f t="shared" si="64"/>
        <v>1668.6742736543031</v>
      </c>
      <c r="CH108" s="528">
        <f t="shared" si="65"/>
        <v>723.16082596952128</v>
      </c>
      <c r="CI108" s="528">
        <f t="shared" si="66"/>
        <v>2781.9153316846123</v>
      </c>
      <c r="CJ108" s="528">
        <f t="shared" si="67"/>
        <v>3576.2879082048339</v>
      </c>
      <c r="CK108" s="528">
        <f t="shared" si="68"/>
        <v>43.792685861614679</v>
      </c>
      <c r="CL108" s="528">
        <f t="shared" si="69"/>
        <v>8793.8310253748841</v>
      </c>
      <c r="CM108" s="646">
        <f t="shared" si="70"/>
        <v>0</v>
      </c>
    </row>
    <row r="109" spans="1:91" s="4" customFormat="1">
      <c r="A109" s="150">
        <f>'Input data'!A129</f>
        <v>2029</v>
      </c>
      <c r="B109" s="1508">
        <f>'Input data'!B129</f>
        <v>65.31298905018393</v>
      </c>
      <c r="C109" s="1509">
        <f>'Input data'!C129</f>
        <v>3635.303730869829</v>
      </c>
      <c r="D109" s="1509">
        <f>'Input data'!D129</f>
        <v>43023314.860788628</v>
      </c>
      <c r="E109" s="1457">
        <f t="shared" si="71"/>
        <v>0.97806153846153887</v>
      </c>
      <c r="F109" s="1451">
        <f t="shared" si="72"/>
        <v>0.36127692307692294</v>
      </c>
      <c r="G109" s="1556">
        <f>B109*F109*'Input data'!$C$9</f>
        <v>722.20722367827375</v>
      </c>
      <c r="H109" s="1551">
        <f>'Input data'!I129</f>
        <v>424.26313389388866</v>
      </c>
      <c r="I109" s="1559">
        <f>'Input data'!K129</f>
        <v>27709.893418408268</v>
      </c>
      <c r="J109" s="1559">
        <f t="shared" ref="J109:J111" si="85">($J$112-$J$107)/($A$112-$A$107)+J108</f>
        <v>3231.7691297686301</v>
      </c>
      <c r="K109" s="1513">
        <f t="shared" si="73"/>
        <v>9645.5295369350624</v>
      </c>
      <c r="L109" s="1506">
        <f t="shared" si="74"/>
        <v>0.69076923076923114</v>
      </c>
      <c r="M109" s="1506">
        <f>($M$110-$M$97)/($A$110-$A$97)+M108</f>
        <v>0.58746153846153826</v>
      </c>
      <c r="N109" s="1506">
        <f t="shared" si="75"/>
        <v>0.88553846153846105</v>
      </c>
      <c r="O109" s="1506">
        <f t="shared" si="76"/>
        <v>0.89230769230769202</v>
      </c>
      <c r="P109" s="1451">
        <f t="shared" si="30"/>
        <v>0.23600000000000002</v>
      </c>
      <c r="Q109" s="1510">
        <f t="shared" si="31"/>
        <v>273.87707617034994</v>
      </c>
      <c r="R109" s="1511">
        <f t="shared" si="32"/>
        <v>191.11993599679636</v>
      </c>
      <c r="S109" s="1511">
        <f t="shared" si="33"/>
        <v>559.67832087625584</v>
      </c>
      <c r="T109" s="1511">
        <f t="shared" si="34"/>
        <v>376.85234515759566</v>
      </c>
      <c r="U109" s="1513">
        <f t="shared" si="35"/>
        <v>0</v>
      </c>
      <c r="V109" s="1511">
        <f t="shared" si="9"/>
        <v>1401.5276782009978</v>
      </c>
      <c r="W109" s="1456">
        <f t="shared" ref="W109:W130" si="86">W108</f>
        <v>0.5</v>
      </c>
      <c r="X109" s="530">
        <f t="shared" si="36"/>
        <v>3033.4854703020706</v>
      </c>
      <c r="Y109" s="528">
        <f t="shared" si="77"/>
        <v>4435.0131485030688</v>
      </c>
      <c r="Z109" s="528">
        <f t="shared" si="78"/>
        <v>8442.2855182006242</v>
      </c>
      <c r="AA109" s="530">
        <f t="shared" si="79"/>
        <v>5210.5163884319936</v>
      </c>
      <c r="AB109" s="1091">
        <f t="shared" si="37"/>
        <v>0.61719262837044575</v>
      </c>
      <c r="AC109" s="135" t="str">
        <f t="shared" si="38"/>
        <v>Yes</v>
      </c>
      <c r="AD109" s="1091">
        <f t="shared" si="39"/>
        <v>0.61719262837044575</v>
      </c>
      <c r="AE109" s="649">
        <f t="shared" si="10"/>
        <v>0.27985563375052358</v>
      </c>
      <c r="AF109" s="530">
        <f t="shared" si="11"/>
        <v>305.53070568103118</v>
      </c>
      <c r="AG109" s="527">
        <f t="shared" si="40"/>
        <v>3231.7691297686301</v>
      </c>
      <c r="AH109" s="528">
        <f t="shared" si="80"/>
        <v>8997.2129983908544</v>
      </c>
      <c r="AI109" s="528">
        <f t="shared" si="81"/>
        <v>6437.6604656145792</v>
      </c>
      <c r="AJ109" s="528">
        <f t="shared" si="12"/>
        <v>1288.4810408660949</v>
      </c>
      <c r="AK109" s="528">
        <f t="shared" si="41"/>
        <v>19955.12363464016</v>
      </c>
      <c r="AL109" s="716">
        <f t="shared" si="13"/>
        <v>0</v>
      </c>
      <c r="AM109" s="417">
        <f t="shared" si="42"/>
        <v>0.161951847001268</v>
      </c>
      <c r="AN109" s="417">
        <f t="shared" si="43"/>
        <v>0.45087232547998674</v>
      </c>
      <c r="AO109" s="417">
        <f t="shared" si="44"/>
        <v>0.32260689452404218</v>
      </c>
      <c r="AP109" s="417">
        <f t="shared" si="45"/>
        <v>6.456893299470301E-2</v>
      </c>
      <c r="AQ109" s="417">
        <f t="shared" si="46"/>
        <v>1</v>
      </c>
      <c r="AR109" s="1086">
        <f t="shared" si="14"/>
        <v>671.20018188498921</v>
      </c>
      <c r="AS109" s="938">
        <f t="shared" si="15"/>
        <v>851.26341485479361</v>
      </c>
      <c r="AT109" s="938">
        <f t="shared" si="16"/>
        <v>185.99112990290195</v>
      </c>
      <c r="AU109" s="938">
        <f t="shared" si="17"/>
        <v>0</v>
      </c>
      <c r="AV109" s="938">
        <f t="shared" si="18"/>
        <v>0</v>
      </c>
      <c r="AW109" s="938">
        <f t="shared" si="19"/>
        <v>0</v>
      </c>
      <c r="AX109" s="938">
        <f t="shared" si="20"/>
        <v>1237.8847545063022</v>
      </c>
      <c r="AY109" s="938">
        <f t="shared" si="21"/>
        <v>105.80779139698581</v>
      </c>
      <c r="AZ109" s="938">
        <f t="shared" si="22"/>
        <v>45.882855936635217</v>
      </c>
      <c r="BA109" s="938">
        <f t="shared" si="23"/>
        <v>84.414684151566917</v>
      </c>
      <c r="BB109" s="938">
        <f t="shared" si="24"/>
        <v>49.324317134454468</v>
      </c>
      <c r="BC109" s="530">
        <f t="shared" si="47"/>
        <v>3231.7691297686292</v>
      </c>
      <c r="BD109" s="724">
        <f t="shared" si="48"/>
        <v>0</v>
      </c>
      <c r="BE109" s="436">
        <f t="shared" si="49"/>
        <v>0.20768815931261841</v>
      </c>
      <c r="BF109" s="624">
        <f t="shared" si="50"/>
        <v>0.26340477325982065</v>
      </c>
      <c r="BG109" s="624">
        <f t="shared" si="51"/>
        <v>5.7550871499356622E-2</v>
      </c>
      <c r="BH109" s="624">
        <f t="shared" si="52"/>
        <v>0</v>
      </c>
      <c r="BI109" s="624">
        <f t="shared" si="53"/>
        <v>0</v>
      </c>
      <c r="BJ109" s="624">
        <f t="shared" si="54"/>
        <v>0</v>
      </c>
      <c r="BK109" s="624">
        <f t="shared" si="55"/>
        <v>0.47135619592820438</v>
      </c>
      <c r="BL109" s="624">
        <f t="shared" si="56"/>
        <v>1</v>
      </c>
      <c r="BM109" s="649">
        <f t="shared" si="82"/>
        <v>0.29028184578274857</v>
      </c>
      <c r="BN109" s="417">
        <f t="shared" si="57"/>
        <v>0.30317187715157518</v>
      </c>
      <c r="BO109" s="417">
        <f t="shared" si="57"/>
        <v>8.2805443243048754E-2</v>
      </c>
      <c r="BP109" s="417">
        <f t="shared" si="57"/>
        <v>0</v>
      </c>
      <c r="BQ109" s="417">
        <f t="shared" si="57"/>
        <v>0</v>
      </c>
      <c r="BR109" s="417">
        <f t="shared" si="57"/>
        <v>0</v>
      </c>
      <c r="BS109" s="417">
        <f t="shared" si="57"/>
        <v>0.32374083382262742</v>
      </c>
      <c r="BT109" s="525">
        <f t="shared" si="83"/>
        <v>0.99999999999999989</v>
      </c>
      <c r="BU109"/>
      <c r="BV109" s="527">
        <f t="shared" si="58"/>
        <v>82.432704697692955</v>
      </c>
      <c r="BW109" s="114">
        <f t="shared" si="59"/>
        <v>0.63405469836360973</v>
      </c>
      <c r="BX109" s="1695">
        <f t="shared" si="25"/>
        <v>43.023314860788631</v>
      </c>
      <c r="BY109" s="527">
        <f t="shared" si="60"/>
        <v>82.432704697692955</v>
      </c>
      <c r="BZ109" s="417">
        <f t="shared" si="61"/>
        <v>0.63405469836360973</v>
      </c>
      <c r="CA109" s="544">
        <f t="shared" si="26"/>
        <v>43.023314860788631</v>
      </c>
      <c r="CB109" s="649">
        <f t="shared" si="27"/>
        <v>0.27985563375052358</v>
      </c>
      <c r="CC109" s="525">
        <f t="shared" si="62"/>
        <v>0.28108743763378785</v>
      </c>
      <c r="CD109" s="417">
        <f t="shared" si="28"/>
        <v>0.27985563375052358</v>
      </c>
      <c r="CE109" s="525">
        <f t="shared" si="63"/>
        <v>0.28108743763378785</v>
      </c>
      <c r="CF109"/>
      <c r="CG109" s="527">
        <f t="shared" si="64"/>
        <v>1707.9278777845379</v>
      </c>
      <c r="CH109" s="528">
        <f t="shared" si="65"/>
        <v>746.2080527645885</v>
      </c>
      <c r="CI109" s="528">
        <f t="shared" si="66"/>
        <v>2855.9471763862912</v>
      </c>
      <c r="CJ109" s="528">
        <f t="shared" si="67"/>
        <v>3642.9060031901004</v>
      </c>
      <c r="CK109" s="528">
        <f t="shared" si="68"/>
        <v>44.223888265335049</v>
      </c>
      <c r="CL109" s="528">
        <f t="shared" si="69"/>
        <v>8997.2129983908526</v>
      </c>
      <c r="CM109" s="646">
        <f t="shared" si="70"/>
        <v>0</v>
      </c>
    </row>
    <row r="110" spans="1:91" s="464" customFormat="1">
      <c r="A110" s="150">
        <f>'Input data'!A130</f>
        <v>2030</v>
      </c>
      <c r="B110" s="1508">
        <f>'Input data'!B130</f>
        <v>65.956090000000003</v>
      </c>
      <c r="C110" s="1509">
        <f>'Input data'!C130</f>
        <v>3717.2759118719223</v>
      </c>
      <c r="D110" s="1509">
        <f>'Input data'!D130</f>
        <v>41579903.969008513</v>
      </c>
      <c r="E110" s="1457">
        <f>C52</f>
        <v>1</v>
      </c>
      <c r="F110" s="1451">
        <f>D52</f>
        <v>0.36725000000000002</v>
      </c>
      <c r="G110" s="1556">
        <f>B110*F110*'Input data'!$C$9</f>
        <v>741.37639335418953</v>
      </c>
      <c r="H110" s="1551">
        <f>'Input data'!I130</f>
        <v>424.26313389388866</v>
      </c>
      <c r="I110" s="1559">
        <f>'Input data'!K130</f>
        <v>27982.737442787373</v>
      </c>
      <c r="J110" s="1559">
        <f t="shared" si="85"/>
        <v>2897.4481853098064</v>
      </c>
      <c r="K110" s="1513">
        <f t="shared" si="73"/>
        <v>10106.646132979506</v>
      </c>
      <c r="L110" s="1451">
        <f>C19</f>
        <v>0.7</v>
      </c>
      <c r="M110" s="1451">
        <f>D19</f>
        <v>0.6</v>
      </c>
      <c r="N110" s="1451">
        <f>E19</f>
        <v>0.9</v>
      </c>
      <c r="O110" s="1451">
        <f>F19</f>
        <v>0.9</v>
      </c>
      <c r="P110" s="1451">
        <f>G19</f>
        <v>0.23600000000000002</v>
      </c>
      <c r="Q110" s="1510">
        <f t="shared" si="31"/>
        <v>299.62160860317135</v>
      </c>
      <c r="R110" s="1511">
        <f t="shared" si="32"/>
        <v>209.08527088217454</v>
      </c>
      <c r="S110" s="1511">
        <f t="shared" si="33"/>
        <v>612.28826138396289</v>
      </c>
      <c r="T110" s="1511">
        <f t="shared" si="34"/>
        <v>412.27658568899597</v>
      </c>
      <c r="U110" s="1513">
        <f t="shared" si="35"/>
        <v>0</v>
      </c>
      <c r="V110" s="1511">
        <f t="shared" si="9"/>
        <v>1533.2717265583046</v>
      </c>
      <c r="W110" s="1456">
        <f t="shared" si="86"/>
        <v>0.5</v>
      </c>
      <c r="X110" s="530">
        <f t="shared" si="36"/>
        <v>3033.4854703020706</v>
      </c>
      <c r="Y110" s="528">
        <f t="shared" si="77"/>
        <v>4566.7571968603752</v>
      </c>
      <c r="Z110" s="528">
        <f t="shared" si="78"/>
        <v>8437.3371214289364</v>
      </c>
      <c r="AA110" s="530">
        <f t="shared" si="79"/>
        <v>5539.8889361191304</v>
      </c>
      <c r="AB110" s="1091">
        <f t="shared" si="37"/>
        <v>0.65659210440330285</v>
      </c>
      <c r="AC110" s="135" t="str">
        <f t="shared" si="38"/>
        <v>Yes</v>
      </c>
      <c r="AD110" s="1091">
        <f t="shared" si="39"/>
        <v>0.65659210440330285</v>
      </c>
      <c r="AE110" s="649">
        <f t="shared" si="10"/>
        <v>0.29577637461695849</v>
      </c>
      <c r="AF110" s="530">
        <f t="shared" si="11"/>
        <v>298.77612226712506</v>
      </c>
      <c r="AG110" s="527">
        <f t="shared" si="40"/>
        <v>2897.4481853098064</v>
      </c>
      <c r="AH110" s="528">
        <f t="shared" si="80"/>
        <v>9203.7475672090277</v>
      </c>
      <c r="AI110" s="528">
        <f t="shared" si="81"/>
        <v>6437.6604656145792</v>
      </c>
      <c r="AJ110" s="528">
        <f t="shared" si="12"/>
        <v>1167.2485919680901</v>
      </c>
      <c r="AK110" s="528">
        <f t="shared" si="41"/>
        <v>19706.104810101504</v>
      </c>
      <c r="AL110" s="716">
        <f t="shared" si="13"/>
        <v>0</v>
      </c>
      <c r="AM110" s="417">
        <f t="shared" si="42"/>
        <v>0.1470330241938301</v>
      </c>
      <c r="AN110" s="417">
        <f t="shared" si="43"/>
        <v>0.46705057422058949</v>
      </c>
      <c r="AO110" s="417">
        <f t="shared" si="44"/>
        <v>0.32668355962029511</v>
      </c>
      <c r="AP110" s="417">
        <f t="shared" si="45"/>
        <v>5.9232841965285256E-2</v>
      </c>
      <c r="AQ110" s="417">
        <f t="shared" si="46"/>
        <v>1</v>
      </c>
      <c r="AR110" s="1086">
        <f t="shared" si="14"/>
        <v>612.56940461047054</v>
      </c>
      <c r="AS110" s="938">
        <f t="shared" si="15"/>
        <v>776.90372749873484</v>
      </c>
      <c r="AT110" s="938">
        <f t="shared" si="16"/>
        <v>160.57652818153852</v>
      </c>
      <c r="AU110" s="938">
        <f t="shared" si="17"/>
        <v>0</v>
      </c>
      <c r="AV110" s="938">
        <f t="shared" si="18"/>
        <v>0</v>
      </c>
      <c r="AW110" s="938">
        <f t="shared" si="19"/>
        <v>0</v>
      </c>
      <c r="AX110" s="938">
        <f t="shared" si="20"/>
        <v>1121.4128814382834</v>
      </c>
      <c r="AY110" s="938">
        <f t="shared" si="21"/>
        <v>90.329201598007003</v>
      </c>
      <c r="AZ110" s="938">
        <f t="shared" si="22"/>
        <v>25.391562301128037</v>
      </c>
      <c r="BA110" s="938">
        <f t="shared" si="23"/>
        <v>65.581459515614853</v>
      </c>
      <c r="BB110" s="938">
        <f t="shared" si="24"/>
        <v>44.683420166026991</v>
      </c>
      <c r="BC110" s="530">
        <f t="shared" si="47"/>
        <v>2897.4481853098041</v>
      </c>
      <c r="BD110" s="724">
        <f t="shared" si="48"/>
        <v>0</v>
      </c>
      <c r="BE110" s="436">
        <f t="shared" si="49"/>
        <v>0.21141686250550593</v>
      </c>
      <c r="BF110" s="624">
        <f t="shared" si="50"/>
        <v>0.26813377765913904</v>
      </c>
      <c r="BG110" s="624">
        <f t="shared" si="51"/>
        <v>5.541998265772928E-2</v>
      </c>
      <c r="BH110" s="624">
        <f t="shared" si="52"/>
        <v>0</v>
      </c>
      <c r="BI110" s="624">
        <f t="shared" si="53"/>
        <v>0</v>
      </c>
      <c r="BJ110" s="624">
        <f t="shared" si="54"/>
        <v>0</v>
      </c>
      <c r="BK110" s="624">
        <f t="shared" si="55"/>
        <v>0.46502937717762582</v>
      </c>
      <c r="BL110" s="624">
        <f t="shared" si="56"/>
        <v>1</v>
      </c>
      <c r="BM110" s="649">
        <f t="shared" si="82"/>
        <v>0.29028184578274857</v>
      </c>
      <c r="BN110" s="417">
        <f t="shared" si="57"/>
        <v>0.30317187715157518</v>
      </c>
      <c r="BO110" s="417">
        <f t="shared" si="57"/>
        <v>8.2805443243048754E-2</v>
      </c>
      <c r="BP110" s="417">
        <f t="shared" si="57"/>
        <v>0</v>
      </c>
      <c r="BQ110" s="417">
        <f t="shared" si="57"/>
        <v>0</v>
      </c>
      <c r="BR110" s="417">
        <f t="shared" si="57"/>
        <v>0</v>
      </c>
      <c r="BS110" s="417">
        <f t="shared" si="57"/>
        <v>0.32374083382262742</v>
      </c>
      <c r="BT110" s="525">
        <f t="shared" si="83"/>
        <v>0.99999999999999989</v>
      </c>
      <c r="BU110" s="1"/>
      <c r="BV110" s="527">
        <f t="shared" si="58"/>
        <v>81.161992798500165</v>
      </c>
      <c r="BW110" s="114">
        <f t="shared" si="59"/>
        <v>0.65691588381958144</v>
      </c>
      <c r="BX110" s="1695">
        <f t="shared" si="25"/>
        <v>41.579903969008512</v>
      </c>
      <c r="BY110" s="527">
        <f t="shared" si="60"/>
        <v>81.161992798500165</v>
      </c>
      <c r="BZ110" s="417">
        <f t="shared" si="61"/>
        <v>0.65691588381958144</v>
      </c>
      <c r="CA110" s="544">
        <f t="shared" si="26"/>
        <v>41.579903969008512</v>
      </c>
      <c r="CB110" s="649">
        <f t="shared" si="27"/>
        <v>0.29577637461695849</v>
      </c>
      <c r="CC110" s="525">
        <f t="shared" si="62"/>
        <v>0.28913089147421367</v>
      </c>
      <c r="CD110" s="417">
        <f t="shared" si="28"/>
        <v>0.29577637461695849</v>
      </c>
      <c r="CE110" s="525">
        <f t="shared" si="63"/>
        <v>0.28913089147421367</v>
      </c>
      <c r="CF110" s="1"/>
      <c r="CG110" s="527">
        <f t="shared" si="64"/>
        <v>1747.7927168518324</v>
      </c>
      <c r="CH110" s="528">
        <f t="shared" si="65"/>
        <v>769.63903392211466</v>
      </c>
      <c r="CI110" s="528">
        <f t="shared" si="66"/>
        <v>2931.1672087530142</v>
      </c>
      <c r="CJ110" s="528">
        <f t="shared" si="67"/>
        <v>3710.4892712009678</v>
      </c>
      <c r="CK110" s="528">
        <f t="shared" si="68"/>
        <v>44.65933648109722</v>
      </c>
      <c r="CL110" s="528">
        <f t="shared" si="69"/>
        <v>9203.7475672090259</v>
      </c>
      <c r="CM110" s="646">
        <f t="shared" si="70"/>
        <v>0</v>
      </c>
    </row>
    <row r="111" spans="1:91" s="4" customFormat="1">
      <c r="A111" s="150">
        <f>'Input data'!A131</f>
        <v>2031</v>
      </c>
      <c r="B111" s="1508">
        <f>'Input data'!B131</f>
        <v>66.518977190687664</v>
      </c>
      <c r="C111" s="1509">
        <f>'Input data'!C131</f>
        <v>3813.477009093895</v>
      </c>
      <c r="D111" s="1509">
        <f>'Input data'!D131</f>
        <v>40172018.684421316</v>
      </c>
      <c r="E111" s="1457">
        <f>E110</f>
        <v>1</v>
      </c>
      <c r="F111" s="1451">
        <f>F110</f>
        <v>0.36725000000000002</v>
      </c>
      <c r="G111" s="1556">
        <f>B111*F111*'Input data'!$C$9</f>
        <v>747.70350090858369</v>
      </c>
      <c r="H111" s="1551">
        <f>'Input data'!I131</f>
        <v>424.26313389388866</v>
      </c>
      <c r="I111" s="1559">
        <f>'Input data'!K131</f>
        <v>28221.549726337245</v>
      </c>
      <c r="J111" s="1559">
        <f t="shared" si="85"/>
        <v>2563.1272408509826</v>
      </c>
      <c r="K111" s="1513">
        <f t="shared" si="73"/>
        <v>10551.947551239295</v>
      </c>
      <c r="L111" s="1451">
        <f>L110</f>
        <v>0.7</v>
      </c>
      <c r="M111" s="1451">
        <f t="shared" ref="M111:P126" si="87">M110</f>
        <v>0.6</v>
      </c>
      <c r="N111" s="1451">
        <f t="shared" si="87"/>
        <v>0.9</v>
      </c>
      <c r="O111" s="1451">
        <f t="shared" si="87"/>
        <v>0.9</v>
      </c>
      <c r="P111" s="1451">
        <f t="shared" si="87"/>
        <v>0.23600000000000002</v>
      </c>
      <c r="Q111" s="1510">
        <f t="shared" si="31"/>
        <v>302.1786608107227</v>
      </c>
      <c r="R111" s="1511">
        <f t="shared" si="32"/>
        <v>210.86966138714581</v>
      </c>
      <c r="S111" s="1511">
        <f t="shared" si="33"/>
        <v>617.5136957500913</v>
      </c>
      <c r="T111" s="1511">
        <f t="shared" si="34"/>
        <v>415.79506607655048</v>
      </c>
      <c r="U111" s="1513">
        <f t="shared" si="35"/>
        <v>0</v>
      </c>
      <c r="V111" s="1511">
        <f t="shared" si="9"/>
        <v>1546.3570840245102</v>
      </c>
      <c r="W111" s="1456">
        <f t="shared" si="86"/>
        <v>0.5</v>
      </c>
      <c r="X111" s="530">
        <f t="shared" si="36"/>
        <v>3033.4854703020706</v>
      </c>
      <c r="Y111" s="528">
        <f t="shared" si="77"/>
        <v>4579.8425543265803</v>
      </c>
      <c r="Z111" s="528">
        <f t="shared" si="78"/>
        <v>8535.2322377636974</v>
      </c>
      <c r="AA111" s="530">
        <f t="shared" si="79"/>
        <v>5972.1049969127143</v>
      </c>
      <c r="AB111" s="1091">
        <f t="shared" si="37"/>
        <v>0.69970035150179533</v>
      </c>
      <c r="AC111" s="135" t="str">
        <f t="shared" si="38"/>
        <v>Yes</v>
      </c>
      <c r="AD111" s="1091">
        <f t="shared" si="39"/>
        <v>0.69970035150179533</v>
      </c>
      <c r="AE111" s="649">
        <f t="shared" si="10"/>
        <v>0.31568192095747505</v>
      </c>
      <c r="AF111" s="530">
        <f t="shared" si="11"/>
        <v>290.33093279482745</v>
      </c>
      <c r="AG111" s="527">
        <f t="shared" si="40"/>
        <v>2563.1272408509826</v>
      </c>
      <c r="AH111" s="528">
        <f t="shared" si="80"/>
        <v>9282.2948493766726</v>
      </c>
      <c r="AI111" s="528">
        <f t="shared" si="81"/>
        <v>6437.6604656145792</v>
      </c>
      <c r="AJ111" s="528">
        <f t="shared" si="12"/>
        <v>1029.4341404879635</v>
      </c>
      <c r="AK111" s="528">
        <f t="shared" si="41"/>
        <v>19312.5166963302</v>
      </c>
      <c r="AL111" s="716">
        <f t="shared" si="13"/>
        <v>0</v>
      </c>
      <c r="AM111" s="417">
        <f t="shared" si="42"/>
        <v>0.1327184478933309</v>
      </c>
      <c r="AN111" s="417">
        <f t="shared" si="43"/>
        <v>0.48063621097816378</v>
      </c>
      <c r="AO111" s="417">
        <f t="shared" si="44"/>
        <v>0.33334135404723692</v>
      </c>
      <c r="AP111" s="417">
        <f t="shared" si="45"/>
        <v>5.3303987081268309E-2</v>
      </c>
      <c r="AQ111" s="417">
        <f t="shared" si="46"/>
        <v>0.99999999999999989</v>
      </c>
      <c r="AR111" s="1086">
        <f t="shared" si="14"/>
        <v>543.67212223260026</v>
      </c>
      <c r="AS111" s="938">
        <f t="shared" si="15"/>
        <v>689.52333420609659</v>
      </c>
      <c r="AT111" s="938">
        <f t="shared" si="16"/>
        <v>141.61761377016282</v>
      </c>
      <c r="AU111" s="938">
        <f t="shared" si="17"/>
        <v>0</v>
      </c>
      <c r="AV111" s="938">
        <f t="shared" si="18"/>
        <v>0</v>
      </c>
      <c r="AW111" s="938">
        <f t="shared" si="19"/>
        <v>0</v>
      </c>
      <c r="AX111" s="938">
        <f t="shared" si="20"/>
        <v>989.01015060475595</v>
      </c>
      <c r="AY111" s="938">
        <f t="shared" si="21"/>
        <v>79.664233178659885</v>
      </c>
      <c r="AZ111" s="938">
        <f t="shared" si="22"/>
        <v>22.393636876473376</v>
      </c>
      <c r="BA111" s="938">
        <f t="shared" si="23"/>
        <v>57.83840209613961</v>
      </c>
      <c r="BB111" s="938">
        <f t="shared" si="24"/>
        <v>39.407747886093858</v>
      </c>
      <c r="BC111" s="530">
        <f t="shared" si="47"/>
        <v>2563.1272408509826</v>
      </c>
      <c r="BD111" s="724">
        <f t="shared" si="48"/>
        <v>0</v>
      </c>
      <c r="BE111" s="436">
        <f t="shared" si="49"/>
        <v>0.21211281030749607</v>
      </c>
      <c r="BF111" s="624">
        <f t="shared" si="50"/>
        <v>0.26901642775142459</v>
      </c>
      <c r="BG111" s="624">
        <f t="shared" si="51"/>
        <v>5.525188586546504E-2</v>
      </c>
      <c r="BH111" s="624">
        <f t="shared" si="52"/>
        <v>0</v>
      </c>
      <c r="BI111" s="624">
        <f t="shared" si="53"/>
        <v>0</v>
      </c>
      <c r="BJ111" s="624">
        <f t="shared" si="54"/>
        <v>0</v>
      </c>
      <c r="BK111" s="624">
        <f t="shared" si="55"/>
        <v>0.46361887607561419</v>
      </c>
      <c r="BL111" s="624">
        <f t="shared" si="56"/>
        <v>1</v>
      </c>
      <c r="BM111" s="649">
        <f t="shared" si="82"/>
        <v>0.29028184578274857</v>
      </c>
      <c r="BN111" s="417">
        <f t="shared" si="57"/>
        <v>0.30317187715157518</v>
      </c>
      <c r="BO111" s="417">
        <f t="shared" si="57"/>
        <v>8.2805443243048754E-2</v>
      </c>
      <c r="BP111" s="417">
        <f t="shared" si="57"/>
        <v>0</v>
      </c>
      <c r="BQ111" s="417">
        <f t="shared" si="57"/>
        <v>0</v>
      </c>
      <c r="BR111" s="417">
        <f t="shared" si="57"/>
        <v>0</v>
      </c>
      <c r="BS111" s="417">
        <f t="shared" si="57"/>
        <v>0.32374083382262742</v>
      </c>
      <c r="BT111" s="525">
        <f t="shared" si="83"/>
        <v>0.99999999999999989</v>
      </c>
      <c r="BU111"/>
      <c r="BV111" s="527">
        <f t="shared" si="58"/>
        <v>79.855439947937498</v>
      </c>
      <c r="BW111" s="114">
        <f t="shared" si="59"/>
        <v>0.66606735284547747</v>
      </c>
      <c r="BX111" s="1695">
        <f t="shared" si="25"/>
        <v>40.172018684421317</v>
      </c>
      <c r="BY111" s="527">
        <f t="shared" si="60"/>
        <v>79.855439947937498</v>
      </c>
      <c r="BZ111" s="417">
        <f t="shared" si="61"/>
        <v>0.66606735284547747</v>
      </c>
      <c r="CA111" s="544">
        <f t="shared" si="26"/>
        <v>40.172018684421317</v>
      </c>
      <c r="CB111" s="649">
        <f t="shared" si="27"/>
        <v>0.31568192095747505</v>
      </c>
      <c r="CC111" s="525">
        <f t="shared" si="62"/>
        <v>0.29768776097259209</v>
      </c>
      <c r="CD111" s="417">
        <f t="shared" si="28"/>
        <v>0.31568192095747505</v>
      </c>
      <c r="CE111" s="525">
        <f t="shared" si="63"/>
        <v>0.29768776097259209</v>
      </c>
      <c r="CF111"/>
      <c r="CG111" s="527">
        <f t="shared" si="64"/>
        <v>1762.7088547292153</v>
      </c>
      <c r="CH111" s="528">
        <f t="shared" si="65"/>
        <v>776.20734252937109</v>
      </c>
      <c r="CI111" s="528">
        <f t="shared" si="66"/>
        <v>2956.1825860376707</v>
      </c>
      <c r="CJ111" s="528">
        <f t="shared" si="67"/>
        <v>3742.1555946889584</v>
      </c>
      <c r="CK111" s="528">
        <f t="shared" si="68"/>
        <v>45.040471391456826</v>
      </c>
      <c r="CL111" s="528">
        <f t="shared" si="69"/>
        <v>9282.2948493766726</v>
      </c>
      <c r="CM111" s="646">
        <f t="shared" si="70"/>
        <v>0</v>
      </c>
    </row>
    <row r="112" spans="1:91" s="4" customFormat="1">
      <c r="A112" s="150">
        <f>'Input data'!A132</f>
        <v>2032</v>
      </c>
      <c r="B112" s="1508">
        <f>'Input data'!B132</f>
        <v>67.08666821358311</v>
      </c>
      <c r="C112" s="1509">
        <f>'Input data'!C132</f>
        <v>3916.9054384503629</v>
      </c>
      <c r="D112" s="1509">
        <f>'Input data'!D132</f>
        <v>39638613.148632608</v>
      </c>
      <c r="E112" s="1457">
        <f t="shared" ref="E112:E130" si="88">E111</f>
        <v>1</v>
      </c>
      <c r="F112" s="1451">
        <f t="shared" ref="F112:F130" si="89">F111</f>
        <v>0.36725000000000002</v>
      </c>
      <c r="G112" s="1556">
        <f>B112*F112*'Input data'!$C$9</f>
        <v>754.08460571776459</v>
      </c>
      <c r="H112" s="1551">
        <f>'Input data'!I132</f>
        <v>424.26313389388866</v>
      </c>
      <c r="I112" s="1559">
        <f>'Input data'!K132</f>
        <v>28462.400098794296</v>
      </c>
      <c r="J112" s="1559">
        <f>J97*(1-$G$6)</f>
        <v>2228.8062963921584</v>
      </c>
      <c r="K112" s="1513">
        <f t="shared" si="73"/>
        <v>10998.19610701314</v>
      </c>
      <c r="L112" s="1451">
        <f t="shared" ref="L112:P127" si="90">L111</f>
        <v>0.7</v>
      </c>
      <c r="M112" s="1451">
        <f t="shared" si="87"/>
        <v>0.6</v>
      </c>
      <c r="N112" s="1451">
        <f t="shared" si="87"/>
        <v>0.9</v>
      </c>
      <c r="O112" s="1451">
        <f t="shared" si="87"/>
        <v>0.9</v>
      </c>
      <c r="P112" s="1451">
        <f t="shared" si="87"/>
        <v>0.23600000000000002</v>
      </c>
      <c r="Q112" s="1510">
        <f t="shared" si="31"/>
        <v>304.75753559650093</v>
      </c>
      <c r="R112" s="1511">
        <f t="shared" si="32"/>
        <v>212.66928036546119</v>
      </c>
      <c r="S112" s="1511">
        <f t="shared" si="33"/>
        <v>622.78372539272095</v>
      </c>
      <c r="T112" s="1511">
        <f t="shared" si="34"/>
        <v>419.34357413161615</v>
      </c>
      <c r="U112" s="1513">
        <f t="shared" si="35"/>
        <v>0</v>
      </c>
      <c r="V112" s="1511">
        <f t="shared" si="9"/>
        <v>1559.5541154862992</v>
      </c>
      <c r="W112" s="1456">
        <f t="shared" si="86"/>
        <v>0.5</v>
      </c>
      <c r="X112" s="530">
        <f t="shared" si="36"/>
        <v>3033.4854703020706</v>
      </c>
      <c r="Y112" s="528">
        <f t="shared" si="77"/>
        <v>4593.0395857883695</v>
      </c>
      <c r="Z112" s="528">
        <f t="shared" si="78"/>
        <v>8633.9628176169281</v>
      </c>
      <c r="AA112" s="530">
        <f t="shared" si="79"/>
        <v>6405.1565212247697</v>
      </c>
      <c r="AB112" s="1091">
        <f t="shared" si="37"/>
        <v>0.74185593064583821</v>
      </c>
      <c r="AC112" s="135" t="str">
        <f t="shared" si="38"/>
        <v>Yes</v>
      </c>
      <c r="AD112" s="1091">
        <f t="shared" si="39"/>
        <v>0.74185593064583821</v>
      </c>
      <c r="AE112" s="649">
        <f t="shared" si="10"/>
        <v>0.33524737223917422</v>
      </c>
      <c r="AF112" s="530">
        <f t="shared" si="11"/>
        <v>282.03003311800558</v>
      </c>
      <c r="AG112" s="527">
        <f t="shared" si="40"/>
        <v>2228.8062963921584</v>
      </c>
      <c r="AH112" s="528">
        <f t="shared" si="80"/>
        <v>9361.5124753896816</v>
      </c>
      <c r="AI112" s="528">
        <f t="shared" si="81"/>
        <v>6437.6604656145792</v>
      </c>
      <c r="AJ112" s="528">
        <f t="shared" si="12"/>
        <v>892.47602065707667</v>
      </c>
      <c r="AK112" s="528">
        <f t="shared" si="41"/>
        <v>18920.455258053495</v>
      </c>
      <c r="AL112" s="716">
        <f t="shared" si="13"/>
        <v>0</v>
      </c>
      <c r="AM112" s="417">
        <f t="shared" si="42"/>
        <v>0.117798766784085</v>
      </c>
      <c r="AN112" s="417">
        <f t="shared" si="43"/>
        <v>0.49478262270697487</v>
      </c>
      <c r="AO112" s="417">
        <f t="shared" si="44"/>
        <v>0.34024870849100675</v>
      </c>
      <c r="AP112" s="417">
        <f t="shared" si="45"/>
        <v>4.7169902017933425E-2</v>
      </c>
      <c r="AQ112" s="417">
        <f t="shared" si="46"/>
        <v>1</v>
      </c>
      <c r="AR112" s="1086">
        <f t="shared" si="14"/>
        <v>474.28711157023099</v>
      </c>
      <c r="AS112" s="938">
        <f t="shared" si="15"/>
        <v>601.52436950035451</v>
      </c>
      <c r="AT112" s="938">
        <f t="shared" si="16"/>
        <v>122.77650353876473</v>
      </c>
      <c r="AU112" s="938">
        <f t="shared" si="17"/>
        <v>0</v>
      </c>
      <c r="AV112" s="938">
        <f t="shared" si="18"/>
        <v>0</v>
      </c>
      <c r="AW112" s="938">
        <f t="shared" si="19"/>
        <v>0</v>
      </c>
      <c r="AX112" s="938">
        <f t="shared" si="20"/>
        <v>857.43012484780604</v>
      </c>
      <c r="AY112" s="938">
        <f t="shared" si="21"/>
        <v>69.065533208648347</v>
      </c>
      <c r="AZ112" s="938">
        <f t="shared" si="22"/>
        <v>19.414339530337507</v>
      </c>
      <c r="BA112" s="938">
        <f t="shared" si="23"/>
        <v>50.14345737499864</v>
      </c>
      <c r="BB112" s="938">
        <f t="shared" si="24"/>
        <v>34.164856821017388</v>
      </c>
      <c r="BC112" s="530">
        <f t="shared" si="47"/>
        <v>2228.8062963921584</v>
      </c>
      <c r="BD112" s="724">
        <f t="shared" si="48"/>
        <v>0</v>
      </c>
      <c r="BE112" s="436">
        <f t="shared" si="49"/>
        <v>0.21279871307702919</v>
      </c>
      <c r="BF112" s="624">
        <f t="shared" si="50"/>
        <v>0.26988633802500545</v>
      </c>
      <c r="BG112" s="624">
        <f t="shared" si="51"/>
        <v>5.5086215315124989E-2</v>
      </c>
      <c r="BH112" s="624">
        <f t="shared" si="52"/>
        <v>0</v>
      </c>
      <c r="BI112" s="624">
        <f t="shared" si="53"/>
        <v>0</v>
      </c>
      <c r="BJ112" s="624">
        <f t="shared" si="54"/>
        <v>0</v>
      </c>
      <c r="BK112" s="624">
        <f t="shared" si="55"/>
        <v>0.46222873358284033</v>
      </c>
      <c r="BL112" s="624">
        <f t="shared" si="56"/>
        <v>1</v>
      </c>
      <c r="BM112" s="649">
        <f t="shared" si="82"/>
        <v>0.29028184578274857</v>
      </c>
      <c r="BN112" s="417">
        <f t="shared" si="57"/>
        <v>0.30317187715157518</v>
      </c>
      <c r="BO112" s="417">
        <f t="shared" si="57"/>
        <v>8.2805443243048754E-2</v>
      </c>
      <c r="BP112" s="417">
        <f t="shared" si="57"/>
        <v>0</v>
      </c>
      <c r="BQ112" s="417">
        <f t="shared" si="57"/>
        <v>0</v>
      </c>
      <c r="BR112" s="417">
        <f t="shared" si="57"/>
        <v>0</v>
      </c>
      <c r="BS112" s="417">
        <f t="shared" si="57"/>
        <v>0.32374083382262742</v>
      </c>
      <c r="BT112" s="525">
        <f t="shared" si="83"/>
        <v>0.99999999999999989</v>
      </c>
      <c r="BU112"/>
      <c r="BV112" s="527">
        <f t="shared" si="58"/>
        <v>79.462075583852211</v>
      </c>
      <c r="BW112" s="114">
        <f t="shared" si="59"/>
        <v>0.67264919781609989</v>
      </c>
      <c r="BX112" s="1695">
        <f t="shared" si="25"/>
        <v>39.638613148632608</v>
      </c>
      <c r="BY112" s="527">
        <f t="shared" si="60"/>
        <v>79.462075583852211</v>
      </c>
      <c r="BZ112" s="417">
        <f t="shared" si="61"/>
        <v>0.67264919781609989</v>
      </c>
      <c r="CA112" s="544">
        <f t="shared" si="26"/>
        <v>39.638613148632608</v>
      </c>
      <c r="CB112" s="649">
        <f t="shared" si="27"/>
        <v>0.33524737223917422</v>
      </c>
      <c r="CC112" s="525">
        <f t="shared" si="62"/>
        <v>0.3034807025407471</v>
      </c>
      <c r="CD112" s="417">
        <f t="shared" si="28"/>
        <v>0.33524737223917422</v>
      </c>
      <c r="CE112" s="525">
        <f t="shared" si="63"/>
        <v>0.3034807025407471</v>
      </c>
      <c r="CF112"/>
      <c r="CG112" s="527">
        <f t="shared" si="64"/>
        <v>1777.7522909795882</v>
      </c>
      <c r="CH112" s="528">
        <f t="shared" si="65"/>
        <v>782.83170686672827</v>
      </c>
      <c r="CI112" s="528">
        <f t="shared" si="66"/>
        <v>2981.4114513481313</v>
      </c>
      <c r="CJ112" s="528">
        <f t="shared" si="67"/>
        <v>3774.0921671845485</v>
      </c>
      <c r="CK112" s="528">
        <f t="shared" si="68"/>
        <v>45.424859010686319</v>
      </c>
      <c r="CL112" s="528">
        <f t="shared" si="69"/>
        <v>9361.5124753896835</v>
      </c>
      <c r="CM112" s="646">
        <f t="shared" si="70"/>
        <v>0</v>
      </c>
    </row>
    <row r="113" spans="1:91">
      <c r="A113" s="873">
        <f>'Input data'!A133</f>
        <v>2033</v>
      </c>
      <c r="B113" s="1553">
        <f>'Input data'!B133</f>
        <v>67.659204065895452</v>
      </c>
      <c r="C113" s="1552">
        <f>'Input data'!C133</f>
        <v>4023.8304695138613</v>
      </c>
      <c r="D113" s="1552">
        <f>'Input data'!D133</f>
        <v>38783300.848650038</v>
      </c>
      <c r="E113" s="1456">
        <f t="shared" si="88"/>
        <v>1</v>
      </c>
      <c r="F113" s="1506">
        <f t="shared" si="89"/>
        <v>0.36725000000000002</v>
      </c>
      <c r="G113" s="1513">
        <f>B113*F113*'Input data'!$C$9</f>
        <v>760.52016860897436</v>
      </c>
      <c r="H113" s="1544">
        <f>'Input data'!I133</f>
        <v>424.26313389388866</v>
      </c>
      <c r="I113" s="1511">
        <f>'Input data'!K133</f>
        <v>28705.305953762938</v>
      </c>
      <c r="J113" s="1511">
        <f>J112</f>
        <v>2228.8062963921584</v>
      </c>
      <c r="K113" s="1513">
        <f t="shared" si="73"/>
        <v>11111.078938971066</v>
      </c>
      <c r="L113" s="1506">
        <f t="shared" si="90"/>
        <v>0.7</v>
      </c>
      <c r="M113" s="1506">
        <f t="shared" si="87"/>
        <v>0.6</v>
      </c>
      <c r="N113" s="1506">
        <f t="shared" si="87"/>
        <v>0.9</v>
      </c>
      <c r="O113" s="1506">
        <f t="shared" si="87"/>
        <v>0.9</v>
      </c>
      <c r="P113" s="1506">
        <f t="shared" si="87"/>
        <v>0.23600000000000002</v>
      </c>
      <c r="Q113" s="1510">
        <f t="shared" si="31"/>
        <v>307.35841920031703</v>
      </c>
      <c r="R113" s="1511">
        <f t="shared" si="32"/>
        <v>214.484257781049</v>
      </c>
      <c r="S113" s="1511">
        <f t="shared" si="33"/>
        <v>628.09873090005567</v>
      </c>
      <c r="T113" s="1511">
        <f t="shared" si="34"/>
        <v>422.92236611846511</v>
      </c>
      <c r="U113" s="1513">
        <f t="shared" si="35"/>
        <v>0</v>
      </c>
      <c r="V113" s="1511">
        <f t="shared" si="9"/>
        <v>1572.8637739998867</v>
      </c>
      <c r="W113" s="1456">
        <f t="shared" si="86"/>
        <v>0.5</v>
      </c>
      <c r="X113" s="530">
        <f t="shared" si="36"/>
        <v>3033.4854703020706</v>
      </c>
      <c r="Y113" s="528">
        <f t="shared" si="77"/>
        <v>4606.3492443019568</v>
      </c>
      <c r="Z113" s="528">
        <f t="shared" si="78"/>
        <v>8733.5359910612679</v>
      </c>
      <c r="AA113" s="530">
        <f t="shared" si="79"/>
        <v>6504.7296946691094</v>
      </c>
      <c r="AB113" s="1091">
        <f t="shared" si="37"/>
        <v>0.74479909412712897</v>
      </c>
      <c r="AC113" s="135" t="str">
        <f t="shared" si="38"/>
        <v>Yes</v>
      </c>
      <c r="AD113" s="1091">
        <f t="shared" si="39"/>
        <v>0.74479909412712897</v>
      </c>
      <c r="AE113" s="649">
        <f t="shared" si="10"/>
        <v>0.33818146943254268</v>
      </c>
      <c r="AF113" s="530">
        <f t="shared" si="11"/>
        <v>280.78520384759781</v>
      </c>
      <c r="AG113" s="527">
        <f t="shared" si="40"/>
        <v>2228.8062963921584</v>
      </c>
      <c r="AH113" s="528">
        <f t="shared" si="80"/>
        <v>9441.4061661445412</v>
      </c>
      <c r="AI113" s="528">
        <f t="shared" si="81"/>
        <v>6437.6604656145792</v>
      </c>
      <c r="AJ113" s="528">
        <f t="shared" si="12"/>
        <v>889.83047765739286</v>
      </c>
      <c r="AK113" s="528">
        <f t="shared" si="41"/>
        <v>18997.703405808672</v>
      </c>
      <c r="AL113" s="716">
        <f t="shared" si="13"/>
        <v>0</v>
      </c>
      <c r="AM113" s="417">
        <f t="shared" si="42"/>
        <v>0.11731977538457024</v>
      </c>
      <c r="AN113" s="417">
        <f t="shared" si="43"/>
        <v>0.49697618519814185</v>
      </c>
      <c r="AO113" s="417">
        <f t="shared" si="44"/>
        <v>0.33886519481329636</v>
      </c>
      <c r="AP113" s="417">
        <f t="shared" si="45"/>
        <v>4.6838844603991521E-2</v>
      </c>
      <c r="AQ113" s="417">
        <f t="shared" si="46"/>
        <v>1</v>
      </c>
      <c r="AR113" s="1086">
        <f t="shared" si="14"/>
        <v>475.79389477735378</v>
      </c>
      <c r="AS113" s="938">
        <f t="shared" si="15"/>
        <v>603.43537824701332</v>
      </c>
      <c r="AT113" s="938">
        <f t="shared" si="16"/>
        <v>122.41256040534195</v>
      </c>
      <c r="AU113" s="938">
        <f t="shared" si="17"/>
        <v>0</v>
      </c>
      <c r="AV113" s="938">
        <f t="shared" si="18"/>
        <v>0</v>
      </c>
      <c r="AW113" s="938">
        <f t="shared" si="19"/>
        <v>0</v>
      </c>
      <c r="AX113" s="938">
        <f t="shared" si="20"/>
        <v>854.88846746765705</v>
      </c>
      <c r="AY113" s="938">
        <f t="shared" si="21"/>
        <v>68.860804080167085</v>
      </c>
      <c r="AZ113" s="938">
        <f t="shared" si="22"/>
        <v>19.356790118533684</v>
      </c>
      <c r="BA113" s="938">
        <f t="shared" si="23"/>
        <v>49.994818454099921</v>
      </c>
      <c r="BB113" s="938">
        <f t="shared" si="24"/>
        <v>34.063582841990474</v>
      </c>
      <c r="BC113" s="530">
        <f t="shared" si="47"/>
        <v>2228.806296392157</v>
      </c>
      <c r="BD113" s="724">
        <f t="shared" si="48"/>
        <v>0</v>
      </c>
      <c r="BE113" s="436">
        <f t="shared" si="49"/>
        <v>0.21347476249844466</v>
      </c>
      <c r="BF113" s="624">
        <f t="shared" si="50"/>
        <v>0.27074375158748171</v>
      </c>
      <c r="BG113" s="624">
        <f t="shared" si="51"/>
        <v>5.492292470794579E-2</v>
      </c>
      <c r="BH113" s="624">
        <f t="shared" si="52"/>
        <v>0</v>
      </c>
      <c r="BI113" s="624">
        <f t="shared" si="53"/>
        <v>0</v>
      </c>
      <c r="BJ113" s="624">
        <f t="shared" si="54"/>
        <v>0</v>
      </c>
      <c r="BK113" s="624">
        <f t="shared" si="55"/>
        <v>0.46085856120612789</v>
      </c>
      <c r="BL113" s="624">
        <f t="shared" si="56"/>
        <v>1</v>
      </c>
      <c r="BM113" s="649">
        <f t="shared" si="82"/>
        <v>0.29028184578274857</v>
      </c>
      <c r="BN113" s="417">
        <f t="shared" si="57"/>
        <v>0.30317187715157518</v>
      </c>
      <c r="BO113" s="417">
        <f t="shared" si="57"/>
        <v>8.2805443243048754E-2</v>
      </c>
      <c r="BP113" s="417">
        <f t="shared" si="57"/>
        <v>0</v>
      </c>
      <c r="BQ113" s="417">
        <f t="shared" si="57"/>
        <v>0</v>
      </c>
      <c r="BR113" s="417">
        <f t="shared" si="57"/>
        <v>0</v>
      </c>
      <c r="BS113" s="417">
        <f t="shared" si="57"/>
        <v>0.32374083382262742</v>
      </c>
      <c r="BT113" s="525">
        <f t="shared" si="83"/>
        <v>0.99999999999999989</v>
      </c>
      <c r="BV113" s="527">
        <f t="shared" si="58"/>
        <v>79.234102818055973</v>
      </c>
      <c r="BW113" s="114">
        <f t="shared" si="59"/>
        <v>0.67818419217625725</v>
      </c>
      <c r="BX113" s="1695">
        <f t="shared" si="25"/>
        <v>38.783300848650036</v>
      </c>
      <c r="BY113" s="527">
        <f t="shared" si="60"/>
        <v>79.234102818055973</v>
      </c>
      <c r="BZ113" s="417">
        <f t="shared" si="61"/>
        <v>0.67818419217625725</v>
      </c>
      <c r="CA113" s="544">
        <f t="shared" si="26"/>
        <v>38.783300848650036</v>
      </c>
      <c r="CB113" s="649">
        <f t="shared" si="27"/>
        <v>0.33818146943254268</v>
      </c>
      <c r="CC113" s="525">
        <f t="shared" si="62"/>
        <v>0.31044629548126956</v>
      </c>
      <c r="CD113" s="417">
        <f t="shared" si="28"/>
        <v>0.33818146943254268</v>
      </c>
      <c r="CE113" s="525">
        <f t="shared" si="63"/>
        <v>0.31044629548126956</v>
      </c>
      <c r="CG113" s="527">
        <f t="shared" si="64"/>
        <v>1792.9241120018478</v>
      </c>
      <c r="CH113" s="528">
        <f t="shared" si="65"/>
        <v>789.51260532901495</v>
      </c>
      <c r="CI113" s="528">
        <f t="shared" si="66"/>
        <v>3006.8556266492046</v>
      </c>
      <c r="CJ113" s="528">
        <f t="shared" si="67"/>
        <v>3806.3012950661869</v>
      </c>
      <c r="CK113" s="528">
        <f t="shared" si="68"/>
        <v>45.81252709828685</v>
      </c>
      <c r="CL113" s="528">
        <f t="shared" si="69"/>
        <v>9441.4061661445412</v>
      </c>
      <c r="CM113" s="646">
        <f t="shared" si="70"/>
        <v>0</v>
      </c>
    </row>
    <row r="114" spans="1:91">
      <c r="A114" s="873">
        <f>'Input data'!A134</f>
        <v>2034</v>
      </c>
      <c r="B114" s="1553">
        <f>'Input data'!B134</f>
        <v>68.236626094715163</v>
      </c>
      <c r="C114" s="1552">
        <f>'Input data'!C134</f>
        <v>4047.8499716455863</v>
      </c>
      <c r="D114" s="1552">
        <f>'Input data'!D134</f>
        <v>38249557.30478432</v>
      </c>
      <c r="E114" s="1456">
        <f t="shared" si="88"/>
        <v>1</v>
      </c>
      <c r="F114" s="1506">
        <f t="shared" si="89"/>
        <v>0.36725000000000002</v>
      </c>
      <c r="G114" s="1513">
        <f>B114*F114*'Input data'!$C$9</f>
        <v>767.01065434227985</v>
      </c>
      <c r="H114" s="1544">
        <f>'Input data'!I134</f>
        <v>424.26313389388866</v>
      </c>
      <c r="I114" s="1511">
        <f>'Input data'!K134</f>
        <v>28950.284833289355</v>
      </c>
      <c r="J114" s="1511">
        <f t="shared" ref="J114:J130" si="91">J113</f>
        <v>2228.8062963921584</v>
      </c>
      <c r="K114" s="1513">
        <f t="shared" si="73"/>
        <v>11224.925143684375</v>
      </c>
      <c r="L114" s="1506">
        <f t="shared" si="90"/>
        <v>0.7</v>
      </c>
      <c r="M114" s="1506">
        <f t="shared" si="87"/>
        <v>0.6</v>
      </c>
      <c r="N114" s="1506">
        <f t="shared" si="87"/>
        <v>0.9</v>
      </c>
      <c r="O114" s="1506">
        <f t="shared" si="87"/>
        <v>0.9</v>
      </c>
      <c r="P114" s="1506">
        <f t="shared" si="87"/>
        <v>0.23600000000000002</v>
      </c>
      <c r="Q114" s="1510">
        <f t="shared" si="31"/>
        <v>309.98149945140312</v>
      </c>
      <c r="R114" s="1511">
        <f t="shared" si="32"/>
        <v>216.31472470698566</v>
      </c>
      <c r="S114" s="1511">
        <f t="shared" si="33"/>
        <v>633.45909610834542</v>
      </c>
      <c r="T114" s="1511">
        <f t="shared" si="34"/>
        <v>426.5317004883982</v>
      </c>
      <c r="U114" s="1513">
        <f t="shared" si="35"/>
        <v>0</v>
      </c>
      <c r="V114" s="1511">
        <f t="shared" si="9"/>
        <v>1586.2870207551323</v>
      </c>
      <c r="W114" s="1456">
        <f t="shared" si="86"/>
        <v>0.5</v>
      </c>
      <c r="X114" s="530">
        <f t="shared" si="36"/>
        <v>3033.4854703020706</v>
      </c>
      <c r="Y114" s="528">
        <f t="shared" si="77"/>
        <v>4619.7724910572033</v>
      </c>
      <c r="Z114" s="528">
        <f t="shared" si="78"/>
        <v>8833.9589490193302</v>
      </c>
      <c r="AA114" s="530">
        <f t="shared" si="79"/>
        <v>6605.1526526271718</v>
      </c>
      <c r="AB114" s="1091">
        <f t="shared" si="37"/>
        <v>0.74770017505689435</v>
      </c>
      <c r="AC114" s="135" t="str">
        <f t="shared" si="38"/>
        <v>Yes</v>
      </c>
      <c r="AD114" s="1091">
        <f t="shared" si="39"/>
        <v>0.74770017505689435</v>
      </c>
      <c r="AE114" s="649">
        <f t="shared" si="10"/>
        <v>0.34108865163413971</v>
      </c>
      <c r="AF114" s="530">
        <f t="shared" si="11"/>
        <v>279.5517936159477</v>
      </c>
      <c r="AG114" s="527">
        <f t="shared" si="40"/>
        <v>2228.8062963921584</v>
      </c>
      <c r="AH114" s="528">
        <f t="shared" si="80"/>
        <v>9521.9816913614286</v>
      </c>
      <c r="AI114" s="528">
        <f t="shared" si="81"/>
        <v>6437.6604656145792</v>
      </c>
      <c r="AJ114" s="528">
        <f t="shared" si="12"/>
        <v>887.22276171023486</v>
      </c>
      <c r="AK114" s="528">
        <f t="shared" si="41"/>
        <v>19075.671215078404</v>
      </c>
      <c r="AL114" s="716">
        <f t="shared" si="13"/>
        <v>0</v>
      </c>
      <c r="AM114" s="417">
        <f t="shared" si="42"/>
        <v>0.11684025538406186</v>
      </c>
      <c r="AN114" s="417">
        <f t="shared" si="43"/>
        <v>0.49916889340359138</v>
      </c>
      <c r="AO114" s="417">
        <f t="shared" si="44"/>
        <v>0.33748015433008288</v>
      </c>
      <c r="AP114" s="417">
        <f t="shared" si="45"/>
        <v>4.6510696882263718E-2</v>
      </c>
      <c r="AQ114" s="417">
        <f t="shared" si="46"/>
        <v>0.99999999999999978</v>
      </c>
      <c r="AR114" s="1086">
        <f t="shared" si="14"/>
        <v>477.27913338379346</v>
      </c>
      <c r="AS114" s="938">
        <f t="shared" si="15"/>
        <v>605.31906261140239</v>
      </c>
      <c r="AT114" s="938">
        <f t="shared" si="16"/>
        <v>122.05382107923813</v>
      </c>
      <c r="AU114" s="938">
        <f t="shared" si="17"/>
        <v>0</v>
      </c>
      <c r="AV114" s="938">
        <f t="shared" si="18"/>
        <v>0</v>
      </c>
      <c r="AW114" s="938">
        <f t="shared" si="19"/>
        <v>0</v>
      </c>
      <c r="AX114" s="938">
        <f t="shared" si="20"/>
        <v>852.38315174108629</v>
      </c>
      <c r="AY114" s="938">
        <f t="shared" si="21"/>
        <v>68.659002252242828</v>
      </c>
      <c r="AZ114" s="938">
        <f t="shared" si="22"/>
        <v>19.300063571685364</v>
      </c>
      <c r="BA114" s="938">
        <f t="shared" si="23"/>
        <v>49.848304833099625</v>
      </c>
      <c r="BB114" s="938">
        <f t="shared" si="24"/>
        <v>33.963756919610013</v>
      </c>
      <c r="BC114" s="530">
        <f t="shared" si="47"/>
        <v>2228.8062963921584</v>
      </c>
      <c r="BD114" s="724">
        <f t="shared" si="48"/>
        <v>0</v>
      </c>
      <c r="BE114" s="436">
        <f t="shared" si="49"/>
        <v>0.21414114548957475</v>
      </c>
      <c r="BF114" s="624">
        <f t="shared" si="50"/>
        <v>0.27158890550123271</v>
      </c>
      <c r="BG114" s="624">
        <f t="shared" si="51"/>
        <v>5.4761968896449478E-2</v>
      </c>
      <c r="BH114" s="624">
        <f t="shared" si="52"/>
        <v>0</v>
      </c>
      <c r="BI114" s="624">
        <f t="shared" si="53"/>
        <v>0</v>
      </c>
      <c r="BJ114" s="624">
        <f t="shared" si="54"/>
        <v>0</v>
      </c>
      <c r="BK114" s="624">
        <f t="shared" si="55"/>
        <v>0.45950798011274291</v>
      </c>
      <c r="BL114" s="624">
        <f t="shared" si="56"/>
        <v>0.99999999999999978</v>
      </c>
      <c r="BM114" s="649">
        <f t="shared" si="82"/>
        <v>0.29028184578274857</v>
      </c>
      <c r="BN114" s="417">
        <f t="shared" si="82"/>
        <v>0.30317187715157518</v>
      </c>
      <c r="BO114" s="417">
        <f t="shared" si="82"/>
        <v>8.2805443243048754E-2</v>
      </c>
      <c r="BP114" s="417">
        <f t="shared" si="82"/>
        <v>0</v>
      </c>
      <c r="BQ114" s="417">
        <f t="shared" si="82"/>
        <v>0</v>
      </c>
      <c r="BR114" s="417">
        <f t="shared" si="82"/>
        <v>0</v>
      </c>
      <c r="BS114" s="417">
        <f t="shared" si="82"/>
        <v>0.32374083382262742</v>
      </c>
      <c r="BT114" s="525">
        <f t="shared" si="83"/>
        <v>0.99999999999999989</v>
      </c>
      <c r="BV114" s="527">
        <f t="shared" si="58"/>
        <v>78.901898908481755</v>
      </c>
      <c r="BW114" s="114">
        <f t="shared" si="59"/>
        <v>0.68088802642801638</v>
      </c>
      <c r="BX114" s="1695">
        <f t="shared" si="25"/>
        <v>38.249557304784318</v>
      </c>
      <c r="BY114" s="527">
        <f t="shared" si="60"/>
        <v>78.901898908481755</v>
      </c>
      <c r="BZ114" s="417">
        <f t="shared" si="61"/>
        <v>0.68088802642801638</v>
      </c>
      <c r="CA114" s="544">
        <f t="shared" si="26"/>
        <v>38.249557304784318</v>
      </c>
      <c r="CB114" s="649">
        <f t="shared" si="27"/>
        <v>0.34108865163413971</v>
      </c>
      <c r="CC114" s="525">
        <f t="shared" si="62"/>
        <v>0.31322500466537995</v>
      </c>
      <c r="CD114" s="417">
        <f t="shared" si="28"/>
        <v>0.34108865163413971</v>
      </c>
      <c r="CE114" s="525">
        <f t="shared" si="63"/>
        <v>0.31322500466537995</v>
      </c>
      <c r="CG114" s="527">
        <f t="shared" si="64"/>
        <v>1808.2254134665175</v>
      </c>
      <c r="CH114" s="528">
        <f t="shared" si="65"/>
        <v>796.25052039381262</v>
      </c>
      <c r="CI114" s="528">
        <f t="shared" si="66"/>
        <v>3032.5169494548468</v>
      </c>
      <c r="CJ114" s="528">
        <f t="shared" si="67"/>
        <v>3838.7853043955847</v>
      </c>
      <c r="CK114" s="528">
        <f t="shared" si="68"/>
        <v>46.203503650666732</v>
      </c>
      <c r="CL114" s="528">
        <f t="shared" si="69"/>
        <v>9521.9816913614286</v>
      </c>
      <c r="CM114" s="646">
        <f t="shared" si="70"/>
        <v>0</v>
      </c>
    </row>
    <row r="115" spans="1:91">
      <c r="A115" s="873">
        <f>'Input data'!A135</f>
        <v>2035</v>
      </c>
      <c r="B115" s="1553">
        <f>'Input data'!B135</f>
        <v>68.818976000000006</v>
      </c>
      <c r="C115" s="1552">
        <f>'Input data'!C135</f>
        <v>0</v>
      </c>
      <c r="D115" s="1552">
        <f>'Input data'!D135</f>
        <v>38181094.662935674</v>
      </c>
      <c r="E115" s="1456">
        <f t="shared" si="88"/>
        <v>1</v>
      </c>
      <c r="F115" s="1506">
        <f t="shared" si="89"/>
        <v>0.36725000000000002</v>
      </c>
      <c r="G115" s="1513">
        <f>B115*F115*'Input data'!$C$9</f>
        <v>773.55653164413684</v>
      </c>
      <c r="H115" s="1544">
        <f>'Input data'!I135</f>
        <v>424.26313389388866</v>
      </c>
      <c r="I115" s="1511">
        <f>'Input data'!K135</f>
        <v>29197.354429128314</v>
      </c>
      <c r="J115" s="1511">
        <f t="shared" si="91"/>
        <v>2228.8062963921584</v>
      </c>
      <c r="K115" s="1513">
        <f t="shared" si="73"/>
        <v>11339.742942837889</v>
      </c>
      <c r="L115" s="1506">
        <f t="shared" si="90"/>
        <v>0.7</v>
      </c>
      <c r="M115" s="1506">
        <f t="shared" si="87"/>
        <v>0.6</v>
      </c>
      <c r="N115" s="1506">
        <f t="shared" si="87"/>
        <v>0.9</v>
      </c>
      <c r="O115" s="1506">
        <f t="shared" si="87"/>
        <v>0.9</v>
      </c>
      <c r="P115" s="1506">
        <f t="shared" si="87"/>
        <v>0.23600000000000002</v>
      </c>
      <c r="Q115" s="1510">
        <f t="shared" si="31"/>
        <v>312.62696578197756</v>
      </c>
      <c r="R115" s="1511">
        <f t="shared" si="32"/>
        <v>218.16081333496061</v>
      </c>
      <c r="S115" s="1511">
        <f t="shared" si="33"/>
        <v>638.86520812960043</v>
      </c>
      <c r="T115" s="1511">
        <f t="shared" si="34"/>
        <v>430.17183789841056</v>
      </c>
      <c r="U115" s="1513">
        <f t="shared" si="35"/>
        <v>0</v>
      </c>
      <c r="V115" s="1511">
        <f t="shared" si="9"/>
        <v>1599.824825144949</v>
      </c>
      <c r="W115" s="1456">
        <f t="shared" si="86"/>
        <v>0.5</v>
      </c>
      <c r="X115" s="530">
        <f t="shared" si="36"/>
        <v>3033.4854703020706</v>
      </c>
      <c r="Y115" s="528">
        <f t="shared" si="77"/>
        <v>4633.3102954470196</v>
      </c>
      <c r="Z115" s="528">
        <f t="shared" si="78"/>
        <v>8935.2389437830279</v>
      </c>
      <c r="AA115" s="530">
        <f t="shared" si="79"/>
        <v>6706.4326473908695</v>
      </c>
      <c r="AB115" s="1091">
        <f t="shared" si="37"/>
        <v>0.75055996706804129</v>
      </c>
      <c r="AC115" s="135" t="str">
        <f t="shared" si="38"/>
        <v>Yes</v>
      </c>
      <c r="AD115" s="1091">
        <f t="shared" si="39"/>
        <v>0.75055996706804129</v>
      </c>
      <c r="AE115" s="649">
        <f t="shared" si="10"/>
        <v>0.34396919974586804</v>
      </c>
      <c r="AF115" s="530">
        <f t="shared" si="11"/>
        <v>278.32968324673374</v>
      </c>
      <c r="AG115" s="527">
        <f t="shared" si="40"/>
        <v>2228.8062963921584</v>
      </c>
      <c r="AH115" s="528">
        <f t="shared" si="80"/>
        <v>9603.2448700008808</v>
      </c>
      <c r="AI115" s="528">
        <f t="shared" si="81"/>
        <v>6437.6604656145792</v>
      </c>
      <c r="AJ115" s="528">
        <f t="shared" si="12"/>
        <v>884.65215943695455</v>
      </c>
      <c r="AK115" s="528">
        <f t="shared" si="41"/>
        <v>19154.363791444572</v>
      </c>
      <c r="AL115" s="716">
        <f t="shared" si="13"/>
        <v>0</v>
      </c>
      <c r="AM115" s="417">
        <f t="shared" si="42"/>
        <v>0.11636023627094678</v>
      </c>
      <c r="AN115" s="417">
        <f t="shared" si="43"/>
        <v>0.50136068075987139</v>
      </c>
      <c r="AO115" s="417">
        <f t="shared" si="44"/>
        <v>0.33609367221531022</v>
      </c>
      <c r="AP115" s="417">
        <f t="shared" si="45"/>
        <v>4.6185410753871683E-2</v>
      </c>
      <c r="AQ115" s="417">
        <f t="shared" si="46"/>
        <v>1.0000000000000002</v>
      </c>
      <c r="AR115" s="1086">
        <f t="shared" si="14"/>
        <v>478.74323369818387</v>
      </c>
      <c r="AS115" s="938">
        <f t="shared" si="15"/>
        <v>607.17593790279147</v>
      </c>
      <c r="AT115" s="938">
        <f t="shared" si="16"/>
        <v>121.70018742208988</v>
      </c>
      <c r="AU115" s="938">
        <f t="shared" si="17"/>
        <v>0</v>
      </c>
      <c r="AV115" s="938">
        <f t="shared" si="18"/>
        <v>0</v>
      </c>
      <c r="AW115" s="938">
        <f t="shared" si="19"/>
        <v>0</v>
      </c>
      <c r="AX115" s="938">
        <f t="shared" si="20"/>
        <v>849.91349230251683</v>
      </c>
      <c r="AY115" s="938">
        <f t="shared" si="21"/>
        <v>68.460072519048694</v>
      </c>
      <c r="AZ115" s="938">
        <f t="shared" si="22"/>
        <v>19.244144371420276</v>
      </c>
      <c r="BA115" s="938">
        <f t="shared" si="23"/>
        <v>49.703876431064366</v>
      </c>
      <c r="BB115" s="938">
        <f t="shared" si="24"/>
        <v>33.86535174504214</v>
      </c>
      <c r="BC115" s="530">
        <f t="shared" si="47"/>
        <v>2228.806296392157</v>
      </c>
      <c r="BD115" s="724">
        <f t="shared" si="48"/>
        <v>0</v>
      </c>
      <c r="BE115" s="436">
        <f t="shared" si="49"/>
        <v>0.21479804434918434</v>
      </c>
      <c r="BF115" s="624">
        <f t="shared" si="50"/>
        <v>0.27242203097041112</v>
      </c>
      <c r="BG115" s="624">
        <f t="shared" si="51"/>
        <v>5.4603303848831559E-2</v>
      </c>
      <c r="BH115" s="624">
        <f t="shared" si="52"/>
        <v>0</v>
      </c>
      <c r="BI115" s="624">
        <f t="shared" si="53"/>
        <v>0</v>
      </c>
      <c r="BJ115" s="624">
        <f t="shared" si="54"/>
        <v>0</v>
      </c>
      <c r="BK115" s="624">
        <f t="shared" si="55"/>
        <v>0.45817662083157323</v>
      </c>
      <c r="BL115" s="624">
        <f t="shared" si="56"/>
        <v>1.0000000000000002</v>
      </c>
      <c r="BM115" s="649">
        <f t="shared" ref="BM115:BS130" si="92">BM114</f>
        <v>0.29028184578274857</v>
      </c>
      <c r="BN115" s="417">
        <f t="shared" si="92"/>
        <v>0.30317187715157518</v>
      </c>
      <c r="BO115" s="417">
        <f t="shared" si="92"/>
        <v>8.2805443243048754E-2</v>
      </c>
      <c r="BP115" s="417">
        <f t="shared" si="92"/>
        <v>0</v>
      </c>
      <c r="BQ115" s="417">
        <f t="shared" si="92"/>
        <v>0</v>
      </c>
      <c r="BR115" s="417">
        <f t="shared" si="92"/>
        <v>0</v>
      </c>
      <c r="BS115" s="417">
        <f t="shared" si="92"/>
        <v>0.32374083382262742</v>
      </c>
      <c r="BT115" s="525">
        <f t="shared" si="83"/>
        <v>0.99999999999999989</v>
      </c>
      <c r="BV115" s="527">
        <f t="shared" si="58"/>
        <v>57.335458454380252</v>
      </c>
      <c r="BW115" s="114">
        <f t="shared" si="59"/>
        <v>0.57468647235887615</v>
      </c>
      <c r="BX115" s="1695">
        <f t="shared" si="25"/>
        <v>38.181094662935671</v>
      </c>
      <c r="BY115" s="527">
        <f t="shared" si="60"/>
        <v>57.335458454380252</v>
      </c>
      <c r="BZ115" s="417">
        <f t="shared" si="61"/>
        <v>0.57468647235887615</v>
      </c>
      <c r="CA115" s="544">
        <f t="shared" si="26"/>
        <v>38.181094662935671</v>
      </c>
      <c r="CB115" s="649">
        <f t="shared" si="27"/>
        <v>0.34396919974586804</v>
      </c>
      <c r="CC115" s="525">
        <f t="shared" si="62"/>
        <v>0</v>
      </c>
      <c r="CD115" s="417">
        <f t="shared" si="28"/>
        <v>0.34396919974586804</v>
      </c>
      <c r="CE115" s="525">
        <f t="shared" si="63"/>
        <v>0</v>
      </c>
      <c r="CG115" s="527">
        <f t="shared" si="64"/>
        <v>1823.6573003948697</v>
      </c>
      <c r="CH115" s="528">
        <f t="shared" si="65"/>
        <v>803.04593865629693</v>
      </c>
      <c r="CI115" s="528">
        <f t="shared" si="66"/>
        <v>3058.3972729608545</v>
      </c>
      <c r="CJ115" s="528">
        <f t="shared" si="67"/>
        <v>3871.5465410856968</v>
      </c>
      <c r="CK115" s="528">
        <f t="shared" si="68"/>
        <v>46.597816903163221</v>
      </c>
      <c r="CL115" s="528">
        <f t="shared" si="69"/>
        <v>9603.244870000879</v>
      </c>
      <c r="CM115" s="646">
        <f t="shared" si="70"/>
        <v>0</v>
      </c>
    </row>
    <row r="116" spans="1:91">
      <c r="A116" s="873">
        <f>'Input data'!A136</f>
        <v>2036</v>
      </c>
      <c r="B116" s="1553">
        <f>'Input data'!B136</f>
        <v>69.322810489383542</v>
      </c>
      <c r="C116" s="1552">
        <f>'Input data'!C136</f>
        <v>0</v>
      </c>
      <c r="D116" s="1552">
        <f>'Input data'!D136</f>
        <v>32537026.437175773</v>
      </c>
      <c r="E116" s="1456">
        <f t="shared" si="88"/>
        <v>1</v>
      </c>
      <c r="F116" s="1506">
        <f t="shared" si="89"/>
        <v>0.36725000000000002</v>
      </c>
      <c r="G116" s="1513">
        <f>B116*F116*'Input data'!$C$9</f>
        <v>779.21986002801486</v>
      </c>
      <c r="H116" s="1544">
        <f>'Input data'!I136</f>
        <v>424.26313389388866</v>
      </c>
      <c r="I116" s="1511">
        <f>'Input data'!K136</f>
        <v>29411.112828557998</v>
      </c>
      <c r="J116" s="1511">
        <f t="shared" si="91"/>
        <v>2228.8062963921584</v>
      </c>
      <c r="K116" s="1513">
        <f t="shared" si="73"/>
        <v>11439.080414491387</v>
      </c>
      <c r="L116" s="1506">
        <f t="shared" si="90"/>
        <v>0.7</v>
      </c>
      <c r="M116" s="1506">
        <f t="shared" si="87"/>
        <v>0.6</v>
      </c>
      <c r="N116" s="1506">
        <f t="shared" si="87"/>
        <v>0.9</v>
      </c>
      <c r="O116" s="1506">
        <f t="shared" si="87"/>
        <v>0.9</v>
      </c>
      <c r="P116" s="1506">
        <f t="shared" si="87"/>
        <v>0.23600000000000002</v>
      </c>
      <c r="Q116" s="1510">
        <f t="shared" si="31"/>
        <v>314.91575670604311</v>
      </c>
      <c r="R116" s="1511">
        <f t="shared" si="32"/>
        <v>219.75800277861231</v>
      </c>
      <c r="S116" s="1511">
        <f t="shared" si="33"/>
        <v>643.5424402628264</v>
      </c>
      <c r="T116" s="1511">
        <f t="shared" si="34"/>
        <v>433.32119322004019</v>
      </c>
      <c r="U116" s="1513">
        <f t="shared" si="35"/>
        <v>0</v>
      </c>
      <c r="V116" s="1511">
        <f t="shared" si="9"/>
        <v>1611.537392967522</v>
      </c>
      <c r="W116" s="1456">
        <f t="shared" si="86"/>
        <v>0.5</v>
      </c>
      <c r="X116" s="530">
        <f t="shared" si="36"/>
        <v>3033.4854703020706</v>
      </c>
      <c r="Y116" s="528">
        <f t="shared" si="77"/>
        <v>4645.0228632695926</v>
      </c>
      <c r="Z116" s="528">
        <f t="shared" si="78"/>
        <v>9022.8638476139531</v>
      </c>
      <c r="AA116" s="530">
        <f t="shared" si="79"/>
        <v>6794.0575512217947</v>
      </c>
      <c r="AB116" s="1091">
        <f t="shared" si="37"/>
        <v>0.75298238629838643</v>
      </c>
      <c r="AC116" s="135" t="str">
        <f t="shared" si="38"/>
        <v>Yes</v>
      </c>
      <c r="AD116" s="1091">
        <f t="shared" si="39"/>
        <v>0.75298238629838643</v>
      </c>
      <c r="AE116" s="649">
        <f t="shared" si="10"/>
        <v>0.34642074566368197</v>
      </c>
      <c r="AF116" s="530">
        <f t="shared" si="11"/>
        <v>277.28958269275716</v>
      </c>
      <c r="AG116" s="527">
        <f t="shared" si="40"/>
        <v>2228.8062963921584</v>
      </c>
      <c r="AH116" s="528">
        <f t="shared" si="80"/>
        <v>9673.5517280323329</v>
      </c>
      <c r="AI116" s="528">
        <f t="shared" si="81"/>
        <v>6437.6604656145792</v>
      </c>
      <c r="AJ116" s="528">
        <f t="shared" si="12"/>
        <v>882.47470165118193</v>
      </c>
      <c r="AK116" s="528">
        <f t="shared" si="41"/>
        <v>19222.493191690253</v>
      </c>
      <c r="AL116" s="716">
        <f t="shared" si="13"/>
        <v>0</v>
      </c>
      <c r="AM116" s="417">
        <f t="shared" si="42"/>
        <v>0.11594782602683691</v>
      </c>
      <c r="AN116" s="417">
        <f t="shared" si="43"/>
        <v>0.5032412617638039</v>
      </c>
      <c r="AO116" s="417">
        <f t="shared" si="44"/>
        <v>0.33490247084064695</v>
      </c>
      <c r="AP116" s="417">
        <f t="shared" si="45"/>
        <v>4.5908441368712229E-2</v>
      </c>
      <c r="AQ116" s="417">
        <f t="shared" si="46"/>
        <v>1</v>
      </c>
      <c r="AR116" s="1086">
        <f t="shared" si="14"/>
        <v>479.98341646074488</v>
      </c>
      <c r="AS116" s="938">
        <f t="shared" si="15"/>
        <v>608.74882516056437</v>
      </c>
      <c r="AT116" s="938">
        <f t="shared" si="16"/>
        <v>121.4006380254085</v>
      </c>
      <c r="AU116" s="938">
        <f t="shared" si="17"/>
        <v>0</v>
      </c>
      <c r="AV116" s="938">
        <f t="shared" si="18"/>
        <v>0</v>
      </c>
      <c r="AW116" s="938">
        <f t="shared" si="19"/>
        <v>0</v>
      </c>
      <c r="AX116" s="938">
        <f t="shared" si="20"/>
        <v>847.82153928877506</v>
      </c>
      <c r="AY116" s="938">
        <f t="shared" si="21"/>
        <v>68.291566834265154</v>
      </c>
      <c r="AZ116" s="938">
        <f t="shared" si="22"/>
        <v>19.196777379156504</v>
      </c>
      <c r="BA116" s="938">
        <f t="shared" si="23"/>
        <v>49.581536716450756</v>
      </c>
      <c r="BB116" s="938">
        <f t="shared" si="24"/>
        <v>33.781996526792177</v>
      </c>
      <c r="BC116" s="530">
        <f t="shared" si="47"/>
        <v>2228.8062963921579</v>
      </c>
      <c r="BD116" s="724">
        <f t="shared" si="48"/>
        <v>0</v>
      </c>
      <c r="BE116" s="436">
        <f t="shared" si="49"/>
        <v>0.21535447797222657</v>
      </c>
      <c r="BF116" s="624">
        <f t="shared" si="50"/>
        <v>0.27312773934009704</v>
      </c>
      <c r="BG116" s="624">
        <f t="shared" si="51"/>
        <v>5.4468904822246644E-2</v>
      </c>
      <c r="BH116" s="624">
        <f t="shared" si="52"/>
        <v>0</v>
      </c>
      <c r="BI116" s="624">
        <f t="shared" si="53"/>
        <v>0</v>
      </c>
      <c r="BJ116" s="624">
        <f t="shared" si="54"/>
        <v>0</v>
      </c>
      <c r="BK116" s="624">
        <f t="shared" si="55"/>
        <v>0.45704887786542953</v>
      </c>
      <c r="BL116" s="624">
        <f t="shared" si="56"/>
        <v>0.99999999999999978</v>
      </c>
      <c r="BM116" s="649">
        <f t="shared" si="92"/>
        <v>0.29028184578274857</v>
      </c>
      <c r="BN116" s="417">
        <f t="shared" si="92"/>
        <v>0.30317187715157518</v>
      </c>
      <c r="BO116" s="417">
        <f t="shared" si="92"/>
        <v>8.2805443243048754E-2</v>
      </c>
      <c r="BP116" s="417">
        <f t="shared" si="92"/>
        <v>0</v>
      </c>
      <c r="BQ116" s="417">
        <f t="shared" si="92"/>
        <v>0</v>
      </c>
      <c r="BR116" s="417">
        <f t="shared" si="92"/>
        <v>0</v>
      </c>
      <c r="BS116" s="417">
        <f t="shared" si="92"/>
        <v>0.32374083382262742</v>
      </c>
      <c r="BT116" s="525">
        <f t="shared" si="83"/>
        <v>0.99999999999999989</v>
      </c>
      <c r="BV116" s="527">
        <f t="shared" si="58"/>
        <v>51.759519628866023</v>
      </c>
      <c r="BW116" s="114">
        <f t="shared" si="59"/>
        <v>0.59429482133395761</v>
      </c>
      <c r="BX116" s="1695">
        <f t="shared" si="25"/>
        <v>32.537026437175776</v>
      </c>
      <c r="BY116" s="527">
        <f t="shared" si="60"/>
        <v>51.759519628866023</v>
      </c>
      <c r="BZ116" s="417">
        <f t="shared" si="61"/>
        <v>0.59429482133395761</v>
      </c>
      <c r="CA116" s="544">
        <f t="shared" si="26"/>
        <v>32.537026437175776</v>
      </c>
      <c r="CB116" s="649">
        <f t="shared" si="27"/>
        <v>0.34642074566368197</v>
      </c>
      <c r="CC116" s="525">
        <f t="shared" si="62"/>
        <v>0</v>
      </c>
      <c r="CD116" s="417">
        <f t="shared" si="28"/>
        <v>0.34642074566368197</v>
      </c>
      <c r="CE116" s="525">
        <f t="shared" si="63"/>
        <v>0</v>
      </c>
      <c r="CG116" s="527">
        <f t="shared" si="64"/>
        <v>1837.0085807852522</v>
      </c>
      <c r="CH116" s="528">
        <f t="shared" si="65"/>
        <v>808.92516360225397</v>
      </c>
      <c r="CI116" s="528">
        <f t="shared" si="66"/>
        <v>3080.7882778539556</v>
      </c>
      <c r="CJ116" s="528">
        <f t="shared" si="67"/>
        <v>3899.8907389803658</v>
      </c>
      <c r="CK116" s="528">
        <f t="shared" si="68"/>
        <v>46.938966810505526</v>
      </c>
      <c r="CL116" s="528">
        <f t="shared" si="69"/>
        <v>9673.5517280323329</v>
      </c>
      <c r="CM116" s="646">
        <f t="shared" si="70"/>
        <v>0</v>
      </c>
    </row>
    <row r="117" spans="1:91" s="1" customFormat="1">
      <c r="A117" s="873">
        <f>'Input data'!A137</f>
        <v>2037</v>
      </c>
      <c r="B117" s="1553">
        <f>'Input data'!B137</f>
        <v>69.830333629884052</v>
      </c>
      <c r="C117" s="1552">
        <f>'Input data'!C137</f>
        <v>0</v>
      </c>
      <c r="D117" s="1552">
        <f>'Input data'!D137</f>
        <v>27502394.556130182</v>
      </c>
      <c r="E117" s="1456">
        <f t="shared" si="88"/>
        <v>1</v>
      </c>
      <c r="F117" s="1506">
        <f t="shared" si="89"/>
        <v>0.36725000000000002</v>
      </c>
      <c r="G117" s="1513">
        <f>B117*F117*'Input data'!$C$9</f>
        <v>784.92465052496607</v>
      </c>
      <c r="H117" s="1544">
        <f>'Input data'!I137</f>
        <v>424.26313389388866</v>
      </c>
      <c r="I117" s="1511">
        <f>'Input data'!K137</f>
        <v>29626.436186670413</v>
      </c>
      <c r="J117" s="1511">
        <f t="shared" si="91"/>
        <v>2228.8062963921584</v>
      </c>
      <c r="K117" s="1513">
        <f t="shared" si="73"/>
        <v>11539.145151315281</v>
      </c>
      <c r="L117" s="1506">
        <f t="shared" si="90"/>
        <v>0.7</v>
      </c>
      <c r="M117" s="1506">
        <f t="shared" si="87"/>
        <v>0.6</v>
      </c>
      <c r="N117" s="1506">
        <f t="shared" si="87"/>
        <v>0.9</v>
      </c>
      <c r="O117" s="1506">
        <f t="shared" si="87"/>
        <v>0.9</v>
      </c>
      <c r="P117" s="1506">
        <f>P116</f>
        <v>0.23600000000000002</v>
      </c>
      <c r="Q117" s="1510">
        <f t="shared" si="31"/>
        <v>317.2213042265239</v>
      </c>
      <c r="R117" s="1511">
        <f t="shared" si="32"/>
        <v>221.36688549604628</v>
      </c>
      <c r="S117" s="1511">
        <f t="shared" si="33"/>
        <v>648.25391514420835</v>
      </c>
      <c r="T117" s="1511">
        <f t="shared" si="34"/>
        <v>436.49360546466687</v>
      </c>
      <c r="U117" s="1513">
        <f t="shared" si="35"/>
        <v>0</v>
      </c>
      <c r="V117" s="1511">
        <f t="shared" si="9"/>
        <v>1623.3357103314454</v>
      </c>
      <c r="W117" s="1456">
        <f t="shared" si="86"/>
        <v>0.5</v>
      </c>
      <c r="X117" s="530">
        <f t="shared" si="36"/>
        <v>3033.4854703020706</v>
      </c>
      <c r="Y117" s="528">
        <f t="shared" si="77"/>
        <v>4656.8211806335157</v>
      </c>
      <c r="Z117" s="528">
        <f t="shared" si="78"/>
        <v>9111.1302670739242</v>
      </c>
      <c r="AA117" s="530">
        <f t="shared" si="79"/>
        <v>6882.3239706817658</v>
      </c>
      <c r="AB117" s="1091">
        <f t="shared" si="37"/>
        <v>0.75537543300783594</v>
      </c>
      <c r="AC117" s="135" t="str">
        <f t="shared" si="38"/>
        <v>Yes</v>
      </c>
      <c r="AD117" s="1091">
        <f t="shared" si="39"/>
        <v>0.75537543300783594</v>
      </c>
      <c r="AE117" s="649">
        <f t="shared" si="10"/>
        <v>0.34885304461912336</v>
      </c>
      <c r="AF117" s="530">
        <f t="shared" si="11"/>
        <v>276.25764791535482</v>
      </c>
      <c r="AG117" s="527">
        <f t="shared" si="40"/>
        <v>2228.8062963921584</v>
      </c>
      <c r="AH117" s="528">
        <f t="shared" si="80"/>
        <v>9744.373313570286</v>
      </c>
      <c r="AI117" s="528">
        <f t="shared" si="81"/>
        <v>6437.6604656145792</v>
      </c>
      <c r="AJ117" s="528">
        <f t="shared" si="12"/>
        <v>880.32364615924473</v>
      </c>
      <c r="AK117" s="528">
        <f t="shared" si="41"/>
        <v>19291.16372173627</v>
      </c>
      <c r="AL117" s="716">
        <f t="shared" si="13"/>
        <v>0</v>
      </c>
      <c r="AM117" s="417">
        <f t="shared" si="42"/>
        <v>0.11553508790560191</v>
      </c>
      <c r="AN117" s="417">
        <f t="shared" si="43"/>
        <v>0.50512107274227513</v>
      </c>
      <c r="AO117" s="417">
        <f t="shared" si="44"/>
        <v>0.3337103224291732</v>
      </c>
      <c r="AP117" s="417">
        <f t="shared" si="45"/>
        <v>4.5633516922949667E-2</v>
      </c>
      <c r="AQ117" s="417">
        <f t="shared" si="46"/>
        <v>1</v>
      </c>
      <c r="AR117" s="1086">
        <f t="shared" si="14"/>
        <v>481.20856165522059</v>
      </c>
      <c r="AS117" s="938">
        <f t="shared" si="15"/>
        <v>610.30264071379247</v>
      </c>
      <c r="AT117" s="938">
        <f t="shared" si="16"/>
        <v>121.10472075020429</v>
      </c>
      <c r="AU117" s="938">
        <f t="shared" si="17"/>
        <v>0</v>
      </c>
      <c r="AV117" s="938">
        <f t="shared" si="18"/>
        <v>0</v>
      </c>
      <c r="AW117" s="938">
        <f t="shared" si="19"/>
        <v>0</v>
      </c>
      <c r="AX117" s="938">
        <f t="shared" si="20"/>
        <v>845.75495179923291</v>
      </c>
      <c r="AY117" s="938">
        <f t="shared" si="21"/>
        <v>68.125104328748591</v>
      </c>
      <c r="AZ117" s="938">
        <f t="shared" si="22"/>
        <v>19.149984725121655</v>
      </c>
      <c r="BA117" s="938">
        <f t="shared" si="23"/>
        <v>49.460680405609196</v>
      </c>
      <c r="BB117" s="938">
        <f t="shared" si="24"/>
        <v>33.699652014228135</v>
      </c>
      <c r="BC117" s="530">
        <f t="shared" si="47"/>
        <v>2228.8062963921575</v>
      </c>
      <c r="BD117" s="724">
        <f t="shared" si="48"/>
        <v>0</v>
      </c>
      <c r="BE117" s="436">
        <f t="shared" si="49"/>
        <v>0.21590416467961743</v>
      </c>
      <c r="BF117" s="624">
        <f t="shared" si="50"/>
        <v>0.27382489079544936</v>
      </c>
      <c r="BG117" s="624">
        <f t="shared" si="51"/>
        <v>5.4336135422015146E-2</v>
      </c>
      <c r="BH117" s="624">
        <f t="shared" si="52"/>
        <v>0</v>
      </c>
      <c r="BI117" s="624">
        <f t="shared" si="53"/>
        <v>0</v>
      </c>
      <c r="BJ117" s="624">
        <f t="shared" si="54"/>
        <v>0</v>
      </c>
      <c r="BK117" s="624">
        <f t="shared" si="55"/>
        <v>0.45593480910291823</v>
      </c>
      <c r="BL117" s="624">
        <f t="shared" si="56"/>
        <v>1.0000000000000002</v>
      </c>
      <c r="BM117" s="649">
        <f t="shared" si="92"/>
        <v>0.29028184578274857</v>
      </c>
      <c r="BN117" s="417">
        <f t="shared" si="92"/>
        <v>0.30317187715157518</v>
      </c>
      <c r="BO117" s="417">
        <f t="shared" si="92"/>
        <v>8.2805443243048754E-2</v>
      </c>
      <c r="BP117" s="417">
        <f t="shared" si="92"/>
        <v>0</v>
      </c>
      <c r="BQ117" s="417">
        <f t="shared" si="92"/>
        <v>0</v>
      </c>
      <c r="BR117" s="417">
        <f t="shared" si="92"/>
        <v>0</v>
      </c>
      <c r="BS117" s="417">
        <f t="shared" si="92"/>
        <v>0.32374083382262742</v>
      </c>
      <c r="BT117" s="525">
        <f t="shared" si="83"/>
        <v>0.99999999999999989</v>
      </c>
      <c r="BV117" s="527">
        <f t="shared" si="58"/>
        <v>46.793558277866452</v>
      </c>
      <c r="BW117" s="114">
        <f t="shared" si="59"/>
        <v>0.61579485100678721</v>
      </c>
      <c r="BX117" s="1695">
        <f t="shared" si="25"/>
        <v>27.502394556130181</v>
      </c>
      <c r="BY117" s="527">
        <f t="shared" si="60"/>
        <v>46.793558277866452</v>
      </c>
      <c r="BZ117" s="417">
        <f t="shared" si="61"/>
        <v>0.61579485100678721</v>
      </c>
      <c r="CA117" s="544">
        <f t="shared" si="26"/>
        <v>27.502394556130181</v>
      </c>
      <c r="CB117" s="649">
        <f t="shared" si="27"/>
        <v>0.34885304461912336</v>
      </c>
      <c r="CC117" s="525">
        <f t="shared" si="62"/>
        <v>0</v>
      </c>
      <c r="CD117" s="417">
        <f t="shared" si="28"/>
        <v>0.34885304461912336</v>
      </c>
      <c r="CE117" s="525">
        <f t="shared" si="63"/>
        <v>0</v>
      </c>
      <c r="CG117" s="527">
        <f t="shared" si="64"/>
        <v>1850.4576079880558</v>
      </c>
      <c r="CH117" s="528">
        <f t="shared" si="65"/>
        <v>814.84743127379011</v>
      </c>
      <c r="CI117" s="528">
        <f t="shared" si="66"/>
        <v>3103.3432107967428</v>
      </c>
      <c r="CJ117" s="528">
        <f t="shared" si="67"/>
        <v>3928.4424491820068</v>
      </c>
      <c r="CK117" s="528">
        <f t="shared" si="68"/>
        <v>47.28261432968921</v>
      </c>
      <c r="CL117" s="528">
        <f t="shared" si="69"/>
        <v>9744.373313570286</v>
      </c>
      <c r="CM117" s="646">
        <f t="shared" si="70"/>
        <v>0</v>
      </c>
    </row>
    <row r="118" spans="1:91">
      <c r="A118" s="873">
        <f>'Input data'!A138</f>
        <v>2038</v>
      </c>
      <c r="B118" s="1553">
        <f>'Input data'!B138</f>
        <v>70.341572426693446</v>
      </c>
      <c r="C118" s="1552">
        <f>'Input data'!C138</f>
        <v>0</v>
      </c>
      <c r="D118" s="1552">
        <f>'Input data'!D138</f>
        <v>25672806.243326273</v>
      </c>
      <c r="E118" s="1456">
        <f t="shared" si="88"/>
        <v>1</v>
      </c>
      <c r="F118" s="1506">
        <f t="shared" si="89"/>
        <v>0.36725000000000002</v>
      </c>
      <c r="G118" s="1513">
        <f>B118*F118*'Input data'!$C$9</f>
        <v>790.67120668560699</v>
      </c>
      <c r="H118" s="1544">
        <f>'Input data'!I138</f>
        <v>424.26313389388866</v>
      </c>
      <c r="I118" s="1511">
        <f>'Input data'!K138</f>
        <v>29843.335960772907</v>
      </c>
      <c r="J118" s="1511">
        <f t="shared" si="91"/>
        <v>2228.8062963921584</v>
      </c>
      <c r="K118" s="1513">
        <f t="shared" si="73"/>
        <v>11639.94247773166</v>
      </c>
      <c r="L118" s="1506">
        <f t="shared" si="90"/>
        <v>0.7</v>
      </c>
      <c r="M118" s="1506">
        <f t="shared" si="87"/>
        <v>0.6</v>
      </c>
      <c r="N118" s="1506">
        <f t="shared" si="87"/>
        <v>0.9</v>
      </c>
      <c r="O118" s="1506">
        <f t="shared" si="87"/>
        <v>0.9</v>
      </c>
      <c r="P118" s="1506">
        <f t="shared" si="87"/>
        <v>0.23600000000000002</v>
      </c>
      <c r="Q118" s="1510">
        <f t="shared" si="31"/>
        <v>319.54373102108343</v>
      </c>
      <c r="R118" s="1511">
        <f t="shared" si="32"/>
        <v>222.9875470955493</v>
      </c>
      <c r="S118" s="1511">
        <f t="shared" si="33"/>
        <v>652.99988347026374</v>
      </c>
      <c r="T118" s="1511">
        <f t="shared" si="34"/>
        <v>439.68924343563094</v>
      </c>
      <c r="U118" s="1513">
        <f t="shared" si="35"/>
        <v>0</v>
      </c>
      <c r="V118" s="1511">
        <f t="shared" si="9"/>
        <v>1635.2204050225273</v>
      </c>
      <c r="W118" s="1456">
        <f t="shared" si="86"/>
        <v>0.5</v>
      </c>
      <c r="X118" s="530">
        <f t="shared" si="36"/>
        <v>3033.4854703020706</v>
      </c>
      <c r="Y118" s="528">
        <f t="shared" si="77"/>
        <v>4668.7058753245983</v>
      </c>
      <c r="Z118" s="528">
        <f t="shared" si="78"/>
        <v>9200.04289879922</v>
      </c>
      <c r="AA118" s="530">
        <f t="shared" si="79"/>
        <v>6971.2366024070616</v>
      </c>
      <c r="AB118" s="1091">
        <f t="shared" si="37"/>
        <v>0.75773957568360251</v>
      </c>
      <c r="AC118" s="135" t="str">
        <f t="shared" si="38"/>
        <v>Yes</v>
      </c>
      <c r="AD118" s="1091">
        <f t="shared" si="39"/>
        <v>0.75773957568360251</v>
      </c>
      <c r="AE118" s="649">
        <f t="shared" si="10"/>
        <v>0.35126626747362921</v>
      </c>
      <c r="AF118" s="530">
        <f t="shared" si="11"/>
        <v>275.23380642431778</v>
      </c>
      <c r="AG118" s="527">
        <f t="shared" si="40"/>
        <v>2228.8062963921584</v>
      </c>
      <c r="AH118" s="528">
        <f t="shared" si="80"/>
        <v>9815.7133950153402</v>
      </c>
      <c r="AI118" s="528">
        <f t="shared" si="81"/>
        <v>6437.6604656145792</v>
      </c>
      <c r="AJ118" s="528">
        <f t="shared" si="12"/>
        <v>878.19857184859723</v>
      </c>
      <c r="AK118" s="528">
        <f t="shared" si="41"/>
        <v>19360.378728870674</v>
      </c>
      <c r="AL118" s="716">
        <f t="shared" si="13"/>
        <v>0</v>
      </c>
      <c r="AM118" s="417">
        <f t="shared" si="42"/>
        <v>0.11512204010082239</v>
      </c>
      <c r="AN118" s="417">
        <f t="shared" si="43"/>
        <v>0.50700007125263036</v>
      </c>
      <c r="AO118" s="417">
        <f t="shared" si="44"/>
        <v>0.33251727953103422</v>
      </c>
      <c r="AP118" s="417">
        <f t="shared" si="45"/>
        <v>4.5360609115513109E-2</v>
      </c>
      <c r="AQ118" s="417">
        <f t="shared" si="46"/>
        <v>1.0000000000000002</v>
      </c>
      <c r="AR118" s="1086">
        <f t="shared" si="14"/>
        <v>482.41890912852034</v>
      </c>
      <c r="AS118" s="938">
        <f t="shared" si="15"/>
        <v>611.83768875324381</v>
      </c>
      <c r="AT118" s="938">
        <f t="shared" si="16"/>
        <v>120.81237766469563</v>
      </c>
      <c r="AU118" s="938">
        <f t="shared" si="17"/>
        <v>0</v>
      </c>
      <c r="AV118" s="938">
        <f t="shared" si="18"/>
        <v>0</v>
      </c>
      <c r="AW118" s="938">
        <f t="shared" si="19"/>
        <v>0</v>
      </c>
      <c r="AX118" s="938">
        <f t="shared" si="20"/>
        <v>843.71332525766161</v>
      </c>
      <c r="AY118" s="938">
        <f t="shared" si="21"/>
        <v>67.960652414102398</v>
      </c>
      <c r="AZ118" s="938">
        <f t="shared" si="22"/>
        <v>19.103757248708586</v>
      </c>
      <c r="BA118" s="938">
        <f t="shared" si="23"/>
        <v>49.341283838476528</v>
      </c>
      <c r="BB118" s="938">
        <f t="shared" si="24"/>
        <v>33.618302086749033</v>
      </c>
      <c r="BC118" s="530">
        <f t="shared" si="47"/>
        <v>2228.8062963921575</v>
      </c>
      <c r="BD118" s="724">
        <f t="shared" si="48"/>
        <v>0</v>
      </c>
      <c r="BE118" s="436">
        <f t="shared" si="49"/>
        <v>0.21644721208362872</v>
      </c>
      <c r="BF118" s="624">
        <f t="shared" si="50"/>
        <v>0.27451362181794159</v>
      </c>
      <c r="BG118" s="624">
        <f t="shared" si="51"/>
        <v>5.4204969655846105E-2</v>
      </c>
      <c r="BH118" s="624">
        <f t="shared" si="52"/>
        <v>0</v>
      </c>
      <c r="BI118" s="624">
        <f t="shared" si="53"/>
        <v>0</v>
      </c>
      <c r="BJ118" s="624">
        <f t="shared" si="54"/>
        <v>0</v>
      </c>
      <c r="BK118" s="624">
        <f t="shared" si="55"/>
        <v>0.45483419644258377</v>
      </c>
      <c r="BL118" s="624">
        <f t="shared" si="56"/>
        <v>1.0000000000000002</v>
      </c>
      <c r="BM118" s="649">
        <f t="shared" si="92"/>
        <v>0.29028184578274857</v>
      </c>
      <c r="BN118" s="417">
        <f t="shared" si="92"/>
        <v>0.30317187715157518</v>
      </c>
      <c r="BO118" s="417">
        <f t="shared" si="92"/>
        <v>8.2805443243048754E-2</v>
      </c>
      <c r="BP118" s="417">
        <f t="shared" si="92"/>
        <v>0</v>
      </c>
      <c r="BQ118" s="417">
        <f t="shared" si="92"/>
        <v>0</v>
      </c>
      <c r="BR118" s="417">
        <f t="shared" si="92"/>
        <v>0</v>
      </c>
      <c r="BS118" s="417">
        <f t="shared" si="92"/>
        <v>0.32374083382262742</v>
      </c>
      <c r="BT118" s="525">
        <f t="shared" si="83"/>
        <v>0.99999999999999989</v>
      </c>
      <c r="BV118" s="527">
        <f t="shared" si="58"/>
        <v>45.033184972196949</v>
      </c>
      <c r="BW118" s="114">
        <f t="shared" si="59"/>
        <v>0.62515258352679648</v>
      </c>
      <c r="BX118" s="1695">
        <f t="shared" si="25"/>
        <v>25.672806243326274</v>
      </c>
      <c r="BY118" s="527">
        <f t="shared" si="60"/>
        <v>45.033184972196949</v>
      </c>
      <c r="BZ118" s="417">
        <f t="shared" si="61"/>
        <v>0.62515258352679648</v>
      </c>
      <c r="CA118" s="544">
        <f t="shared" si="26"/>
        <v>25.672806243326274</v>
      </c>
      <c r="CB118" s="649">
        <f t="shared" si="27"/>
        <v>0.35126626747362921</v>
      </c>
      <c r="CC118" s="525">
        <f t="shared" si="62"/>
        <v>-2.2204460492503131E-16</v>
      </c>
      <c r="CD118" s="417">
        <f t="shared" si="28"/>
        <v>0.35126626747362921</v>
      </c>
      <c r="CE118" s="525">
        <f t="shared" si="63"/>
        <v>-2.2204460492503131E-16</v>
      </c>
      <c r="CG118" s="527">
        <f t="shared" si="64"/>
        <v>1864.0050976229863</v>
      </c>
      <c r="CH118" s="528">
        <f t="shared" si="65"/>
        <v>820.81305679343336</v>
      </c>
      <c r="CI118" s="528">
        <f t="shared" si="66"/>
        <v>3126.0632719321143</v>
      </c>
      <c r="CJ118" s="528">
        <f t="shared" si="67"/>
        <v>3957.2031909206844</v>
      </c>
      <c r="CK118" s="528">
        <f t="shared" si="68"/>
        <v>47.628777746121287</v>
      </c>
      <c r="CL118" s="528">
        <f t="shared" si="69"/>
        <v>9815.7133950153402</v>
      </c>
      <c r="CM118" s="646">
        <f t="shared" si="70"/>
        <v>0</v>
      </c>
    </row>
    <row r="119" spans="1:91">
      <c r="A119" s="873">
        <f>'Input data'!A139</f>
        <v>2039</v>
      </c>
      <c r="B119" s="1553">
        <f>'Input data'!B139</f>
        <v>70.856554082712819</v>
      </c>
      <c r="C119" s="1552">
        <f>'Input data'!C139</f>
        <v>0</v>
      </c>
      <c r="D119" s="1552">
        <f>'Input data'!D139</f>
        <v>23843217.930522356</v>
      </c>
      <c r="E119" s="1456">
        <f t="shared" si="88"/>
        <v>1</v>
      </c>
      <c r="F119" s="1506">
        <f t="shared" si="89"/>
        <v>0.36725000000000002</v>
      </c>
      <c r="G119" s="1513">
        <f>B119*F119*'Input data'!$C$9</f>
        <v>796.45983428289492</v>
      </c>
      <c r="H119" s="1544">
        <f>'Input data'!I139</f>
        <v>424.26313389388866</v>
      </c>
      <c r="I119" s="1511">
        <f>'Input data'!K139</f>
        <v>30061.823692053553</v>
      </c>
      <c r="J119" s="1511">
        <f t="shared" si="91"/>
        <v>2228.8062963921584</v>
      </c>
      <c r="K119" s="1513">
        <f t="shared" si="73"/>
        <v>11741.477757143535</v>
      </c>
      <c r="L119" s="1506">
        <f t="shared" si="90"/>
        <v>0.7</v>
      </c>
      <c r="M119" s="1506">
        <f t="shared" si="87"/>
        <v>0.6</v>
      </c>
      <c r="N119" s="1506">
        <f t="shared" si="87"/>
        <v>0.9</v>
      </c>
      <c r="O119" s="1506">
        <f t="shared" si="87"/>
        <v>0.9</v>
      </c>
      <c r="P119" s="1506">
        <f t="shared" si="87"/>
        <v>0.23600000000000002</v>
      </c>
      <c r="Q119" s="1510">
        <f t="shared" si="31"/>
        <v>321.88316066552784</v>
      </c>
      <c r="R119" s="1511">
        <f t="shared" si="32"/>
        <v>224.62007381215983</v>
      </c>
      <c r="S119" s="1511">
        <f t="shared" si="33"/>
        <v>657.78059777289673</v>
      </c>
      <c r="T119" s="1511">
        <f t="shared" si="34"/>
        <v>442.90827717210823</v>
      </c>
      <c r="U119" s="1513">
        <f t="shared" si="35"/>
        <v>0</v>
      </c>
      <c r="V119" s="1511">
        <f t="shared" si="9"/>
        <v>1647.1921094226927</v>
      </c>
      <c r="W119" s="1456">
        <f t="shared" si="86"/>
        <v>0.5</v>
      </c>
      <c r="X119" s="530">
        <f t="shared" si="36"/>
        <v>3033.4854703020706</v>
      </c>
      <c r="Y119" s="528">
        <f t="shared" si="77"/>
        <v>4680.6775797247628</v>
      </c>
      <c r="Z119" s="528">
        <f t="shared" si="78"/>
        <v>9289.6064738109308</v>
      </c>
      <c r="AA119" s="530">
        <f t="shared" si="79"/>
        <v>7060.8001774187724</v>
      </c>
      <c r="AB119" s="1091">
        <f t="shared" si="37"/>
        <v>0.76007527308335787</v>
      </c>
      <c r="AC119" s="135" t="str">
        <f t="shared" si="38"/>
        <v>Yes</v>
      </c>
      <c r="AD119" s="1091">
        <f t="shared" si="39"/>
        <v>0.76007527308335787</v>
      </c>
      <c r="AE119" s="649">
        <f t="shared" si="10"/>
        <v>0.35366058307858594</v>
      </c>
      <c r="AF119" s="530">
        <f t="shared" si="11"/>
        <v>274.21798658222781</v>
      </c>
      <c r="AG119" s="527">
        <f t="shared" si="40"/>
        <v>2228.8062963921584</v>
      </c>
      <c r="AH119" s="528">
        <f t="shared" si="80"/>
        <v>9887.5757683571446</v>
      </c>
      <c r="AI119" s="528">
        <f t="shared" si="81"/>
        <v>6437.6604656145792</v>
      </c>
      <c r="AJ119" s="528">
        <f t="shared" si="12"/>
        <v>876.09906635235745</v>
      </c>
      <c r="AK119" s="528">
        <f t="shared" si="41"/>
        <v>19430.141596716243</v>
      </c>
      <c r="AL119" s="716">
        <f t="shared" si="13"/>
        <v>0</v>
      </c>
      <c r="AM119" s="417">
        <f t="shared" si="42"/>
        <v>0.11470870066993408</v>
      </c>
      <c r="AN119" s="417">
        <f t="shared" si="43"/>
        <v>0.50887821476443473</v>
      </c>
      <c r="AO119" s="417">
        <f t="shared" si="44"/>
        <v>0.33132339430313595</v>
      </c>
      <c r="AP119" s="417">
        <f t="shared" si="45"/>
        <v>4.5089690262495104E-2</v>
      </c>
      <c r="AQ119" s="417">
        <f t="shared" si="46"/>
        <v>0.99999999999999989</v>
      </c>
      <c r="AR119" s="1086">
        <f t="shared" si="14"/>
        <v>483.61469374641342</v>
      </c>
      <c r="AS119" s="938">
        <f t="shared" si="15"/>
        <v>613.35426715225412</v>
      </c>
      <c r="AT119" s="938">
        <f t="shared" si="16"/>
        <v>120.52355204022797</v>
      </c>
      <c r="AU119" s="938">
        <f t="shared" si="17"/>
        <v>0</v>
      </c>
      <c r="AV119" s="938">
        <f t="shared" si="18"/>
        <v>0</v>
      </c>
      <c r="AW119" s="938">
        <f t="shared" si="19"/>
        <v>0</v>
      </c>
      <c r="AX119" s="938">
        <f t="shared" si="20"/>
        <v>841.69626349007024</v>
      </c>
      <c r="AY119" s="938">
        <f t="shared" si="21"/>
        <v>67.798179178725647</v>
      </c>
      <c r="AZ119" s="938">
        <f t="shared" si="22"/>
        <v>19.058085979558079</v>
      </c>
      <c r="BA119" s="938">
        <f t="shared" si="23"/>
        <v>49.223323846361851</v>
      </c>
      <c r="BB119" s="938">
        <f t="shared" si="24"/>
        <v>33.53793095854644</v>
      </c>
      <c r="BC119" s="530">
        <f t="shared" si="47"/>
        <v>2228.8062963921579</v>
      </c>
      <c r="BD119" s="724">
        <f t="shared" si="48"/>
        <v>0</v>
      </c>
      <c r="BE119" s="436">
        <f t="shared" si="49"/>
        <v>0.21698372556164097</v>
      </c>
      <c r="BF119" s="624">
        <f t="shared" si="50"/>
        <v>0.27519406605460101</v>
      </c>
      <c r="BG119" s="624">
        <f t="shared" si="51"/>
        <v>5.4075382071256443E-2</v>
      </c>
      <c r="BH119" s="624">
        <f t="shared" si="52"/>
        <v>0</v>
      </c>
      <c r="BI119" s="624">
        <f t="shared" si="53"/>
        <v>0</v>
      </c>
      <c r="BJ119" s="624">
        <f t="shared" si="54"/>
        <v>0</v>
      </c>
      <c r="BK119" s="624">
        <f t="shared" si="55"/>
        <v>0.45374682631250146</v>
      </c>
      <c r="BL119" s="624">
        <f t="shared" si="56"/>
        <v>0.99999999999999978</v>
      </c>
      <c r="BM119" s="649">
        <f t="shared" si="92"/>
        <v>0.29028184578274857</v>
      </c>
      <c r="BN119" s="417">
        <f t="shared" si="92"/>
        <v>0.30317187715157518</v>
      </c>
      <c r="BO119" s="417">
        <f t="shared" si="92"/>
        <v>8.2805443243048754E-2</v>
      </c>
      <c r="BP119" s="417">
        <f t="shared" si="92"/>
        <v>0</v>
      </c>
      <c r="BQ119" s="417">
        <f t="shared" si="92"/>
        <v>0</v>
      </c>
      <c r="BR119" s="417">
        <f t="shared" si="92"/>
        <v>0</v>
      </c>
      <c r="BS119" s="417">
        <f t="shared" si="92"/>
        <v>0.32374083382262742</v>
      </c>
      <c r="BT119" s="525">
        <f t="shared" si="83"/>
        <v>0.99999999999999989</v>
      </c>
      <c r="BV119" s="527">
        <f t="shared" si="58"/>
        <v>43.407287438448272</v>
      </c>
      <c r="BW119" s="114">
        <f t="shared" si="59"/>
        <v>0.6333162262561266</v>
      </c>
      <c r="BX119" s="1695">
        <f t="shared" si="25"/>
        <v>23.843217930522357</v>
      </c>
      <c r="BY119" s="527">
        <f t="shared" si="60"/>
        <v>43.407287438448272</v>
      </c>
      <c r="BZ119" s="417">
        <f t="shared" si="61"/>
        <v>0.6333162262561266</v>
      </c>
      <c r="CA119" s="544">
        <f t="shared" si="26"/>
        <v>23.843217930522357</v>
      </c>
      <c r="CB119" s="649">
        <f t="shared" si="27"/>
        <v>0.35366058307858594</v>
      </c>
      <c r="CC119" s="525">
        <f t="shared" si="62"/>
        <v>-5.6170233229393407E-3</v>
      </c>
      <c r="CD119" s="417">
        <f t="shared" si="28"/>
        <v>0.35366058307858594</v>
      </c>
      <c r="CE119" s="525">
        <f t="shared" si="63"/>
        <v>-5.6170233229393407E-3</v>
      </c>
      <c r="CG119" s="527">
        <f t="shared" si="64"/>
        <v>1877.6517705489127</v>
      </c>
      <c r="CH119" s="528">
        <f t="shared" si="65"/>
        <v>826.82235759077241</v>
      </c>
      <c r="CI119" s="528">
        <f t="shared" si="66"/>
        <v>3148.9496701893991</v>
      </c>
      <c r="CJ119" s="528">
        <f t="shared" si="67"/>
        <v>3986.17449454898</v>
      </c>
      <c r="CK119" s="528">
        <f t="shared" si="68"/>
        <v>47.977475479079111</v>
      </c>
      <c r="CL119" s="528">
        <f t="shared" si="69"/>
        <v>9887.5757683571446</v>
      </c>
      <c r="CM119" s="646">
        <f t="shared" si="70"/>
        <v>0</v>
      </c>
    </row>
    <row r="120" spans="1:91">
      <c r="A120" s="873">
        <f>'Input data'!A140</f>
        <v>2040</v>
      </c>
      <c r="B120" s="1553">
        <f>'Input data'!B140</f>
        <v>71.375305999999995</v>
      </c>
      <c r="C120" s="1552">
        <f>'Input data'!C140</f>
        <v>0</v>
      </c>
      <c r="D120" s="1552">
        <f>'Input data'!D140</f>
        <v>22013629.617718432</v>
      </c>
      <c r="E120" s="1456">
        <f t="shared" si="88"/>
        <v>1</v>
      </c>
      <c r="F120" s="1506">
        <f t="shared" si="89"/>
        <v>0.36725000000000002</v>
      </c>
      <c r="G120" s="1513">
        <f>B120*F120*'Input data'!$C$9</f>
        <v>802.29084132839955</v>
      </c>
      <c r="H120" s="1544">
        <f>'Input data'!I140</f>
        <v>424.26313389388866</v>
      </c>
      <c r="I120" s="1511">
        <f>'Input data'!K140</f>
        <v>30281.911006195274</v>
      </c>
      <c r="J120" s="1511">
        <f t="shared" si="91"/>
        <v>2228.8062963921584</v>
      </c>
      <c r="K120" s="1513">
        <f t="shared" si="73"/>
        <v>11843.756392220233</v>
      </c>
      <c r="L120" s="1506">
        <f t="shared" si="90"/>
        <v>0.7</v>
      </c>
      <c r="M120" s="1506">
        <f t="shared" si="87"/>
        <v>0.6</v>
      </c>
      <c r="N120" s="1506">
        <f t="shared" si="87"/>
        <v>0.9</v>
      </c>
      <c r="O120" s="1506">
        <f t="shared" si="87"/>
        <v>0.9</v>
      </c>
      <c r="P120" s="1506">
        <f t="shared" si="87"/>
        <v>0.23600000000000002</v>
      </c>
      <c r="Q120" s="1510">
        <f t="shared" si="31"/>
        <v>324.23971764038129</v>
      </c>
      <c r="R120" s="1511">
        <f t="shared" si="32"/>
        <v>226.26455251225605</v>
      </c>
      <c r="S120" s="1511">
        <f t="shared" si="33"/>
        <v>662.59631243283684</v>
      </c>
      <c r="T120" s="1511">
        <f t="shared" si="34"/>
        <v>446.15087795815862</v>
      </c>
      <c r="U120" s="1513">
        <f t="shared" si="35"/>
        <v>0</v>
      </c>
      <c r="V120" s="1511">
        <f t="shared" si="9"/>
        <v>1659.2514605436327</v>
      </c>
      <c r="W120" s="1456">
        <f t="shared" si="86"/>
        <v>0.5</v>
      </c>
      <c r="X120" s="530">
        <f t="shared" si="36"/>
        <v>3033.4854703020706</v>
      </c>
      <c r="Y120" s="528">
        <f t="shared" si="77"/>
        <v>4692.7369308457037</v>
      </c>
      <c r="Z120" s="528">
        <f t="shared" si="78"/>
        <v>9379.8257577666882</v>
      </c>
      <c r="AA120" s="530">
        <f t="shared" si="79"/>
        <v>7151.0194613745298</v>
      </c>
      <c r="AB120" s="1091">
        <f t="shared" si="37"/>
        <v>0.762382974486849</v>
      </c>
      <c r="AC120" s="135" t="str">
        <f t="shared" si="38"/>
        <v>Yes</v>
      </c>
      <c r="AD120" s="1091">
        <f t="shared" si="39"/>
        <v>0.762382974486849</v>
      </c>
      <c r="AE120" s="649">
        <f t="shared" si="10"/>
        <v>0.3560361583119136</v>
      </c>
      <c r="AF120" s="530">
        <f t="shared" si="11"/>
        <v>273.21011758893553</v>
      </c>
      <c r="AG120" s="527">
        <f t="shared" si="40"/>
        <v>2228.8062963921584</v>
      </c>
      <c r="AH120" s="528">
        <f t="shared" si="80"/>
        <v>9959.9642573763813</v>
      </c>
      <c r="AI120" s="528">
        <f t="shared" si="81"/>
        <v>6437.6604656145792</v>
      </c>
      <c r="AJ120" s="528">
        <f t="shared" si="12"/>
        <v>874.0247258231359</v>
      </c>
      <c r="AK120" s="528">
        <f t="shared" si="41"/>
        <v>19500.455745206255</v>
      </c>
      <c r="AL120" s="716">
        <f t="shared" si="13"/>
        <v>0</v>
      </c>
      <c r="AM120" s="417">
        <f t="shared" si="42"/>
        <v>0.11429508753609822</v>
      </c>
      <c r="AN120" s="417">
        <f t="shared" si="43"/>
        <v>0.51075546066787758</v>
      </c>
      <c r="AO120" s="417">
        <f t="shared" si="44"/>
        <v>0.33012871851454711</v>
      </c>
      <c r="AP120" s="417">
        <f t="shared" si="45"/>
        <v>4.4820733281477031E-2</v>
      </c>
      <c r="AQ120" s="417">
        <f t="shared" si="46"/>
        <v>0.99999999999999989</v>
      </c>
      <c r="AR120" s="1086">
        <f t="shared" si="14"/>
        <v>484.79614552234727</v>
      </c>
      <c r="AS120" s="938">
        <f t="shared" si="15"/>
        <v>614.85266763010145</v>
      </c>
      <c r="AT120" s="938">
        <f t="shared" si="16"/>
        <v>120.23818832015957</v>
      </c>
      <c r="AU120" s="938">
        <f t="shared" si="17"/>
        <v>0</v>
      </c>
      <c r="AV120" s="938">
        <f t="shared" si="18"/>
        <v>0</v>
      </c>
      <c r="AW120" s="938">
        <f t="shared" si="19"/>
        <v>0</v>
      </c>
      <c r="AX120" s="938">
        <f t="shared" si="20"/>
        <v>839.70337850741521</v>
      </c>
      <c r="AY120" s="938">
        <f t="shared" si="21"/>
        <v>67.637653370310673</v>
      </c>
      <c r="AZ120" s="938">
        <f t="shared" si="22"/>
        <v>19.012962132638233</v>
      </c>
      <c r="BA120" s="938">
        <f t="shared" si="23"/>
        <v>49.10677773923868</v>
      </c>
      <c r="BB120" s="938">
        <f t="shared" si="24"/>
        <v>33.45852316994646</v>
      </c>
      <c r="BC120" s="530">
        <f t="shared" si="47"/>
        <v>2228.8062963921575</v>
      </c>
      <c r="BD120" s="724">
        <f t="shared" si="48"/>
        <v>0</v>
      </c>
      <c r="BE120" s="436">
        <f t="shared" si="49"/>
        <v>0.21751380831394043</v>
      </c>
      <c r="BF120" s="624">
        <f t="shared" si="50"/>
        <v>0.27586635439130974</v>
      </c>
      <c r="BG120" s="624">
        <f t="shared" si="51"/>
        <v>5.3947347741610877E-2</v>
      </c>
      <c r="BH120" s="624">
        <f t="shared" si="52"/>
        <v>0</v>
      </c>
      <c r="BI120" s="624">
        <f t="shared" si="53"/>
        <v>0</v>
      </c>
      <c r="BJ120" s="624">
        <f t="shared" si="54"/>
        <v>0</v>
      </c>
      <c r="BK120" s="624">
        <f t="shared" si="55"/>
        <v>0.45267248955313899</v>
      </c>
      <c r="BL120" s="624">
        <f t="shared" si="56"/>
        <v>1</v>
      </c>
      <c r="BM120" s="649">
        <f t="shared" si="92"/>
        <v>0.29028184578274857</v>
      </c>
      <c r="BN120" s="417">
        <f t="shared" si="92"/>
        <v>0.30317187715157518</v>
      </c>
      <c r="BO120" s="417">
        <f t="shared" si="92"/>
        <v>8.2805443243048754E-2</v>
      </c>
      <c r="BP120" s="417">
        <f t="shared" si="92"/>
        <v>0</v>
      </c>
      <c r="BQ120" s="417">
        <f t="shared" si="92"/>
        <v>0</v>
      </c>
      <c r="BR120" s="417">
        <f t="shared" si="92"/>
        <v>0</v>
      </c>
      <c r="BS120" s="417">
        <f t="shared" si="92"/>
        <v>0.32374083382262742</v>
      </c>
      <c r="BT120" s="525">
        <f t="shared" si="83"/>
        <v>0.99999999999999989</v>
      </c>
      <c r="BV120" s="527">
        <f t="shared" si="58"/>
        <v>42.266002362924688</v>
      </c>
      <c r="BW120" s="114">
        <f t="shared" si="59"/>
        <v>0.63476592996728776</v>
      </c>
      <c r="BX120" s="1695">
        <f t="shared" si="25"/>
        <v>22.013629617718433</v>
      </c>
      <c r="BY120" s="527">
        <f t="shared" si="60"/>
        <v>42.266002362924688</v>
      </c>
      <c r="BZ120" s="417">
        <f t="shared" si="61"/>
        <v>0.63476592996728776</v>
      </c>
      <c r="CA120" s="544">
        <f t="shared" si="26"/>
        <v>22.013629617718433</v>
      </c>
      <c r="CB120" s="649">
        <f t="shared" si="27"/>
        <v>0.3560361583119136</v>
      </c>
      <c r="CC120" s="525">
        <f t="shared" si="62"/>
        <v>-3.4156884305657442E-2</v>
      </c>
      <c r="CD120" s="417">
        <f t="shared" si="28"/>
        <v>0.3560361583119136</v>
      </c>
      <c r="CE120" s="525">
        <f t="shared" si="63"/>
        <v>-3.4156884305657442E-2</v>
      </c>
      <c r="CG120" s="527">
        <f t="shared" si="64"/>
        <v>1891.3983529022248</v>
      </c>
      <c r="CH120" s="528">
        <f t="shared" si="65"/>
        <v>832.87565341934783</v>
      </c>
      <c r="CI120" s="528">
        <f t="shared" si="66"/>
        <v>3172.003623348689</v>
      </c>
      <c r="CJ120" s="528">
        <f t="shared" si="67"/>
        <v>4015.3579016234294</v>
      </c>
      <c r="CK120" s="528">
        <f t="shared" si="68"/>
        <v>48.328726082690423</v>
      </c>
      <c r="CL120" s="528">
        <f t="shared" si="69"/>
        <v>9959.9642573763813</v>
      </c>
      <c r="CM120" s="646">
        <f t="shared" si="70"/>
        <v>0</v>
      </c>
    </row>
    <row r="121" spans="1:91">
      <c r="A121" s="873">
        <f>'Input data'!A141</f>
        <v>2041</v>
      </c>
      <c r="B121" s="1553">
        <f>'Input data'!B141</f>
        <v>71.818612994947316</v>
      </c>
      <c r="C121" s="1552">
        <f>'Input data'!C141</f>
        <v>0</v>
      </c>
      <c r="D121" s="1552">
        <f>'Input data'!D141</f>
        <v>20405559.977125086</v>
      </c>
      <c r="E121" s="1456">
        <f t="shared" si="88"/>
        <v>1</v>
      </c>
      <c r="F121" s="1506">
        <f t="shared" si="89"/>
        <v>0.36725000000000002</v>
      </c>
      <c r="G121" s="1513">
        <f>B121*F121*'Input data'!$C$9</f>
        <v>807.27381319745268</v>
      </c>
      <c r="H121" s="1544">
        <f>'Input data'!I141</f>
        <v>424.26313389388866</v>
      </c>
      <c r="I121" s="1511">
        <f>'Input data'!K141</f>
        <v>30469.989821148705</v>
      </c>
      <c r="J121" s="1511">
        <f t="shared" si="91"/>
        <v>2228.8062963921584</v>
      </c>
      <c r="K121" s="1513">
        <f t="shared" si="73"/>
        <v>11931.16008722781</v>
      </c>
      <c r="L121" s="1506">
        <f t="shared" si="90"/>
        <v>0.7</v>
      </c>
      <c r="M121" s="1506">
        <f t="shared" si="87"/>
        <v>0.6</v>
      </c>
      <c r="N121" s="1506">
        <f t="shared" si="87"/>
        <v>0.9</v>
      </c>
      <c r="O121" s="1506">
        <f t="shared" si="87"/>
        <v>0.9</v>
      </c>
      <c r="P121" s="1506">
        <f t="shared" si="87"/>
        <v>0.23600000000000002</v>
      </c>
      <c r="Q121" s="1510">
        <f t="shared" si="31"/>
        <v>326.25354767383487</v>
      </c>
      <c r="R121" s="1511">
        <f t="shared" si="32"/>
        <v>227.6698657005079</v>
      </c>
      <c r="S121" s="1511">
        <f t="shared" si="33"/>
        <v>666.71165142876089</v>
      </c>
      <c r="T121" s="1511">
        <f t="shared" si="34"/>
        <v>448.92188961589818</v>
      </c>
      <c r="U121" s="1513">
        <f t="shared" si="35"/>
        <v>0</v>
      </c>
      <c r="V121" s="1511">
        <f t="shared" si="9"/>
        <v>1669.5569544190018</v>
      </c>
      <c r="W121" s="1456">
        <f t="shared" si="86"/>
        <v>0.5</v>
      </c>
      <c r="X121" s="530">
        <f t="shared" si="36"/>
        <v>3033.4854703020706</v>
      </c>
      <c r="Y121" s="528">
        <f t="shared" si="77"/>
        <v>4703.0424247210722</v>
      </c>
      <c r="Z121" s="528">
        <f t="shared" si="78"/>
        <v>9456.9239588988967</v>
      </c>
      <c r="AA121" s="530">
        <f t="shared" si="79"/>
        <v>7228.1176625067383</v>
      </c>
      <c r="AB121" s="1091">
        <f t="shared" si="37"/>
        <v>0.76432016308063178</v>
      </c>
      <c r="AC121" s="135" t="str">
        <f t="shared" si="38"/>
        <v>Yes</v>
      </c>
      <c r="AD121" s="1091">
        <f t="shared" si="39"/>
        <v>0.76432016308063178</v>
      </c>
      <c r="AE121" s="649">
        <f t="shared" si="10"/>
        <v>0.35803801704304605</v>
      </c>
      <c r="AF121" s="530">
        <f t="shared" si="11"/>
        <v>272.36080273005246</v>
      </c>
      <c r="AG121" s="527">
        <f t="shared" si="40"/>
        <v>2228.8062963921584</v>
      </c>
      <c r="AH121" s="528">
        <f t="shared" si="80"/>
        <v>10021.82489338851</v>
      </c>
      <c r="AI121" s="528">
        <f t="shared" si="81"/>
        <v>6437.6604656145792</v>
      </c>
      <c r="AJ121" s="528">
        <f t="shared" si="12"/>
        <v>872.2834308675798</v>
      </c>
      <c r="AK121" s="528">
        <f t="shared" si="41"/>
        <v>19560.575086262827</v>
      </c>
      <c r="AL121" s="716">
        <f t="shared" si="13"/>
        <v>0</v>
      </c>
      <c r="AM121" s="417">
        <f t="shared" si="42"/>
        <v>0.11394380208981811</v>
      </c>
      <c r="AN121" s="417">
        <f t="shared" si="43"/>
        <v>0.51234817223889928</v>
      </c>
      <c r="AO121" s="417">
        <f t="shared" si="44"/>
        <v>0.32911406935758636</v>
      </c>
      <c r="AP121" s="417">
        <f t="shared" si="45"/>
        <v>4.4593956313696254E-2</v>
      </c>
      <c r="AQ121" s="417">
        <f t="shared" si="46"/>
        <v>1</v>
      </c>
      <c r="AR121" s="1086">
        <f t="shared" si="14"/>
        <v>485.78790940522276</v>
      </c>
      <c r="AS121" s="938">
        <f t="shared" si="15"/>
        <v>616.11049254203056</v>
      </c>
      <c r="AT121" s="938">
        <f t="shared" si="16"/>
        <v>119.9986411487795</v>
      </c>
      <c r="AU121" s="938">
        <f t="shared" si="17"/>
        <v>0</v>
      </c>
      <c r="AV121" s="938">
        <f t="shared" si="18"/>
        <v>0</v>
      </c>
      <c r="AW121" s="938">
        <f t="shared" si="19"/>
        <v>0</v>
      </c>
      <c r="AX121" s="938">
        <f t="shared" si="20"/>
        <v>838.03046100982215</v>
      </c>
      <c r="AY121" s="938">
        <f t="shared" si="21"/>
        <v>67.502900769909758</v>
      </c>
      <c r="AZ121" s="938">
        <f t="shared" si="22"/>
        <v>18.975083141262264</v>
      </c>
      <c r="BA121" s="938">
        <f t="shared" si="23"/>
        <v>49.008943682793195</v>
      </c>
      <c r="BB121" s="938">
        <f t="shared" si="24"/>
        <v>33.391864692337244</v>
      </c>
      <c r="BC121" s="530">
        <f t="shared" si="47"/>
        <v>2228.8062963921575</v>
      </c>
      <c r="BD121" s="724">
        <f t="shared" si="48"/>
        <v>0</v>
      </c>
      <c r="BE121" s="436">
        <f t="shared" si="49"/>
        <v>0.21795878367338772</v>
      </c>
      <c r="BF121" s="624">
        <f t="shared" si="50"/>
        <v>0.27643070352921606</v>
      </c>
      <c r="BG121" s="624">
        <f t="shared" si="51"/>
        <v>5.3839869953268379E-2</v>
      </c>
      <c r="BH121" s="624">
        <f t="shared" si="52"/>
        <v>0</v>
      </c>
      <c r="BI121" s="624">
        <f t="shared" si="53"/>
        <v>0</v>
      </c>
      <c r="BJ121" s="624">
        <f t="shared" si="54"/>
        <v>0</v>
      </c>
      <c r="BK121" s="624">
        <f t="shared" si="55"/>
        <v>0.45177064284412777</v>
      </c>
      <c r="BL121" s="624">
        <f t="shared" si="56"/>
        <v>1</v>
      </c>
      <c r="BM121" s="649">
        <f t="shared" si="92"/>
        <v>0.29028184578274857</v>
      </c>
      <c r="BN121" s="417">
        <f t="shared" si="92"/>
        <v>0.30317187715157518</v>
      </c>
      <c r="BO121" s="417">
        <f t="shared" si="92"/>
        <v>8.2805443243048754E-2</v>
      </c>
      <c r="BP121" s="417">
        <f t="shared" si="92"/>
        <v>0</v>
      </c>
      <c r="BQ121" s="417">
        <f t="shared" si="92"/>
        <v>0</v>
      </c>
      <c r="BR121" s="417">
        <f t="shared" si="92"/>
        <v>0</v>
      </c>
      <c r="BS121" s="417">
        <f t="shared" si="92"/>
        <v>0.32374083382262742</v>
      </c>
      <c r="BT121" s="525">
        <f t="shared" si="83"/>
        <v>0.99999999999999989</v>
      </c>
      <c r="BV121" s="527">
        <f t="shared" si="58"/>
        <v>40.718052063387915</v>
      </c>
      <c r="BW121" s="114">
        <f t="shared" si="59"/>
        <v>0.64457675283341964</v>
      </c>
      <c r="BX121" s="1695">
        <f t="shared" si="25"/>
        <v>20.405559977125087</v>
      </c>
      <c r="BY121" s="527">
        <f t="shared" si="60"/>
        <v>40.718052063387915</v>
      </c>
      <c r="BZ121" s="417">
        <f t="shared" si="61"/>
        <v>0.64457675283341964</v>
      </c>
      <c r="CA121" s="544">
        <f t="shared" si="26"/>
        <v>20.405559977125087</v>
      </c>
      <c r="CB121" s="649">
        <f t="shared" si="27"/>
        <v>0.35803801704304605</v>
      </c>
      <c r="CC121" s="525">
        <f t="shared" si="62"/>
        <v>-3.6848633452985835E-2</v>
      </c>
      <c r="CD121" s="417">
        <f t="shared" si="28"/>
        <v>0.35803801704304605</v>
      </c>
      <c r="CE121" s="525">
        <f t="shared" si="63"/>
        <v>-3.6848633452985835E-2</v>
      </c>
      <c r="CG121" s="527">
        <f t="shared" si="64"/>
        <v>1903.1456947640361</v>
      </c>
      <c r="CH121" s="528">
        <f t="shared" si="65"/>
        <v>838.04858540064276</v>
      </c>
      <c r="CI121" s="528">
        <f t="shared" si="66"/>
        <v>3191.7047142866213</v>
      </c>
      <c r="CJ121" s="528">
        <f t="shared" si="67"/>
        <v>4040.2970065430868</v>
      </c>
      <c r="CK121" s="528">
        <f t="shared" si="68"/>
        <v>48.628892394122417</v>
      </c>
      <c r="CL121" s="528">
        <f t="shared" si="69"/>
        <v>10021.82489338851</v>
      </c>
      <c r="CM121" s="646">
        <f t="shared" si="70"/>
        <v>0</v>
      </c>
    </row>
    <row r="122" spans="1:91">
      <c r="A122" s="873">
        <f>'Input data'!A142</f>
        <v>2042</v>
      </c>
      <c r="B122" s="1553">
        <f>'Input data'!B142</f>
        <v>72.264673338395411</v>
      </c>
      <c r="C122" s="1552">
        <f>'Input data'!C142</f>
        <v>0</v>
      </c>
      <c r="D122" s="1552">
        <f>'Input data'!D142</f>
        <v>18797490.33653174</v>
      </c>
      <c r="E122" s="1456">
        <f t="shared" si="88"/>
        <v>1</v>
      </c>
      <c r="F122" s="1506">
        <f t="shared" si="89"/>
        <v>0.36725000000000002</v>
      </c>
      <c r="G122" s="1513">
        <f>B122*F122*'Input data'!$C$9</f>
        <v>812.28773395357814</v>
      </c>
      <c r="H122" s="1544">
        <f>'Input data'!I142</f>
        <v>424.26313389388866</v>
      </c>
      <c r="I122" s="1511">
        <f>'Input data'!K142</f>
        <v>30659.23678036578</v>
      </c>
      <c r="J122" s="1511">
        <f t="shared" si="91"/>
        <v>2228.8062963921584</v>
      </c>
      <c r="K122" s="1513">
        <f t="shared" si="73"/>
        <v>12019.106640424758</v>
      </c>
      <c r="L122" s="1506">
        <f t="shared" si="90"/>
        <v>0.7</v>
      </c>
      <c r="M122" s="1506">
        <f t="shared" si="87"/>
        <v>0.6</v>
      </c>
      <c r="N122" s="1506">
        <f t="shared" si="87"/>
        <v>0.9</v>
      </c>
      <c r="O122" s="1506">
        <f t="shared" si="87"/>
        <v>0.9</v>
      </c>
      <c r="P122" s="1506">
        <f t="shared" si="87"/>
        <v>0.23600000000000002</v>
      </c>
      <c r="Q122" s="1510">
        <f t="shared" si="31"/>
        <v>328.27988546368874</v>
      </c>
      <c r="R122" s="1511">
        <f t="shared" si="32"/>
        <v>229.08390718992371</v>
      </c>
      <c r="S122" s="1511">
        <f t="shared" si="33"/>
        <v>670.85255050513388</v>
      </c>
      <c r="T122" s="1511">
        <f t="shared" si="34"/>
        <v>451.7101118317396</v>
      </c>
      <c r="U122" s="1513">
        <f t="shared" si="35"/>
        <v>0</v>
      </c>
      <c r="V122" s="1511">
        <f t="shared" si="9"/>
        <v>1679.926454990486</v>
      </c>
      <c r="W122" s="1456">
        <f t="shared" si="86"/>
        <v>0.5</v>
      </c>
      <c r="X122" s="530">
        <f t="shared" si="36"/>
        <v>3033.4854703020706</v>
      </c>
      <c r="Y122" s="528">
        <f t="shared" si="77"/>
        <v>4713.4119252925566</v>
      </c>
      <c r="Z122" s="528">
        <f t="shared" si="78"/>
        <v>9534.5010115243604</v>
      </c>
      <c r="AA122" s="530">
        <f t="shared" si="79"/>
        <v>7305.694715132202</v>
      </c>
      <c r="AB122" s="1091">
        <f t="shared" si="37"/>
        <v>0.76623776181908232</v>
      </c>
      <c r="AC122" s="135" t="str">
        <f t="shared" si="38"/>
        <v>Yes</v>
      </c>
      <c r="AD122" s="1091">
        <f t="shared" si="39"/>
        <v>0.76623776181908232</v>
      </c>
      <c r="AE122" s="649">
        <f t="shared" si="10"/>
        <v>0.36002659202487586</v>
      </c>
      <c r="AF122" s="530">
        <f t="shared" si="11"/>
        <v>271.51712367627835</v>
      </c>
      <c r="AG122" s="527">
        <f t="shared" si="40"/>
        <v>2228.8062963921584</v>
      </c>
      <c r="AH122" s="528">
        <f t="shared" si="80"/>
        <v>10084.069741450892</v>
      </c>
      <c r="AI122" s="528">
        <f t="shared" si="81"/>
        <v>6437.6604656145792</v>
      </c>
      <c r="AJ122" s="528">
        <f t="shared" si="12"/>
        <v>870.55974478933149</v>
      </c>
      <c r="AK122" s="528">
        <f t="shared" si="41"/>
        <v>19621.096248246962</v>
      </c>
      <c r="AL122" s="716">
        <f t="shared" si="13"/>
        <v>0</v>
      </c>
      <c r="AM122" s="417">
        <f t="shared" si="42"/>
        <v>0.11359234306754344</v>
      </c>
      <c r="AN122" s="417">
        <f t="shared" si="43"/>
        <v>0.51394018019517385</v>
      </c>
      <c r="AO122" s="417">
        <f t="shared" si="44"/>
        <v>0.32809891884556391</v>
      </c>
      <c r="AP122" s="417">
        <f t="shared" si="45"/>
        <v>4.4368557891718778E-2</v>
      </c>
      <c r="AQ122" s="417">
        <f t="shared" si="46"/>
        <v>1</v>
      </c>
      <c r="AR122" s="1086">
        <f t="shared" si="14"/>
        <v>486.76964405756706</v>
      </c>
      <c r="AS122" s="938">
        <f t="shared" si="15"/>
        <v>617.35559767637187</v>
      </c>
      <c r="AT122" s="938">
        <f t="shared" si="16"/>
        <v>119.76151640258189</v>
      </c>
      <c r="AU122" s="938">
        <f t="shared" si="17"/>
        <v>0</v>
      </c>
      <c r="AV122" s="938">
        <f t="shared" si="18"/>
        <v>0</v>
      </c>
      <c r="AW122" s="938">
        <f t="shared" si="19"/>
        <v>0</v>
      </c>
      <c r="AX122" s="938">
        <f t="shared" si="20"/>
        <v>836.374460921234</v>
      </c>
      <c r="AY122" s="938">
        <f t="shared" si="21"/>
        <v>67.369510857662121</v>
      </c>
      <c r="AZ122" s="938">
        <f t="shared" si="22"/>
        <v>18.937587201884288</v>
      </c>
      <c r="BA122" s="938">
        <f t="shared" si="23"/>
        <v>48.912098975045339</v>
      </c>
      <c r="BB122" s="938">
        <f t="shared" si="24"/>
        <v>33.325880299810507</v>
      </c>
      <c r="BC122" s="530">
        <f t="shared" si="47"/>
        <v>2228.806296392157</v>
      </c>
      <c r="BD122" s="724">
        <f t="shared" si="48"/>
        <v>0</v>
      </c>
      <c r="BE122" s="436">
        <f t="shared" si="49"/>
        <v>0.21839925921131742</v>
      </c>
      <c r="BF122" s="624">
        <f t="shared" si="50"/>
        <v>0.27698934567607153</v>
      </c>
      <c r="BG122" s="624">
        <f t="shared" si="51"/>
        <v>5.3733479036039984E-2</v>
      </c>
      <c r="BH122" s="624">
        <f t="shared" si="52"/>
        <v>0</v>
      </c>
      <c r="BI122" s="624">
        <f t="shared" si="53"/>
        <v>0</v>
      </c>
      <c r="BJ122" s="624">
        <f t="shared" si="54"/>
        <v>0</v>
      </c>
      <c r="BK122" s="624">
        <f t="shared" si="55"/>
        <v>0.45087791607657107</v>
      </c>
      <c r="BL122" s="624">
        <f t="shared" si="56"/>
        <v>1</v>
      </c>
      <c r="BM122" s="649">
        <f t="shared" si="92"/>
        <v>0.29028184578274857</v>
      </c>
      <c r="BN122" s="417">
        <f t="shared" si="92"/>
        <v>0.30317187715157518</v>
      </c>
      <c r="BO122" s="417">
        <f t="shared" si="92"/>
        <v>8.2805443243048754E-2</v>
      </c>
      <c r="BP122" s="417">
        <f t="shared" si="92"/>
        <v>0</v>
      </c>
      <c r="BQ122" s="417">
        <f t="shared" si="92"/>
        <v>0</v>
      </c>
      <c r="BR122" s="417">
        <f t="shared" si="92"/>
        <v>0</v>
      </c>
      <c r="BS122" s="417">
        <f t="shared" si="92"/>
        <v>0.32374083382262742</v>
      </c>
      <c r="BT122" s="525">
        <f t="shared" si="83"/>
        <v>0.99999999999999989</v>
      </c>
      <c r="BV122" s="527">
        <f t="shared" si="58"/>
        <v>39.170503584778714</v>
      </c>
      <c r="BW122" s="114">
        <f t="shared" si="59"/>
        <v>0.65516653445425665</v>
      </c>
      <c r="BX122" s="1695">
        <f t="shared" si="25"/>
        <v>18.797490336531741</v>
      </c>
      <c r="BY122" s="527">
        <f t="shared" si="60"/>
        <v>39.170503584778714</v>
      </c>
      <c r="BZ122" s="417">
        <f t="shared" si="61"/>
        <v>0.65516653445425665</v>
      </c>
      <c r="CA122" s="544">
        <f t="shared" si="26"/>
        <v>18.797490336531741</v>
      </c>
      <c r="CB122" s="649">
        <f t="shared" si="27"/>
        <v>0.36002659202487586</v>
      </c>
      <c r="CC122" s="525">
        <f t="shared" si="62"/>
        <v>-4.0000924939362692E-2</v>
      </c>
      <c r="CD122" s="417">
        <f t="shared" si="28"/>
        <v>0.36002659202487586</v>
      </c>
      <c r="CE122" s="525">
        <f t="shared" si="63"/>
        <v>-4.0000924939362692E-2</v>
      </c>
      <c r="CG122" s="527">
        <f t="shared" si="64"/>
        <v>1914.9659985381836</v>
      </c>
      <c r="CH122" s="528">
        <f t="shared" si="65"/>
        <v>843.25364609787891</v>
      </c>
      <c r="CI122" s="528">
        <f t="shared" si="66"/>
        <v>3211.5281673118106</v>
      </c>
      <c r="CJ122" s="528">
        <f t="shared" si="67"/>
        <v>4065.3910064856605</v>
      </c>
      <c r="CK122" s="528">
        <f t="shared" si="68"/>
        <v>48.930923017358609</v>
      </c>
      <c r="CL122" s="528">
        <f t="shared" si="69"/>
        <v>10084.069741450892</v>
      </c>
      <c r="CM122" s="646">
        <f t="shared" si="70"/>
        <v>0</v>
      </c>
    </row>
    <row r="123" spans="1:91">
      <c r="A123" s="873">
        <f>'Input data'!A143</f>
        <v>2043</v>
      </c>
      <c r="B123" s="1553">
        <f>'Input data'!B143</f>
        <v>72.713504131197794</v>
      </c>
      <c r="C123" s="1552">
        <f>'Input data'!C143</f>
        <v>0</v>
      </c>
      <c r="D123" s="1552">
        <f>'Input data'!D143</f>
        <v>17189420.695938386</v>
      </c>
      <c r="E123" s="1456">
        <f t="shared" si="88"/>
        <v>1</v>
      </c>
      <c r="F123" s="1506">
        <f t="shared" si="89"/>
        <v>0.36725000000000002</v>
      </c>
      <c r="G123" s="1513">
        <f>B123*F123*'Input data'!$C$9</f>
        <v>817.33279581813269</v>
      </c>
      <c r="H123" s="1544">
        <f>'Input data'!I143</f>
        <v>424.26313389388866</v>
      </c>
      <c r="I123" s="1511">
        <f>'Input data'!K143</f>
        <v>30849.659139108197</v>
      </c>
      <c r="J123" s="1511">
        <f t="shared" si="91"/>
        <v>2228.8062963921584</v>
      </c>
      <c r="K123" s="1513">
        <f t="shared" si="73"/>
        <v>12107.59942346503</v>
      </c>
      <c r="L123" s="1506">
        <f t="shared" si="90"/>
        <v>0.7</v>
      </c>
      <c r="M123" s="1506">
        <f t="shared" si="87"/>
        <v>0.6</v>
      </c>
      <c r="N123" s="1506">
        <f t="shared" si="87"/>
        <v>0.9</v>
      </c>
      <c r="O123" s="1506">
        <f t="shared" si="87"/>
        <v>0.9</v>
      </c>
      <c r="P123" s="1506">
        <f t="shared" si="87"/>
        <v>0.23600000000000002</v>
      </c>
      <c r="Q123" s="1510">
        <f t="shared" si="31"/>
        <v>330.31880869473662</v>
      </c>
      <c r="R123" s="1511">
        <f t="shared" si="32"/>
        <v>230.50673119136695</v>
      </c>
      <c r="S123" s="1511">
        <f t="shared" si="33"/>
        <v>675.01916841381444</v>
      </c>
      <c r="T123" s="1511">
        <f t="shared" si="34"/>
        <v>454.51565149924636</v>
      </c>
      <c r="U123" s="1513">
        <f t="shared" si="35"/>
        <v>0</v>
      </c>
      <c r="V123" s="1511">
        <f t="shared" si="9"/>
        <v>1690.3603597991644</v>
      </c>
      <c r="W123" s="1456">
        <f t="shared" si="86"/>
        <v>0.5</v>
      </c>
      <c r="X123" s="530">
        <f t="shared" si="36"/>
        <v>3033.4854703020706</v>
      </c>
      <c r="Y123" s="528">
        <f t="shared" si="77"/>
        <v>4723.8458301012352</v>
      </c>
      <c r="Z123" s="528">
        <f t="shared" si="78"/>
        <v>9612.5598897559539</v>
      </c>
      <c r="AA123" s="530">
        <f t="shared" si="79"/>
        <v>7383.7535933637955</v>
      </c>
      <c r="AB123" s="1091">
        <f t="shared" si="37"/>
        <v>0.7681360301570257</v>
      </c>
      <c r="AC123" s="135" t="str">
        <f t="shared" si="38"/>
        <v>Yes</v>
      </c>
      <c r="AD123" s="1091">
        <f t="shared" si="39"/>
        <v>0.7681360301570257</v>
      </c>
      <c r="AE123" s="649">
        <f t="shared" si="10"/>
        <v>0.36200198208013235</v>
      </c>
      <c r="AF123" s="530">
        <f t="shared" si="11"/>
        <v>270.67903850077238</v>
      </c>
      <c r="AG123" s="527">
        <f t="shared" si="40"/>
        <v>2228.8062963921584</v>
      </c>
      <c r="AH123" s="528">
        <f t="shared" si="80"/>
        <v>10146.701187877499</v>
      </c>
      <c r="AI123" s="528">
        <f t="shared" si="81"/>
        <v>6437.6604656145792</v>
      </c>
      <c r="AJ123" s="528">
        <f t="shared" si="12"/>
        <v>868.85343437032486</v>
      </c>
      <c r="AK123" s="528">
        <f t="shared" si="41"/>
        <v>19682.02138425456</v>
      </c>
      <c r="AL123" s="716">
        <f t="shared" si="13"/>
        <v>0</v>
      </c>
      <c r="AM123" s="417">
        <f t="shared" si="42"/>
        <v>0.11324072120840105</v>
      </c>
      <c r="AN123" s="417">
        <f t="shared" si="43"/>
        <v>0.51553145836914749</v>
      </c>
      <c r="AO123" s="417">
        <f t="shared" si="44"/>
        <v>0.32708329799726005</v>
      </c>
      <c r="AP123" s="417">
        <f t="shared" si="45"/>
        <v>4.414452242519154E-2</v>
      </c>
      <c r="AQ123" s="417">
        <f t="shared" si="46"/>
        <v>1</v>
      </c>
      <c r="AR123" s="1086">
        <f t="shared" si="14"/>
        <v>487.74148230998145</v>
      </c>
      <c r="AS123" s="938">
        <f t="shared" si="15"/>
        <v>618.58815149826364</v>
      </c>
      <c r="AT123" s="938">
        <f t="shared" si="16"/>
        <v>119.52678199812902</v>
      </c>
      <c r="AU123" s="938">
        <f t="shared" si="17"/>
        <v>0</v>
      </c>
      <c r="AV123" s="938">
        <f t="shared" si="18"/>
        <v>0</v>
      </c>
      <c r="AW123" s="938">
        <f t="shared" si="19"/>
        <v>0</v>
      </c>
      <c r="AX123" s="938">
        <f t="shared" si="20"/>
        <v>834.73515418163026</v>
      </c>
      <c r="AY123" s="938">
        <f t="shared" si="21"/>
        <v>67.237465585654235</v>
      </c>
      <c r="AZ123" s="938">
        <f t="shared" si="22"/>
        <v>18.900469241231061</v>
      </c>
      <c r="BA123" s="938">
        <f t="shared" si="23"/>
        <v>48.816230512718512</v>
      </c>
      <c r="BB123" s="938">
        <f t="shared" si="24"/>
        <v>33.260561064550103</v>
      </c>
      <c r="BC123" s="530">
        <f t="shared" si="47"/>
        <v>2228.8062963921579</v>
      </c>
      <c r="BD123" s="724">
        <f t="shared" si="48"/>
        <v>0</v>
      </c>
      <c r="BE123" s="436">
        <f t="shared" si="49"/>
        <v>0.21883529452492334</v>
      </c>
      <c r="BF123" s="624">
        <f t="shared" si="50"/>
        <v>0.27754235641724123</v>
      </c>
      <c r="BG123" s="624">
        <f t="shared" si="51"/>
        <v>5.3628160595028361E-2</v>
      </c>
      <c r="BH123" s="624">
        <f t="shared" si="52"/>
        <v>0</v>
      </c>
      <c r="BI123" s="624">
        <f t="shared" si="53"/>
        <v>0</v>
      </c>
      <c r="BJ123" s="624">
        <f t="shared" si="54"/>
        <v>0</v>
      </c>
      <c r="BK123" s="624">
        <f t="shared" si="55"/>
        <v>0.44999418846280725</v>
      </c>
      <c r="BL123" s="624">
        <f t="shared" si="56"/>
        <v>1.0000000000000002</v>
      </c>
      <c r="BM123" s="649">
        <f t="shared" si="92"/>
        <v>0.29028184578274857</v>
      </c>
      <c r="BN123" s="417">
        <f t="shared" si="92"/>
        <v>0.30317187715157518</v>
      </c>
      <c r="BO123" s="417">
        <f t="shared" si="92"/>
        <v>8.2805443243048754E-2</v>
      </c>
      <c r="BP123" s="417">
        <f t="shared" si="92"/>
        <v>0</v>
      </c>
      <c r="BQ123" s="417">
        <f t="shared" si="92"/>
        <v>0</v>
      </c>
      <c r="BR123" s="417">
        <f t="shared" si="92"/>
        <v>0</v>
      </c>
      <c r="BS123" s="417">
        <f t="shared" si="92"/>
        <v>0.32374083382262742</v>
      </c>
      <c r="BT123" s="525">
        <f t="shared" si="83"/>
        <v>0.99999999999999989</v>
      </c>
      <c r="BV123" s="527">
        <f t="shared" si="58"/>
        <v>37.623359080192948</v>
      </c>
      <c r="BW123" s="114">
        <f t="shared" si="59"/>
        <v>0.66663107652824538</v>
      </c>
      <c r="BX123" s="1695">
        <f t="shared" si="25"/>
        <v>17.189420695938384</v>
      </c>
      <c r="BY123" s="527">
        <f t="shared" si="60"/>
        <v>37.623359080192948</v>
      </c>
      <c r="BZ123" s="417">
        <f t="shared" si="61"/>
        <v>0.66663107652824538</v>
      </c>
      <c r="CA123" s="544">
        <f t="shared" si="26"/>
        <v>17.189420695938384</v>
      </c>
      <c r="CB123" s="649">
        <f t="shared" si="27"/>
        <v>0.36200198208013235</v>
      </c>
      <c r="CC123" s="525">
        <f t="shared" si="62"/>
        <v>-4.3743009918750131E-2</v>
      </c>
      <c r="CD123" s="417">
        <f t="shared" si="28"/>
        <v>0.36200198208013235</v>
      </c>
      <c r="CE123" s="525">
        <f t="shared" si="63"/>
        <v>-4.3743009918750131E-2</v>
      </c>
      <c r="CG123" s="527">
        <f t="shared" si="64"/>
        <v>1926.8597173859628</v>
      </c>
      <c r="CH123" s="528">
        <f t="shared" si="65"/>
        <v>848.49103506024642</v>
      </c>
      <c r="CI123" s="528">
        <f t="shared" si="66"/>
        <v>3231.4747424065586</v>
      </c>
      <c r="CJ123" s="528">
        <f t="shared" si="67"/>
        <v>4090.6408634932222</v>
      </c>
      <c r="CK123" s="528">
        <f t="shared" si="68"/>
        <v>49.23482953150824</v>
      </c>
      <c r="CL123" s="528">
        <f t="shared" si="69"/>
        <v>10146.701187877499</v>
      </c>
      <c r="CM123" s="646">
        <f t="shared" si="70"/>
        <v>0</v>
      </c>
    </row>
    <row r="124" spans="1:91">
      <c r="A124" s="873">
        <f>'Input data'!A144</f>
        <v>2044</v>
      </c>
      <c r="B124" s="1553">
        <f>'Input data'!B144</f>
        <v>73.165122580420132</v>
      </c>
      <c r="C124" s="1552">
        <f>'Input data'!C144</f>
        <v>0</v>
      </c>
      <c r="D124" s="1552">
        <f>'Input data'!D144</f>
        <v>15581351.055345042</v>
      </c>
      <c r="E124" s="1456">
        <f t="shared" si="88"/>
        <v>1</v>
      </c>
      <c r="F124" s="1506">
        <f t="shared" si="89"/>
        <v>0.36725000000000002</v>
      </c>
      <c r="G124" s="1513">
        <f>B124*F124*'Input data'!$C$9</f>
        <v>822.40919220634601</v>
      </c>
      <c r="H124" s="1544">
        <f>'Input data'!I144</f>
        <v>424.26313389388866</v>
      </c>
      <c r="I124" s="1511">
        <f>'Input data'!K144</f>
        <v>31041.264197699562</v>
      </c>
      <c r="J124" s="1511">
        <f t="shared" si="91"/>
        <v>2228.8062963921584</v>
      </c>
      <c r="K124" s="1513">
        <f t="shared" si="73"/>
        <v>12196.641828943688</v>
      </c>
      <c r="L124" s="1506">
        <f t="shared" si="90"/>
        <v>0.7</v>
      </c>
      <c r="M124" s="1506">
        <f t="shared" si="87"/>
        <v>0.6</v>
      </c>
      <c r="N124" s="1506">
        <f t="shared" si="87"/>
        <v>0.9</v>
      </c>
      <c r="O124" s="1506">
        <f t="shared" si="87"/>
        <v>0.9</v>
      </c>
      <c r="P124" s="1506">
        <f t="shared" si="87"/>
        <v>0.23600000000000002</v>
      </c>
      <c r="Q124" s="1510">
        <f t="shared" si="31"/>
        <v>332.37039553426666</v>
      </c>
      <c r="R124" s="1511">
        <f t="shared" si="32"/>
        <v>231.93839225240072</v>
      </c>
      <c r="S124" s="1511">
        <f t="shared" si="33"/>
        <v>679.21166489265761</v>
      </c>
      <c r="T124" s="1511">
        <f t="shared" si="34"/>
        <v>457.33861617588991</v>
      </c>
      <c r="U124" s="1513">
        <f t="shared" si="35"/>
        <v>0</v>
      </c>
      <c r="V124" s="1511">
        <f t="shared" si="9"/>
        <v>1700.8590688552149</v>
      </c>
      <c r="W124" s="1456">
        <f t="shared" si="86"/>
        <v>0.5</v>
      </c>
      <c r="X124" s="530">
        <f t="shared" si="36"/>
        <v>3033.4854703020706</v>
      </c>
      <c r="Y124" s="528">
        <f t="shared" si="77"/>
        <v>4734.3445391572859</v>
      </c>
      <c r="Z124" s="528">
        <f t="shared" si="78"/>
        <v>9691.1035861785604</v>
      </c>
      <c r="AA124" s="530">
        <f t="shared" si="79"/>
        <v>7462.297289786402</v>
      </c>
      <c r="AB124" s="1091">
        <f t="shared" si="37"/>
        <v>0.77001522307832115</v>
      </c>
      <c r="AC124" s="135" t="str">
        <f t="shared" si="38"/>
        <v>Yes</v>
      </c>
      <c r="AD124" s="1091">
        <f t="shared" si="39"/>
        <v>0.77001522307832115</v>
      </c>
      <c r="AE124" s="649">
        <f t="shared" si="10"/>
        <v>0.36396428507300427</v>
      </c>
      <c r="AF124" s="530">
        <f t="shared" si="11"/>
        <v>269.84650568336718</v>
      </c>
      <c r="AG124" s="527">
        <f t="shared" si="40"/>
        <v>2228.8062963921584</v>
      </c>
      <c r="AH124" s="528">
        <f t="shared" si="80"/>
        <v>10209.721633803518</v>
      </c>
      <c r="AI124" s="528">
        <f t="shared" si="81"/>
        <v>6437.6604656145792</v>
      </c>
      <c r="AJ124" s="528">
        <f t="shared" si="12"/>
        <v>867.16427041134273</v>
      </c>
      <c r="AK124" s="528">
        <f t="shared" si="41"/>
        <v>19743.352666221599</v>
      </c>
      <c r="AL124" s="716">
        <f t="shared" si="13"/>
        <v>0</v>
      </c>
      <c r="AM124" s="417">
        <f t="shared" si="42"/>
        <v>0.11288894718501212</v>
      </c>
      <c r="AN124" s="417">
        <f t="shared" si="43"/>
        <v>0.51712198056772152</v>
      </c>
      <c r="AO124" s="417">
        <f t="shared" si="44"/>
        <v>0.32606723763936046</v>
      </c>
      <c r="AP124" s="417">
        <f t="shared" si="45"/>
        <v>4.3921834607905885E-2</v>
      </c>
      <c r="AQ124" s="417">
        <f t="shared" si="46"/>
        <v>0.99999999999999989</v>
      </c>
      <c r="AR124" s="1086">
        <f t="shared" si="14"/>
        <v>488.70355470410806</v>
      </c>
      <c r="AS124" s="938">
        <f t="shared" si="15"/>
        <v>619.80831956982433</v>
      </c>
      <c r="AT124" s="938">
        <f t="shared" si="16"/>
        <v>119.29440640485001</v>
      </c>
      <c r="AU124" s="938">
        <f t="shared" si="17"/>
        <v>0</v>
      </c>
      <c r="AV124" s="938">
        <f t="shared" si="18"/>
        <v>0</v>
      </c>
      <c r="AW124" s="938">
        <f t="shared" si="19"/>
        <v>0</v>
      </c>
      <c r="AX124" s="938">
        <f t="shared" si="20"/>
        <v>833.11232059202621</v>
      </c>
      <c r="AY124" s="938">
        <f t="shared" si="21"/>
        <v>67.106747216976913</v>
      </c>
      <c r="AZ124" s="938">
        <f t="shared" si="22"/>
        <v>18.863724273452586</v>
      </c>
      <c r="BA124" s="938">
        <f t="shared" si="23"/>
        <v>48.721325418333805</v>
      </c>
      <c r="BB124" s="938">
        <f t="shared" si="24"/>
        <v>33.195898212585334</v>
      </c>
      <c r="BC124" s="530">
        <f t="shared" si="47"/>
        <v>2228.8062963921575</v>
      </c>
      <c r="BD124" s="724">
        <f t="shared" si="48"/>
        <v>0</v>
      </c>
      <c r="BE124" s="436">
        <f t="shared" si="49"/>
        <v>0.21926694818441095</v>
      </c>
      <c r="BF124" s="624">
        <f t="shared" si="50"/>
        <v>0.27808981003559108</v>
      </c>
      <c r="BG124" s="624">
        <f t="shared" si="51"/>
        <v>5.3523900483391409E-2</v>
      </c>
      <c r="BH124" s="624">
        <f t="shared" si="52"/>
        <v>0</v>
      </c>
      <c r="BI124" s="624">
        <f t="shared" si="53"/>
        <v>0</v>
      </c>
      <c r="BJ124" s="624">
        <f t="shared" si="54"/>
        <v>0</v>
      </c>
      <c r="BK124" s="624">
        <f t="shared" si="55"/>
        <v>0.44911934129660647</v>
      </c>
      <c r="BL124" s="624">
        <f t="shared" si="56"/>
        <v>0.99999999999999989</v>
      </c>
      <c r="BM124" s="649">
        <f t="shared" si="92"/>
        <v>0.29028184578274857</v>
      </c>
      <c r="BN124" s="417">
        <f t="shared" si="92"/>
        <v>0.30317187715157518</v>
      </c>
      <c r="BO124" s="417">
        <f t="shared" si="92"/>
        <v>8.2805443243048754E-2</v>
      </c>
      <c r="BP124" s="417">
        <f t="shared" si="92"/>
        <v>0</v>
      </c>
      <c r="BQ124" s="417">
        <f t="shared" si="92"/>
        <v>0</v>
      </c>
      <c r="BR124" s="417">
        <f t="shared" si="92"/>
        <v>0</v>
      </c>
      <c r="BS124" s="417">
        <f t="shared" si="92"/>
        <v>0.32374083382262742</v>
      </c>
      <c r="BT124" s="525">
        <f t="shared" si="83"/>
        <v>0.99999999999999989</v>
      </c>
      <c r="BV124" s="527">
        <f t="shared" si="58"/>
        <v>36.076620721566641</v>
      </c>
      <c r="BW124" s="114">
        <f t="shared" si="59"/>
        <v>0.67908255546013296</v>
      </c>
      <c r="BX124" s="1695">
        <f t="shared" si="25"/>
        <v>15.581351055345042</v>
      </c>
      <c r="BY124" s="527">
        <f t="shared" si="60"/>
        <v>36.076620721566641</v>
      </c>
      <c r="BZ124" s="417">
        <f t="shared" si="61"/>
        <v>0.67908255546013296</v>
      </c>
      <c r="CA124" s="544">
        <f t="shared" si="26"/>
        <v>15.581351055345042</v>
      </c>
      <c r="CB124" s="649">
        <f t="shared" si="27"/>
        <v>0.36396428507300427</v>
      </c>
      <c r="CC124" s="525">
        <f t="shared" si="62"/>
        <v>-4.8257496883882922E-2</v>
      </c>
      <c r="CD124" s="417">
        <f t="shared" si="28"/>
        <v>0.36396428507300427</v>
      </c>
      <c r="CE124" s="525">
        <f t="shared" si="63"/>
        <v>-4.8257496883882922E-2</v>
      </c>
      <c r="CG124" s="527">
        <f t="shared" si="64"/>
        <v>1938.8273072832219</v>
      </c>
      <c r="CH124" s="528">
        <f t="shared" si="65"/>
        <v>853.76095307632158</v>
      </c>
      <c r="CI124" s="528">
        <f t="shared" si="66"/>
        <v>3251.5452042733609</v>
      </c>
      <c r="CJ124" s="528">
        <f t="shared" si="67"/>
        <v>4116.0475455830165</v>
      </c>
      <c r="CK124" s="528">
        <f t="shared" si="68"/>
        <v>49.540623587597544</v>
      </c>
      <c r="CL124" s="528">
        <f t="shared" si="69"/>
        <v>10209.72163380352</v>
      </c>
      <c r="CM124" s="646">
        <f t="shared" si="70"/>
        <v>0</v>
      </c>
    </row>
    <row r="125" spans="1:91">
      <c r="A125" s="873">
        <f>'Input data'!A145</f>
        <v>2045</v>
      </c>
      <c r="B125" s="1553">
        <f>'Input data'!B145</f>
        <v>73.619545999999971</v>
      </c>
      <c r="C125" s="1552">
        <f>'Input data'!C145</f>
        <v>0</v>
      </c>
      <c r="D125" s="1552">
        <f>'Input data'!D145</f>
        <v>13973281.414751694</v>
      </c>
      <c r="E125" s="1456">
        <f t="shared" si="88"/>
        <v>1</v>
      </c>
      <c r="F125" s="1506">
        <f t="shared" si="89"/>
        <v>0.36725000000000002</v>
      </c>
      <c r="G125" s="1513">
        <f>B125*F125*'Input data'!$C$9</f>
        <v>827.51711773473585</v>
      </c>
      <c r="H125" s="1544">
        <f>'Input data'!I145</f>
        <v>424.26313389388866</v>
      </c>
      <c r="I125" s="1511">
        <f>'Input data'!K145</f>
        <v>31234.059301805282</v>
      </c>
      <c r="J125" s="1511">
        <f t="shared" si="91"/>
        <v>2228.8062963921584</v>
      </c>
      <c r="K125" s="1513">
        <f t="shared" si="73"/>
        <v>12286.237270526955</v>
      </c>
      <c r="L125" s="1506">
        <f t="shared" si="90"/>
        <v>0.7</v>
      </c>
      <c r="M125" s="1506">
        <f t="shared" si="87"/>
        <v>0.6</v>
      </c>
      <c r="N125" s="1506">
        <f t="shared" si="87"/>
        <v>0.9</v>
      </c>
      <c r="O125" s="1506">
        <f t="shared" si="87"/>
        <v>0.9</v>
      </c>
      <c r="P125" s="1506">
        <f t="shared" si="87"/>
        <v>0.23600000000000002</v>
      </c>
      <c r="Q125" s="1510">
        <f t="shared" si="31"/>
        <v>334.43472463505896</v>
      </c>
      <c r="R125" s="1511">
        <f t="shared" si="32"/>
        <v>233.37894525937941</v>
      </c>
      <c r="S125" s="1511">
        <f t="shared" si="33"/>
        <v>683.43020067163889</v>
      </c>
      <c r="T125" s="1511">
        <f t="shared" si="34"/>
        <v>460.17911408717418</v>
      </c>
      <c r="U125" s="1513">
        <f t="shared" si="35"/>
        <v>0</v>
      </c>
      <c r="V125" s="1511">
        <f t="shared" si="9"/>
        <v>1711.4229846532514</v>
      </c>
      <c r="W125" s="1456">
        <f t="shared" si="86"/>
        <v>0.5</v>
      </c>
      <c r="X125" s="530">
        <f t="shared" si="36"/>
        <v>3033.4854703020706</v>
      </c>
      <c r="Y125" s="528">
        <f t="shared" si="77"/>
        <v>4744.9084549553218</v>
      </c>
      <c r="Z125" s="528">
        <f t="shared" si="78"/>
        <v>9770.1351119637911</v>
      </c>
      <c r="AA125" s="530">
        <f t="shared" si="79"/>
        <v>7541.3288155716327</v>
      </c>
      <c r="AB125" s="1091">
        <f t="shared" si="37"/>
        <v>0.77187559119188376</v>
      </c>
      <c r="AC125" s="135" t="str">
        <f t="shared" si="38"/>
        <v>Yes</v>
      </c>
      <c r="AD125" s="1091">
        <f t="shared" si="39"/>
        <v>0.77187559119188376</v>
      </c>
      <c r="AE125" s="649">
        <f t="shared" si="10"/>
        <v>0.36591359792336786</v>
      </c>
      <c r="AF125" s="530">
        <f t="shared" si="11"/>
        <v>269.0194841045323</v>
      </c>
      <c r="AG125" s="527">
        <f t="shared" si="40"/>
        <v>2228.8062963921584</v>
      </c>
      <c r="AH125" s="528">
        <f t="shared" si="80"/>
        <v>10273.133495277429</v>
      </c>
      <c r="AI125" s="528">
        <f t="shared" si="81"/>
        <v>6437.6604656145792</v>
      </c>
      <c r="AJ125" s="528">
        <f t="shared" si="12"/>
        <v>865.49202764570771</v>
      </c>
      <c r="AK125" s="528">
        <f t="shared" si="41"/>
        <v>19805.092284929877</v>
      </c>
      <c r="AL125" s="716">
        <f t="shared" si="13"/>
        <v>0</v>
      </c>
      <c r="AM125" s="417">
        <f t="shared" si="42"/>
        <v>0.11253703160414483</v>
      </c>
      <c r="AN125" s="417">
        <f t="shared" si="43"/>
        <v>0.51871172057574699</v>
      </c>
      <c r="AO125" s="417">
        <f t="shared" si="44"/>
        <v>0.32505076840834185</v>
      </c>
      <c r="AP125" s="417">
        <f t="shared" si="45"/>
        <v>4.3700479411766198E-2</v>
      </c>
      <c r="AQ125" s="417">
        <f t="shared" si="46"/>
        <v>0.99999999999999989</v>
      </c>
      <c r="AR125" s="1086">
        <f t="shared" si="14"/>
        <v>489.65598954179325</v>
      </c>
      <c r="AS125" s="938">
        <f t="shared" si="15"/>
        <v>621.01626461250521</v>
      </c>
      <c r="AT125" s="938">
        <f t="shared" si="16"/>
        <v>119.06435863316699</v>
      </c>
      <c r="AU125" s="938">
        <f t="shared" si="17"/>
        <v>0</v>
      </c>
      <c r="AV125" s="938">
        <f t="shared" si="18"/>
        <v>0</v>
      </c>
      <c r="AW125" s="938">
        <f t="shared" si="19"/>
        <v>0</v>
      </c>
      <c r="AX125" s="938">
        <f t="shared" si="20"/>
        <v>831.50574373155371</v>
      </c>
      <c r="AY125" s="938">
        <f t="shared" si="21"/>
        <v>66.977338319046126</v>
      </c>
      <c r="AZ125" s="938">
        <f t="shared" si="22"/>
        <v>18.827347398244971</v>
      </c>
      <c r="BA125" s="938">
        <f t="shared" si="23"/>
        <v>48.627371035360618</v>
      </c>
      <c r="BB125" s="938">
        <f t="shared" si="24"/>
        <v>33.131883120487025</v>
      </c>
      <c r="BC125" s="530">
        <f t="shared" si="47"/>
        <v>2228.8062963921584</v>
      </c>
      <c r="BD125" s="724">
        <f t="shared" si="48"/>
        <v>0</v>
      </c>
      <c r="BE125" s="436">
        <f t="shared" si="49"/>
        <v>0.21969427775505454</v>
      </c>
      <c r="BF125" s="624">
        <f t="shared" si="50"/>
        <v>0.27863177953946222</v>
      </c>
      <c r="BG125" s="624">
        <f t="shared" si="51"/>
        <v>5.3420684797014596E-2</v>
      </c>
      <c r="BH125" s="624">
        <f t="shared" si="52"/>
        <v>0</v>
      </c>
      <c r="BI125" s="624">
        <f t="shared" si="53"/>
        <v>0</v>
      </c>
      <c r="BJ125" s="624">
        <f t="shared" si="54"/>
        <v>0</v>
      </c>
      <c r="BK125" s="624">
        <f t="shared" si="55"/>
        <v>0.44825325790846843</v>
      </c>
      <c r="BL125" s="624">
        <f t="shared" si="56"/>
        <v>0.99999999999999978</v>
      </c>
      <c r="BM125" s="649">
        <f t="shared" si="92"/>
        <v>0.29028184578274857</v>
      </c>
      <c r="BN125" s="417">
        <f t="shared" si="92"/>
        <v>0.30317187715157518</v>
      </c>
      <c r="BO125" s="417">
        <f t="shared" si="92"/>
        <v>8.2805443243048754E-2</v>
      </c>
      <c r="BP125" s="417">
        <f t="shared" si="92"/>
        <v>0</v>
      </c>
      <c r="BQ125" s="417">
        <f t="shared" si="92"/>
        <v>0</v>
      </c>
      <c r="BR125" s="417">
        <f t="shared" si="92"/>
        <v>0</v>
      </c>
      <c r="BS125" s="417">
        <f t="shared" si="92"/>
        <v>0.32374083382262742</v>
      </c>
      <c r="BT125" s="525">
        <f t="shared" si="83"/>
        <v>0.99999999999999989</v>
      </c>
      <c r="BV125" s="527">
        <f t="shared" si="58"/>
        <v>34.530290699681565</v>
      </c>
      <c r="BW125" s="114">
        <f t="shared" si="59"/>
        <v>0.69265317695859885</v>
      </c>
      <c r="BX125" s="1695">
        <f t="shared" si="25"/>
        <v>13.973281414751694</v>
      </c>
      <c r="BY125" s="527">
        <f t="shared" si="60"/>
        <v>34.530290699681565</v>
      </c>
      <c r="BZ125" s="417">
        <f t="shared" si="61"/>
        <v>0.69265317695859885</v>
      </c>
      <c r="CA125" s="544">
        <f t="shared" si="26"/>
        <v>13.973281414751694</v>
      </c>
      <c r="CB125" s="649">
        <f t="shared" si="27"/>
        <v>0.36591359792336786</v>
      </c>
      <c r="CC125" s="525">
        <f t="shared" si="62"/>
        <v>-5.3811053945152398E-2</v>
      </c>
      <c r="CD125" s="417">
        <f t="shared" si="28"/>
        <v>0.36591359792336786</v>
      </c>
      <c r="CE125" s="525">
        <f t="shared" si="63"/>
        <v>-5.3811053945152398E-2</v>
      </c>
      <c r="CG125" s="527">
        <f t="shared" si="64"/>
        <v>1950.8692270378426</v>
      </c>
      <c r="CH125" s="528">
        <f t="shared" si="65"/>
        <v>859.06360218176451</v>
      </c>
      <c r="CI125" s="528">
        <f t="shared" si="66"/>
        <v>3271.7403223642282</v>
      </c>
      <c r="CJ125" s="528">
        <f t="shared" si="67"/>
        <v>4141.6120267845772</v>
      </c>
      <c r="CK125" s="528">
        <f t="shared" si="68"/>
        <v>49.848316909016496</v>
      </c>
      <c r="CL125" s="528">
        <f t="shared" si="69"/>
        <v>10273.133495277429</v>
      </c>
      <c r="CM125" s="646">
        <f t="shared" si="70"/>
        <v>0</v>
      </c>
    </row>
    <row r="126" spans="1:91">
      <c r="A126" s="873">
        <f>'Input data'!A146</f>
        <v>2046</v>
      </c>
      <c r="B126" s="1553">
        <f>'Input data'!B146</f>
        <v>73.995362001779526</v>
      </c>
      <c r="C126" s="1552">
        <f>'Input data'!C146</f>
        <v>0</v>
      </c>
      <c r="D126" s="1552">
        <f>'Input data'!D146</f>
        <v>11178944.368399095</v>
      </c>
      <c r="E126" s="1456">
        <f t="shared" si="88"/>
        <v>1</v>
      </c>
      <c r="F126" s="1506">
        <f t="shared" si="89"/>
        <v>0.36725000000000002</v>
      </c>
      <c r="G126" s="1513">
        <f>B126*F126*'Input data'!$C$9</f>
        <v>831.74146020203671</v>
      </c>
      <c r="H126" s="1544">
        <f>'Input data'!I146</f>
        <v>424.26313389388866</v>
      </c>
      <c r="I126" s="1511">
        <f>'Input data'!K146</f>
        <v>31393.50417648775</v>
      </c>
      <c r="J126" s="1511">
        <f t="shared" si="91"/>
        <v>2228.8062963921584</v>
      </c>
      <c r="K126" s="1513">
        <f t="shared" si="73"/>
        <v>12360.334245248529</v>
      </c>
      <c r="L126" s="1506">
        <f t="shared" si="90"/>
        <v>0.7</v>
      </c>
      <c r="M126" s="1506">
        <f t="shared" si="87"/>
        <v>0.6</v>
      </c>
      <c r="N126" s="1506">
        <f t="shared" si="87"/>
        <v>0.9</v>
      </c>
      <c r="O126" s="1506">
        <f t="shared" si="87"/>
        <v>0.9</v>
      </c>
      <c r="P126" s="1506">
        <f t="shared" si="87"/>
        <v>0.23600000000000002</v>
      </c>
      <c r="Q126" s="1510">
        <f t="shared" si="31"/>
        <v>336.14196038830005</v>
      </c>
      <c r="R126" s="1511">
        <f t="shared" si="32"/>
        <v>234.57030742978588</v>
      </c>
      <c r="S126" s="1511">
        <f t="shared" si="33"/>
        <v>686.91900248402408</v>
      </c>
      <c r="T126" s="1511">
        <f t="shared" si="34"/>
        <v>462.52825482703656</v>
      </c>
      <c r="U126" s="1513">
        <f t="shared" si="35"/>
        <v>0</v>
      </c>
      <c r="V126" s="1511">
        <f t="shared" si="9"/>
        <v>1720.1595251291465</v>
      </c>
      <c r="W126" s="1456">
        <f t="shared" si="86"/>
        <v>0.5</v>
      </c>
      <c r="X126" s="530">
        <f t="shared" si="36"/>
        <v>3033.4854703020706</v>
      </c>
      <c r="Y126" s="528">
        <f t="shared" si="77"/>
        <v>4753.6449954312175</v>
      </c>
      <c r="Z126" s="528">
        <f t="shared" si="78"/>
        <v>9835.4955462094695</v>
      </c>
      <c r="AA126" s="530">
        <f t="shared" si="79"/>
        <v>7606.6892498173111</v>
      </c>
      <c r="AB126" s="1091">
        <f t="shared" si="37"/>
        <v>0.77339156060610237</v>
      </c>
      <c r="AC126" s="135" t="str">
        <f t="shared" si="38"/>
        <v>Yes</v>
      </c>
      <c r="AD126" s="1091">
        <f t="shared" si="39"/>
        <v>0.77339156060610237</v>
      </c>
      <c r="AE126" s="649">
        <f t="shared" si="10"/>
        <v>0.36750697834425616</v>
      </c>
      <c r="AF126" s="530">
        <f t="shared" si="11"/>
        <v>268.34347153368111</v>
      </c>
      <c r="AG126" s="527">
        <f t="shared" si="40"/>
        <v>2228.8062963921584</v>
      </c>
      <c r="AH126" s="528">
        <f t="shared" si="80"/>
        <v>10325.57619787088</v>
      </c>
      <c r="AI126" s="528">
        <f t="shared" si="81"/>
        <v>6437.6604656145792</v>
      </c>
      <c r="AJ126" s="528">
        <f t="shared" si="12"/>
        <v>864.12935707133613</v>
      </c>
      <c r="AK126" s="528">
        <f t="shared" si="41"/>
        <v>19856.172316948952</v>
      </c>
      <c r="AL126" s="716">
        <f t="shared" si="13"/>
        <v>0</v>
      </c>
      <c r="AM126" s="417">
        <f t="shared" si="42"/>
        <v>0.11224752992749164</v>
      </c>
      <c r="AN126" s="417">
        <f t="shared" si="43"/>
        <v>0.52001846242324923</v>
      </c>
      <c r="AO126" s="417">
        <f t="shared" si="44"/>
        <v>0.32421457483623273</v>
      </c>
      <c r="AP126" s="417">
        <f t="shared" si="45"/>
        <v>4.3519432813026476E-2</v>
      </c>
      <c r="AQ126" s="417">
        <f t="shared" si="46"/>
        <v>1</v>
      </c>
      <c r="AR126" s="1086">
        <f t="shared" si="14"/>
        <v>490.43210587728646</v>
      </c>
      <c r="AS126" s="938">
        <f t="shared" si="15"/>
        <v>622.00059009379629</v>
      </c>
      <c r="AT126" s="938">
        <f t="shared" si="16"/>
        <v>118.87689821437245</v>
      </c>
      <c r="AU126" s="938">
        <f t="shared" si="17"/>
        <v>0</v>
      </c>
      <c r="AV126" s="938">
        <f t="shared" si="18"/>
        <v>0</v>
      </c>
      <c r="AW126" s="938">
        <f t="shared" si="19"/>
        <v>0</v>
      </c>
      <c r="AX126" s="938">
        <f t="shared" si="20"/>
        <v>830.19658273039909</v>
      </c>
      <c r="AY126" s="938">
        <f t="shared" si="21"/>
        <v>66.871886107862451</v>
      </c>
      <c r="AZ126" s="938">
        <f t="shared" si="22"/>
        <v>18.797704753976223</v>
      </c>
      <c r="BA126" s="938">
        <f t="shared" si="23"/>
        <v>48.550809859171196</v>
      </c>
      <c r="BB126" s="938">
        <f t="shared" si="24"/>
        <v>33.079718755293953</v>
      </c>
      <c r="BC126" s="530">
        <f t="shared" si="47"/>
        <v>2228.8062963921579</v>
      </c>
      <c r="BD126" s="724">
        <f t="shared" si="48"/>
        <v>0</v>
      </c>
      <c r="BE126" s="436">
        <f t="shared" si="49"/>
        <v>0.22004249838631784</v>
      </c>
      <c r="BF126" s="624">
        <f t="shared" si="50"/>
        <v>0.27907341750633474</v>
      </c>
      <c r="BG126" s="624">
        <f t="shared" si="51"/>
        <v>5.3336576806518536E-2</v>
      </c>
      <c r="BH126" s="624">
        <f t="shared" si="52"/>
        <v>0</v>
      </c>
      <c r="BI126" s="624">
        <f t="shared" si="53"/>
        <v>0</v>
      </c>
      <c r="BJ126" s="624">
        <f t="shared" si="54"/>
        <v>0</v>
      </c>
      <c r="BK126" s="624">
        <f t="shared" si="55"/>
        <v>0.44754750730082893</v>
      </c>
      <c r="BL126" s="624">
        <f t="shared" si="56"/>
        <v>1</v>
      </c>
      <c r="BM126" s="649">
        <f t="shared" si="92"/>
        <v>0.29028184578274857</v>
      </c>
      <c r="BN126" s="417">
        <f t="shared" si="92"/>
        <v>0.30317187715157518</v>
      </c>
      <c r="BO126" s="417">
        <f t="shared" si="92"/>
        <v>8.2805443243048754E-2</v>
      </c>
      <c r="BP126" s="417">
        <f t="shared" si="92"/>
        <v>0</v>
      </c>
      <c r="BQ126" s="417">
        <f t="shared" si="92"/>
        <v>0</v>
      </c>
      <c r="BR126" s="417">
        <f t="shared" si="92"/>
        <v>0</v>
      </c>
      <c r="BS126" s="417">
        <f t="shared" si="92"/>
        <v>0.32374083382262742</v>
      </c>
      <c r="BT126" s="525">
        <f t="shared" si="83"/>
        <v>0.99999999999999989</v>
      </c>
      <c r="BV126" s="527">
        <f t="shared" si="58"/>
        <v>31.78703368534805</v>
      </c>
      <c r="BW126" s="114">
        <f t="shared" si="59"/>
        <v>0.71887364496201267</v>
      </c>
      <c r="BX126" s="1695">
        <f t="shared" si="25"/>
        <v>11.178944368399096</v>
      </c>
      <c r="BY126" s="527">
        <f t="shared" si="60"/>
        <v>31.78703368534805</v>
      </c>
      <c r="BZ126" s="417">
        <f t="shared" si="61"/>
        <v>0.71887364496201267</v>
      </c>
      <c r="CA126" s="544">
        <f t="shared" si="26"/>
        <v>11.178944368399096</v>
      </c>
      <c r="CB126" s="649">
        <f t="shared" si="27"/>
        <v>0.36750697834425616</v>
      </c>
      <c r="CC126" s="525">
        <f t="shared" si="62"/>
        <v>-6.7261896581714442E-2</v>
      </c>
      <c r="CD126" s="417">
        <f t="shared" si="28"/>
        <v>0.36750697834425616</v>
      </c>
      <c r="CE126" s="525">
        <f t="shared" si="63"/>
        <v>-6.7261896581714442E-2</v>
      </c>
      <c r="CG126" s="527">
        <f t="shared" si="64"/>
        <v>1960.828102265084</v>
      </c>
      <c r="CH126" s="528">
        <f t="shared" si="65"/>
        <v>863.44898440412021</v>
      </c>
      <c r="CI126" s="528">
        <f t="shared" si="66"/>
        <v>3288.4420331682022</v>
      </c>
      <c r="CJ126" s="528">
        <f t="shared" si="67"/>
        <v>4162.7542934433304</v>
      </c>
      <c r="CK126" s="528">
        <f t="shared" si="68"/>
        <v>50.10278459014274</v>
      </c>
      <c r="CL126" s="528">
        <f t="shared" si="69"/>
        <v>10325.57619787088</v>
      </c>
      <c r="CM126" s="646">
        <f t="shared" si="70"/>
        <v>0</v>
      </c>
    </row>
    <row r="127" spans="1:91" s="1" customFormat="1">
      <c r="A127" s="873">
        <f>'Input data'!A147</f>
        <v>2047</v>
      </c>
      <c r="B127" s="1553">
        <f>'Input data'!B147</f>
        <v>74.373096484110363</v>
      </c>
      <c r="C127" s="1552">
        <f>'Input data'!C147</f>
        <v>0</v>
      </c>
      <c r="D127" s="1552">
        <f>'Input data'!D147</f>
        <v>8384607.3220464904</v>
      </c>
      <c r="E127" s="1456">
        <f t="shared" si="88"/>
        <v>1</v>
      </c>
      <c r="F127" s="1506">
        <f t="shared" si="89"/>
        <v>0.36725000000000002</v>
      </c>
      <c r="G127" s="1513">
        <f>B127*F127*'Input data'!$C$9</f>
        <v>835.98736726165691</v>
      </c>
      <c r="H127" s="1544">
        <f>'Input data'!I147</f>
        <v>424.26313389388866</v>
      </c>
      <c r="I127" s="1511">
        <f>'Input data'!K147</f>
        <v>31553.762991741216</v>
      </c>
      <c r="J127" s="1511">
        <f t="shared" si="91"/>
        <v>2228.8062963921584</v>
      </c>
      <c r="K127" s="1513">
        <f t="shared" si="73"/>
        <v>12434.809473169109</v>
      </c>
      <c r="L127" s="1506">
        <f t="shared" si="90"/>
        <v>0.7</v>
      </c>
      <c r="M127" s="1506">
        <f t="shared" si="90"/>
        <v>0.6</v>
      </c>
      <c r="N127" s="1506">
        <f t="shared" si="90"/>
        <v>0.9</v>
      </c>
      <c r="O127" s="1506">
        <f t="shared" si="90"/>
        <v>0.9</v>
      </c>
      <c r="P127" s="1506">
        <f t="shared" si="90"/>
        <v>0.23600000000000002</v>
      </c>
      <c r="Q127" s="1510">
        <f t="shared" si="31"/>
        <v>337.8579113068713</v>
      </c>
      <c r="R127" s="1511">
        <f t="shared" si="32"/>
        <v>235.76775131343163</v>
      </c>
      <c r="S127" s="1511">
        <f t="shared" si="33"/>
        <v>690.42561407138692</v>
      </c>
      <c r="T127" s="1511">
        <f t="shared" si="34"/>
        <v>464.88938755446634</v>
      </c>
      <c r="U127" s="1513">
        <f t="shared" si="35"/>
        <v>0</v>
      </c>
      <c r="V127" s="1511">
        <f t="shared" si="9"/>
        <v>1728.9406642461563</v>
      </c>
      <c r="W127" s="1456">
        <f t="shared" si="86"/>
        <v>0.5</v>
      </c>
      <c r="X127" s="530">
        <f t="shared" si="36"/>
        <v>3033.4854703020706</v>
      </c>
      <c r="Y127" s="528">
        <f t="shared" si="77"/>
        <v>4762.4261345482264</v>
      </c>
      <c r="Z127" s="528">
        <f t="shared" si="78"/>
        <v>9901.189635013041</v>
      </c>
      <c r="AA127" s="530">
        <f t="shared" si="79"/>
        <v>7672.3833386208826</v>
      </c>
      <c r="AB127" s="1091">
        <f t="shared" si="37"/>
        <v>0.7748951006341146</v>
      </c>
      <c r="AC127" s="135" t="str">
        <f t="shared" si="38"/>
        <v>Yes</v>
      </c>
      <c r="AD127" s="1091">
        <f t="shared" si="39"/>
        <v>0.7748951006341146</v>
      </c>
      <c r="AE127" s="649">
        <f t="shared" si="10"/>
        <v>0.36909169159072286</v>
      </c>
      <c r="AF127" s="530">
        <f t="shared" si="11"/>
        <v>267.67113612541198</v>
      </c>
      <c r="AG127" s="527">
        <f t="shared" si="40"/>
        <v>2228.8062963921584</v>
      </c>
      <c r="AH127" s="528">
        <f t="shared" si="80"/>
        <v>10378.286612069227</v>
      </c>
      <c r="AI127" s="528">
        <f t="shared" si="81"/>
        <v>6437.6604656145792</v>
      </c>
      <c r="AJ127" s="528">
        <f t="shared" si="12"/>
        <v>862.77785899073763</v>
      </c>
      <c r="AK127" s="528">
        <f t="shared" si="41"/>
        <v>19907.531233066704</v>
      </c>
      <c r="AL127" s="716">
        <f t="shared" si="13"/>
        <v>0</v>
      </c>
      <c r="AM127" s="417">
        <f t="shared" si="42"/>
        <v>0.11195794547794445</v>
      </c>
      <c r="AN127" s="417">
        <f t="shared" si="43"/>
        <v>0.52132464294873182</v>
      </c>
      <c r="AO127" s="417">
        <f t="shared" si="44"/>
        <v>0.32337814218377464</v>
      </c>
      <c r="AP127" s="417">
        <f t="shared" si="45"/>
        <v>4.3339269389548955E-2</v>
      </c>
      <c r="AQ127" s="417">
        <f t="shared" si="46"/>
        <v>0.99999999999999978</v>
      </c>
      <c r="AR127" s="1086">
        <f t="shared" si="14"/>
        <v>491.20185885901765</v>
      </c>
      <c r="AS127" s="938">
        <f t="shared" si="15"/>
        <v>622.97684512099681</v>
      </c>
      <c r="AT127" s="938">
        <f t="shared" si="16"/>
        <v>118.69097477773697</v>
      </c>
      <c r="AU127" s="938">
        <f t="shared" si="17"/>
        <v>0</v>
      </c>
      <c r="AV127" s="938">
        <f t="shared" si="18"/>
        <v>0</v>
      </c>
      <c r="AW127" s="938">
        <f t="shared" si="19"/>
        <v>0</v>
      </c>
      <c r="AX127" s="938">
        <f t="shared" si="20"/>
        <v>828.8981554996866</v>
      </c>
      <c r="AY127" s="938">
        <f t="shared" si="21"/>
        <v>66.767298496087406</v>
      </c>
      <c r="AZ127" s="938">
        <f t="shared" si="22"/>
        <v>18.768305148828162</v>
      </c>
      <c r="BA127" s="938">
        <f t="shared" si="23"/>
        <v>48.474876405691035</v>
      </c>
      <c r="BB127" s="938">
        <f t="shared" si="24"/>
        <v>33.027982084113098</v>
      </c>
      <c r="BC127" s="530">
        <f t="shared" si="47"/>
        <v>2228.8062963921579</v>
      </c>
      <c r="BD127" s="724">
        <f t="shared" si="48"/>
        <v>0</v>
      </c>
      <c r="BE127" s="436">
        <f t="shared" si="49"/>
        <v>0.22038786396742607</v>
      </c>
      <c r="BF127" s="624">
        <f t="shared" si="50"/>
        <v>0.27951143449721488</v>
      </c>
      <c r="BG127" s="624">
        <f t="shared" si="51"/>
        <v>5.3253158414827681E-2</v>
      </c>
      <c r="BH127" s="624">
        <f t="shared" si="52"/>
        <v>0</v>
      </c>
      <c r="BI127" s="624">
        <f t="shared" si="53"/>
        <v>0</v>
      </c>
      <c r="BJ127" s="624">
        <f t="shared" si="54"/>
        <v>0</v>
      </c>
      <c r="BK127" s="624">
        <f t="shared" si="55"/>
        <v>0.44684754312053121</v>
      </c>
      <c r="BL127" s="624">
        <f t="shared" si="56"/>
        <v>0.99999999999999989</v>
      </c>
      <c r="BM127" s="649">
        <f t="shared" si="92"/>
        <v>0.29028184578274857</v>
      </c>
      <c r="BN127" s="417">
        <f t="shared" si="92"/>
        <v>0.30317187715157518</v>
      </c>
      <c r="BO127" s="417">
        <f t="shared" si="92"/>
        <v>8.2805443243048754E-2</v>
      </c>
      <c r="BP127" s="417">
        <f t="shared" si="92"/>
        <v>0</v>
      </c>
      <c r="BQ127" s="417">
        <f t="shared" si="92"/>
        <v>0</v>
      </c>
      <c r="BR127" s="417">
        <f t="shared" si="92"/>
        <v>0</v>
      </c>
      <c r="BS127" s="417">
        <f t="shared" si="92"/>
        <v>0.32374083382262742</v>
      </c>
      <c r="BT127" s="525">
        <f t="shared" si="83"/>
        <v>0.99999999999999989</v>
      </c>
      <c r="BV127" s="527">
        <f t="shared" si="58"/>
        <v>29.044055555113193</v>
      </c>
      <c r="BW127" s="114">
        <f t="shared" si="59"/>
        <v>0.75004969000129851</v>
      </c>
      <c r="BX127" s="1695">
        <f t="shared" si="25"/>
        <v>8.3846073220464898</v>
      </c>
      <c r="BY127" s="527">
        <f t="shared" si="60"/>
        <v>29.044055555113193</v>
      </c>
      <c r="BZ127" s="417">
        <f t="shared" si="61"/>
        <v>0.75004969000129851</v>
      </c>
      <c r="CA127" s="544">
        <f t="shared" si="26"/>
        <v>8.3846073220464898</v>
      </c>
      <c r="CB127" s="649">
        <f t="shared" si="27"/>
        <v>0.36909169159072286</v>
      </c>
      <c r="CC127" s="525">
        <f t="shared" si="62"/>
        <v>-8.9678260545715593E-2</v>
      </c>
      <c r="CD127" s="417">
        <f t="shared" si="28"/>
        <v>0.36909169159072286</v>
      </c>
      <c r="CE127" s="525">
        <f t="shared" si="63"/>
        <v>-8.9678260545715593E-2</v>
      </c>
      <c r="CG127" s="527">
        <f t="shared" si="64"/>
        <v>1970.8378159567483</v>
      </c>
      <c r="CH127" s="528">
        <f t="shared" si="65"/>
        <v>867.85675330097536</v>
      </c>
      <c r="CI127" s="528">
        <f t="shared" si="66"/>
        <v>3305.2290035332353</v>
      </c>
      <c r="CJ127" s="528">
        <f t="shared" si="67"/>
        <v>4184.0044879902052</v>
      </c>
      <c r="CK127" s="528">
        <f t="shared" si="68"/>
        <v>50.358551288061392</v>
      </c>
      <c r="CL127" s="528">
        <f t="shared" si="69"/>
        <v>10378.286612069225</v>
      </c>
      <c r="CM127" s="646">
        <f t="shared" si="70"/>
        <v>0</v>
      </c>
    </row>
    <row r="128" spans="1:91">
      <c r="A128" s="127">
        <f>'Input data'!A148</f>
        <v>2048</v>
      </c>
      <c r="B128" s="662">
        <f>'Input data'!B148</f>
        <v>74.752759240528661</v>
      </c>
      <c r="C128" s="236">
        <f>'Input data'!C148</f>
        <v>0</v>
      </c>
      <c r="D128" s="236">
        <f>'Input data'!D148</f>
        <v>5590270.2756938878</v>
      </c>
      <c r="E128" s="649">
        <f t="shared" si="88"/>
        <v>1</v>
      </c>
      <c r="F128" s="417">
        <f t="shared" si="89"/>
        <v>0.36725000000000002</v>
      </c>
      <c r="G128" s="530">
        <f>B128*F128*'Input data'!$C$9</f>
        <v>840.25494899738908</v>
      </c>
      <c r="H128" s="529">
        <f>'Input data'!I148</f>
        <v>424.26313389388866</v>
      </c>
      <c r="I128" s="528">
        <f>'Input data'!K148</f>
        <v>31714.839902602034</v>
      </c>
      <c r="J128" s="528">
        <f t="shared" si="91"/>
        <v>2228.8062963921584</v>
      </c>
      <c r="K128" s="530">
        <f t="shared" si="73"/>
        <v>12509.664885210746</v>
      </c>
      <c r="L128" s="417">
        <f t="shared" ref="L128:P130" si="93">L127</f>
        <v>0.7</v>
      </c>
      <c r="M128" s="417">
        <f t="shared" si="93"/>
        <v>0.6</v>
      </c>
      <c r="N128" s="417">
        <f t="shared" si="93"/>
        <v>0.9</v>
      </c>
      <c r="O128" s="417">
        <f t="shared" si="93"/>
        <v>0.9</v>
      </c>
      <c r="P128" s="417">
        <f t="shared" si="93"/>
        <v>0.23600000000000002</v>
      </c>
      <c r="Q128" s="527">
        <f t="shared" si="31"/>
        <v>339.58262188029607</v>
      </c>
      <c r="R128" s="528">
        <f t="shared" si="32"/>
        <v>236.971307956489</v>
      </c>
      <c r="S128" s="528">
        <f t="shared" si="33"/>
        <v>693.95012634977684</v>
      </c>
      <c r="T128" s="528">
        <f t="shared" si="34"/>
        <v>467.26257348664376</v>
      </c>
      <c r="U128" s="530">
        <f t="shared" si="35"/>
        <v>0</v>
      </c>
      <c r="V128" s="528">
        <f t="shared" si="9"/>
        <v>1737.7666296732057</v>
      </c>
      <c r="W128" s="649">
        <f t="shared" si="86"/>
        <v>0.5</v>
      </c>
      <c r="X128" s="530">
        <f t="shared" si="36"/>
        <v>3033.4854703020706</v>
      </c>
      <c r="Y128" s="528">
        <f t="shared" si="77"/>
        <v>4771.252099975276</v>
      </c>
      <c r="Z128" s="528">
        <f t="shared" si="78"/>
        <v>9967.2190816276288</v>
      </c>
      <c r="AA128" s="530">
        <f t="shared" si="79"/>
        <v>7738.4127852354704</v>
      </c>
      <c r="AB128" s="1091">
        <f t="shared" si="37"/>
        <v>0.77638634426121211</v>
      </c>
      <c r="AC128" s="135" t="str">
        <f t="shared" si="38"/>
        <v>Yes</v>
      </c>
      <c r="AD128" s="1091">
        <f t="shared" si="39"/>
        <v>0.77638634426121211</v>
      </c>
      <c r="AE128" s="649">
        <f t="shared" si="10"/>
        <v>0.3706677901680655</v>
      </c>
      <c r="AF128" s="530">
        <f t="shared" si="11"/>
        <v>267.00245560366284</v>
      </c>
      <c r="AG128" s="527">
        <f t="shared" si="40"/>
        <v>2228.8062963921584</v>
      </c>
      <c r="AH128" s="528">
        <f t="shared" si="80"/>
        <v>10431.266104497367</v>
      </c>
      <c r="AI128" s="528">
        <f t="shared" si="81"/>
        <v>6437.6604656145792</v>
      </c>
      <c r="AJ128" s="528">
        <f t="shared" si="12"/>
        <v>861.43741386644547</v>
      </c>
      <c r="AK128" s="528">
        <f t="shared" si="41"/>
        <v>19959.170280370552</v>
      </c>
      <c r="AL128" s="716">
        <f t="shared" si="13"/>
        <v>0</v>
      </c>
      <c r="AM128" s="417">
        <f t="shared" si="42"/>
        <v>0.11166828405608349</v>
      </c>
      <c r="AN128" s="417">
        <f t="shared" si="43"/>
        <v>0.52263024754873255</v>
      </c>
      <c r="AO128" s="417">
        <f t="shared" si="44"/>
        <v>0.32254148720530185</v>
      </c>
      <c r="AP128" s="417">
        <f t="shared" si="45"/>
        <v>4.3159981189882027E-2</v>
      </c>
      <c r="AQ128" s="417">
        <f t="shared" si="46"/>
        <v>1</v>
      </c>
      <c r="AR128" s="1086">
        <f t="shared" si="14"/>
        <v>491.96531657019244</v>
      </c>
      <c r="AS128" s="938">
        <f t="shared" si="15"/>
        <v>623.94511604203069</v>
      </c>
      <c r="AT128" s="938">
        <f t="shared" si="16"/>
        <v>118.5065718786821</v>
      </c>
      <c r="AU128" s="938">
        <f t="shared" si="17"/>
        <v>0</v>
      </c>
      <c r="AV128" s="938">
        <f t="shared" si="18"/>
        <v>0</v>
      </c>
      <c r="AW128" s="938">
        <f t="shared" si="19"/>
        <v>0</v>
      </c>
      <c r="AX128" s="938">
        <f t="shared" si="20"/>
        <v>827.61034719596614</v>
      </c>
      <c r="AY128" s="938">
        <f t="shared" si="21"/>
        <v>66.663566233143229</v>
      </c>
      <c r="AZ128" s="938">
        <f t="shared" si="22"/>
        <v>18.739145982461341</v>
      </c>
      <c r="BA128" s="938">
        <f t="shared" si="23"/>
        <v>48.399563958748168</v>
      </c>
      <c r="BB128" s="938">
        <f t="shared" si="24"/>
        <v>32.976668530933082</v>
      </c>
      <c r="BC128" s="530">
        <f t="shared" si="47"/>
        <v>2228.806296392157</v>
      </c>
      <c r="BD128" s="724">
        <f t="shared" si="48"/>
        <v>0</v>
      </c>
      <c r="BE128" s="436">
        <f t="shared" si="49"/>
        <v>0.22073040504531644</v>
      </c>
      <c r="BF128" s="624">
        <f t="shared" si="50"/>
        <v>0.27994586925388332</v>
      </c>
      <c r="BG128" s="624">
        <f t="shared" si="51"/>
        <v>5.3170422243742146E-2</v>
      </c>
      <c r="BH128" s="624">
        <f t="shared" si="52"/>
        <v>0</v>
      </c>
      <c r="BI128" s="624">
        <f t="shared" si="53"/>
        <v>0</v>
      </c>
      <c r="BJ128" s="624">
        <f t="shared" si="54"/>
        <v>0</v>
      </c>
      <c r="BK128" s="624">
        <f t="shared" si="55"/>
        <v>0.44615330345705817</v>
      </c>
      <c r="BL128" s="624">
        <f t="shared" si="56"/>
        <v>1</v>
      </c>
      <c r="BM128" s="649">
        <f t="shared" si="92"/>
        <v>0.29028184578274857</v>
      </c>
      <c r="BN128" s="417">
        <f t="shared" si="92"/>
        <v>0.30317187715157518</v>
      </c>
      <c r="BO128" s="417">
        <f t="shared" si="92"/>
        <v>8.2805443243048754E-2</v>
      </c>
      <c r="BP128" s="417">
        <f t="shared" si="92"/>
        <v>0</v>
      </c>
      <c r="BQ128" s="417">
        <f t="shared" si="92"/>
        <v>0</v>
      </c>
      <c r="BR128" s="417">
        <f t="shared" si="92"/>
        <v>0</v>
      </c>
      <c r="BS128" s="417">
        <f t="shared" si="92"/>
        <v>0.32374083382262742</v>
      </c>
      <c r="BT128" s="525">
        <f t="shared" si="83"/>
        <v>0.99999999999999989</v>
      </c>
      <c r="BV128" s="527">
        <f t="shared" si="58"/>
        <v>26.301357556064438</v>
      </c>
      <c r="BW128" s="114">
        <f t="shared" si="59"/>
        <v>0.787730787283214</v>
      </c>
      <c r="BX128" s="1695">
        <f t="shared" si="25"/>
        <v>5.5902702756938876</v>
      </c>
      <c r="BY128" s="527">
        <f t="shared" si="60"/>
        <v>26.301357556064438</v>
      </c>
      <c r="BZ128" s="417">
        <f t="shared" si="61"/>
        <v>0.787730787283214</v>
      </c>
      <c r="CA128" s="544">
        <f t="shared" si="26"/>
        <v>5.5902702756938876</v>
      </c>
      <c r="CB128" s="649">
        <f t="shared" si="27"/>
        <v>0.3706677901680655</v>
      </c>
      <c r="CC128" s="525">
        <f t="shared" si="62"/>
        <v>-0.13450458795691578</v>
      </c>
      <c r="CD128" s="417">
        <f t="shared" si="28"/>
        <v>0.3706677901680655</v>
      </c>
      <c r="CE128" s="525">
        <f t="shared" si="63"/>
        <v>-0.13450458795691578</v>
      </c>
      <c r="CG128" s="527">
        <f t="shared" si="64"/>
        <v>1980.8986276350599</v>
      </c>
      <c r="CH128" s="528">
        <f t="shared" si="65"/>
        <v>872.28702315272039</v>
      </c>
      <c r="CI128" s="528">
        <f t="shared" si="66"/>
        <v>3322.101668695741</v>
      </c>
      <c r="CJ128" s="528">
        <f t="shared" si="67"/>
        <v>4205.3631613797997</v>
      </c>
      <c r="CK128" s="528">
        <f t="shared" si="68"/>
        <v>50.615623634045299</v>
      </c>
      <c r="CL128" s="528">
        <f t="shared" si="69"/>
        <v>10431.266104497367</v>
      </c>
      <c r="CM128" s="646">
        <f t="shared" si="70"/>
        <v>0</v>
      </c>
    </row>
    <row r="129" spans="1:91">
      <c r="A129" s="127">
        <f>'Input data'!A149</f>
        <v>2049</v>
      </c>
      <c r="B129" s="662">
        <f>'Input data'!B149</f>
        <v>75.134360114565098</v>
      </c>
      <c r="C129" s="236">
        <f>'Input data'!C149</f>
        <v>0</v>
      </c>
      <c r="D129" s="236">
        <f>'Input data'!D149</f>
        <v>2795933.2293412867</v>
      </c>
      <c r="E129" s="649">
        <f t="shared" si="88"/>
        <v>1</v>
      </c>
      <c r="F129" s="417">
        <f t="shared" si="89"/>
        <v>0.36725000000000002</v>
      </c>
      <c r="G129" s="530">
        <f>B129*F129*'Input data'!$C$9</f>
        <v>844.54431605498667</v>
      </c>
      <c r="H129" s="529">
        <f>'Input data'!I149</f>
        <v>424.26313389388866</v>
      </c>
      <c r="I129" s="528">
        <f>'Input data'!K149</f>
        <v>31876.739085317382</v>
      </c>
      <c r="J129" s="528">
        <f t="shared" si="91"/>
        <v>2228.8062963921584</v>
      </c>
      <c r="K129" s="530">
        <f t="shared" si="73"/>
        <v>12584.902422152543</v>
      </c>
      <c r="L129" s="417">
        <f t="shared" si="93"/>
        <v>0.7</v>
      </c>
      <c r="M129" s="417">
        <f t="shared" si="93"/>
        <v>0.6</v>
      </c>
      <c r="N129" s="417">
        <f t="shared" si="93"/>
        <v>0.9</v>
      </c>
      <c r="O129" s="417">
        <f t="shared" si="93"/>
        <v>0.9</v>
      </c>
      <c r="P129" s="417">
        <f t="shared" si="93"/>
        <v>0.23600000000000002</v>
      </c>
      <c r="Q129" s="527">
        <f t="shared" si="31"/>
        <v>341.31613682521129</v>
      </c>
      <c r="R129" s="528">
        <f t="shared" si="32"/>
        <v>238.18100856361684</v>
      </c>
      <c r="S129" s="528">
        <f t="shared" si="33"/>
        <v>697.49263069935841</v>
      </c>
      <c r="T129" s="528">
        <f t="shared" si="34"/>
        <v>469.64787415324872</v>
      </c>
      <c r="U129" s="530">
        <f t="shared" si="35"/>
        <v>0</v>
      </c>
      <c r="V129" s="528">
        <f t="shared" si="9"/>
        <v>1746.6376502414353</v>
      </c>
      <c r="W129" s="649">
        <f t="shared" si="86"/>
        <v>0.5</v>
      </c>
      <c r="X129" s="530">
        <f t="shared" si="36"/>
        <v>3033.4854703020706</v>
      </c>
      <c r="Y129" s="528">
        <f t="shared" si="77"/>
        <v>4780.123120543506</v>
      </c>
      <c r="Z129" s="528">
        <f t="shared" si="78"/>
        <v>10033.585598001195</v>
      </c>
      <c r="AA129" s="530">
        <f t="shared" si="79"/>
        <v>7804.7793016090363</v>
      </c>
      <c r="AB129" s="1091">
        <f t="shared" si="37"/>
        <v>0.77786542262258052</v>
      </c>
      <c r="AC129" s="135" t="str">
        <f t="shared" si="38"/>
        <v>Yes</v>
      </c>
      <c r="AD129" s="1091">
        <f t="shared" si="39"/>
        <v>0.77786542262258052</v>
      </c>
      <c r="AE129" s="649">
        <f t="shared" si="10"/>
        <v>0.37223532617222466</v>
      </c>
      <c r="AF129" s="530">
        <f t="shared" si="11"/>
        <v>266.33740786604682</v>
      </c>
      <c r="AG129" s="527">
        <f t="shared" si="40"/>
        <v>2228.8062963921584</v>
      </c>
      <c r="AH129" s="528">
        <f t="shared" si="80"/>
        <v>10484.516048756612</v>
      </c>
      <c r="AI129" s="528">
        <f t="shared" si="81"/>
        <v>6437.6604656145792</v>
      </c>
      <c r="AJ129" s="528">
        <f t="shared" si="12"/>
        <v>860.10790382401149</v>
      </c>
      <c r="AK129" s="528">
        <f t="shared" si="41"/>
        <v>20011.090714587364</v>
      </c>
      <c r="AL129" s="716">
        <f t="shared" si="13"/>
        <v>0</v>
      </c>
      <c r="AM129" s="417">
        <f t="shared" si="42"/>
        <v>0.11137855143335285</v>
      </c>
      <c r="AN129" s="417">
        <f t="shared" si="43"/>
        <v>0.52393526161538895</v>
      </c>
      <c r="AO129" s="417">
        <f t="shared" si="44"/>
        <v>0.3217046265709923</v>
      </c>
      <c r="AP129" s="417">
        <f t="shared" si="45"/>
        <v>4.2981560380265717E-2</v>
      </c>
      <c r="AQ129" s="417">
        <f t="shared" si="46"/>
        <v>0.99999999999999978</v>
      </c>
      <c r="AR129" s="1086">
        <f t="shared" si="14"/>
        <v>492.72254614683573</v>
      </c>
      <c r="AS129" s="938">
        <f t="shared" si="15"/>
        <v>624.90548800354009</v>
      </c>
      <c r="AT129" s="938">
        <f t="shared" si="16"/>
        <v>118.32367330140767</v>
      </c>
      <c r="AU129" s="938">
        <f t="shared" si="17"/>
        <v>0</v>
      </c>
      <c r="AV129" s="938">
        <f t="shared" si="18"/>
        <v>0</v>
      </c>
      <c r="AW129" s="938">
        <f t="shared" si="19"/>
        <v>0</v>
      </c>
      <c r="AX129" s="938">
        <f t="shared" si="20"/>
        <v>826.33304457350323</v>
      </c>
      <c r="AY129" s="938">
        <f t="shared" si="21"/>
        <v>66.560680197147207</v>
      </c>
      <c r="AZ129" s="938">
        <f t="shared" si="22"/>
        <v>18.710224690711819</v>
      </c>
      <c r="BA129" s="938">
        <f t="shared" si="23"/>
        <v>48.324865895607729</v>
      </c>
      <c r="BB129" s="938">
        <f t="shared" si="24"/>
        <v>32.925773583404499</v>
      </c>
      <c r="BC129" s="530">
        <f t="shared" si="47"/>
        <v>2228.8062963921579</v>
      </c>
      <c r="BD129" s="724">
        <f t="shared" si="48"/>
        <v>0</v>
      </c>
      <c r="BE129" s="436">
        <f t="shared" si="49"/>
        <v>0.22107015174195349</v>
      </c>
      <c r="BF129" s="624">
        <f t="shared" si="50"/>
        <v>0.28037675997914002</v>
      </c>
      <c r="BG129" s="624">
        <f t="shared" si="51"/>
        <v>5.3088361017708037E-2</v>
      </c>
      <c r="BH129" s="624">
        <f t="shared" si="52"/>
        <v>0</v>
      </c>
      <c r="BI129" s="624">
        <f t="shared" si="53"/>
        <v>0</v>
      </c>
      <c r="BJ129" s="624">
        <f t="shared" si="54"/>
        <v>0</v>
      </c>
      <c r="BK129" s="624">
        <f t="shared" si="55"/>
        <v>0.44546472726119851</v>
      </c>
      <c r="BL129" s="624">
        <f t="shared" si="56"/>
        <v>1.0000000000000002</v>
      </c>
      <c r="BM129" s="649">
        <f t="shared" si="92"/>
        <v>0.29028184578274857</v>
      </c>
      <c r="BN129" s="417">
        <f t="shared" si="92"/>
        <v>0.30317187715157518</v>
      </c>
      <c r="BO129" s="417">
        <f t="shared" si="92"/>
        <v>8.2805443243048754E-2</v>
      </c>
      <c r="BP129" s="417">
        <f t="shared" si="92"/>
        <v>0</v>
      </c>
      <c r="BQ129" s="417">
        <f t="shared" si="92"/>
        <v>0</v>
      </c>
      <c r="BR129" s="417">
        <f t="shared" si="92"/>
        <v>0</v>
      </c>
      <c r="BS129" s="417">
        <f t="shared" si="92"/>
        <v>0.32374083382262742</v>
      </c>
      <c r="BT129" s="525">
        <f t="shared" si="83"/>
        <v>0.99999999999999989</v>
      </c>
      <c r="BV129" s="527">
        <f t="shared" si="58"/>
        <v>23.558940943928651</v>
      </c>
      <c r="BW129" s="114">
        <f t="shared" si="59"/>
        <v>0.83418752806867424</v>
      </c>
      <c r="BX129" s="1695">
        <f t="shared" si="25"/>
        <v>2.7959332293412866</v>
      </c>
      <c r="BY129" s="527">
        <f t="shared" si="60"/>
        <v>23.558940943928651</v>
      </c>
      <c r="BZ129" s="417">
        <f t="shared" si="61"/>
        <v>0.83418752806867424</v>
      </c>
      <c r="CA129" s="544">
        <f t="shared" si="26"/>
        <v>2.7959332293412866</v>
      </c>
      <c r="CB129" s="649">
        <f t="shared" si="27"/>
        <v>0.37223532617222466</v>
      </c>
      <c r="CC129" s="525">
        <f t="shared" si="62"/>
        <v>-0.2689323879802199</v>
      </c>
      <c r="CD129" s="417">
        <f t="shared" si="28"/>
        <v>0.37223532617222466</v>
      </c>
      <c r="CE129" s="525">
        <f t="shared" si="63"/>
        <v>-0.2689323879802199</v>
      </c>
      <c r="CG129" s="527">
        <f t="shared" si="64"/>
        <v>1991.0107981470655</v>
      </c>
      <c r="CH129" s="528">
        <f t="shared" si="65"/>
        <v>876.73990882312989</v>
      </c>
      <c r="CI129" s="528">
        <f t="shared" si="66"/>
        <v>3339.0604661139491</v>
      </c>
      <c r="CJ129" s="528">
        <f t="shared" si="67"/>
        <v>4226.830867379248</v>
      </c>
      <c r="CK129" s="528">
        <f t="shared" si="68"/>
        <v>50.874008293218921</v>
      </c>
      <c r="CL129" s="528">
        <f t="shared" si="69"/>
        <v>10484.516048756612</v>
      </c>
      <c r="CM129" s="646">
        <f t="shared" si="70"/>
        <v>0</v>
      </c>
    </row>
    <row r="130" spans="1:91" ht="15.75" thickBot="1">
      <c r="A130" s="172">
        <f>'Input data'!A150</f>
        <v>2050</v>
      </c>
      <c r="B130" s="664">
        <f>'Input data'!B150</f>
        <v>75.517908999999989</v>
      </c>
      <c r="C130" s="239">
        <f>'Input data'!C150</f>
        <v>0</v>
      </c>
      <c r="D130" s="239">
        <f>'Input data'!D150</f>
        <v>1596.1829886855978</v>
      </c>
      <c r="E130" s="650">
        <f t="shared" si="88"/>
        <v>1</v>
      </c>
      <c r="F130" s="651">
        <f t="shared" si="89"/>
        <v>0.36725000000000002</v>
      </c>
      <c r="G130" s="659">
        <f>B130*F130*'Input data'!$C$9</f>
        <v>848.85557964503187</v>
      </c>
      <c r="H130" s="654">
        <f>'Input data'!I150</f>
        <v>424.26313389388866</v>
      </c>
      <c r="I130" s="667">
        <f>'Input data'!K150</f>
        <v>32039.464737453494</v>
      </c>
      <c r="J130" s="667">
        <f t="shared" si="91"/>
        <v>2228.8062963921584</v>
      </c>
      <c r="K130" s="659">
        <f t="shared" si="73"/>
        <v>12660.52403468097</v>
      </c>
      <c r="L130" s="651">
        <f t="shared" si="93"/>
        <v>0.7</v>
      </c>
      <c r="M130" s="651">
        <f t="shared" si="93"/>
        <v>0.6</v>
      </c>
      <c r="N130" s="651">
        <f t="shared" si="93"/>
        <v>0.9</v>
      </c>
      <c r="O130" s="651">
        <f t="shared" si="93"/>
        <v>0.9</v>
      </c>
      <c r="P130" s="651">
        <f t="shared" si="93"/>
        <v>0.23600000000000002</v>
      </c>
      <c r="Q130" s="670">
        <f t="shared" si="31"/>
        <v>343.0585010865243</v>
      </c>
      <c r="R130" s="667">
        <f t="shared" si="32"/>
        <v>239.39688449876871</v>
      </c>
      <c r="S130" s="667">
        <f t="shared" si="33"/>
        <v>701.05321896677469</v>
      </c>
      <c r="T130" s="667">
        <f t="shared" si="34"/>
        <v>472.04535139806285</v>
      </c>
      <c r="U130" s="659">
        <f t="shared" si="35"/>
        <v>0</v>
      </c>
      <c r="V130" s="667">
        <f t="shared" si="9"/>
        <v>1755.5539559501306</v>
      </c>
      <c r="W130" s="650">
        <f t="shared" si="86"/>
        <v>0.5</v>
      </c>
      <c r="X130" s="659">
        <f t="shared" si="36"/>
        <v>3033.4854703020706</v>
      </c>
      <c r="Y130" s="667">
        <f t="shared" si="77"/>
        <v>4789.0394262522013</v>
      </c>
      <c r="Z130" s="667">
        <f t="shared" si="78"/>
        <v>10100.290904820926</v>
      </c>
      <c r="AA130" s="659">
        <f t="shared" si="79"/>
        <v>7871.4846084287674</v>
      </c>
      <c r="AB130" s="1094">
        <f t="shared" si="37"/>
        <v>0.77933246503540443</v>
      </c>
      <c r="AC130" s="1105" t="str">
        <f t="shared" si="38"/>
        <v>Yes</v>
      </c>
      <c r="AD130" s="1094">
        <f t="shared" si="39"/>
        <v>0.77933246503540443</v>
      </c>
      <c r="AE130" s="650">
        <f t="shared" si="10"/>
        <v>0.37379435129462157</v>
      </c>
      <c r="AF130" s="659">
        <f t="shared" si="11"/>
        <v>265.67597098179937</v>
      </c>
      <c r="AG130" s="670">
        <f t="shared" si="40"/>
        <v>2228.8062963921584</v>
      </c>
      <c r="AH130" s="667">
        <f t="shared" si="80"/>
        <v>10538.037825460278</v>
      </c>
      <c r="AI130" s="667">
        <f t="shared" si="81"/>
        <v>6437.6604656145792</v>
      </c>
      <c r="AJ130" s="667">
        <f t="shared" si="12"/>
        <v>858.78921262314645</v>
      </c>
      <c r="AK130" s="667">
        <f t="shared" si="41"/>
        <v>20063.293800090163</v>
      </c>
      <c r="AL130" s="717">
        <f t="shared" si="13"/>
        <v>0</v>
      </c>
      <c r="AM130" s="651">
        <f t="shared" si="42"/>
        <v>0.11108875335226075</v>
      </c>
      <c r="AN130" s="651">
        <f t="shared" si="43"/>
        <v>0.52523967053769216</v>
      </c>
      <c r="AO130" s="651">
        <f t="shared" si="44"/>
        <v>0.32086757686744583</v>
      </c>
      <c r="AP130" s="651">
        <f t="shared" si="45"/>
        <v>4.2803999242601289E-2</v>
      </c>
      <c r="AQ130" s="651">
        <f t="shared" si="46"/>
        <v>1</v>
      </c>
      <c r="AR130" s="1476">
        <f t="shared" si="14"/>
        <v>493.47361379422671</v>
      </c>
      <c r="AS130" s="1477">
        <f t="shared" si="15"/>
        <v>625.85804497173024</v>
      </c>
      <c r="AT130" s="1477">
        <f t="shared" si="16"/>
        <v>118.14226305492249</v>
      </c>
      <c r="AU130" s="1477">
        <f t="shared" si="17"/>
        <v>0</v>
      </c>
      <c r="AV130" s="1477">
        <f t="shared" si="18"/>
        <v>0</v>
      </c>
      <c r="AW130" s="1477">
        <f t="shared" si="19"/>
        <v>0</v>
      </c>
      <c r="AX130" s="1477">
        <f t="shared" si="20"/>
        <v>825.06613595655131</v>
      </c>
      <c r="AY130" s="1477">
        <f t="shared" si="21"/>
        <v>66.458631392678186</v>
      </c>
      <c r="AZ130" s="1477">
        <f t="shared" si="22"/>
        <v>18.681538744964712</v>
      </c>
      <c r="BA130" s="1477">
        <f t="shared" si="23"/>
        <v>48.250775685348998</v>
      </c>
      <c r="BB130" s="1477">
        <f t="shared" si="24"/>
        <v>32.875292791735141</v>
      </c>
      <c r="BC130" s="659">
        <f t="shared" si="47"/>
        <v>2228.8062963921579</v>
      </c>
      <c r="BD130" s="725">
        <f t="shared" si="48"/>
        <v>0</v>
      </c>
      <c r="BE130" s="683">
        <f t="shared" si="49"/>
        <v>0.22140713376170404</v>
      </c>
      <c r="BF130" s="683">
        <f>AS130/BC130</f>
        <v>0.28080414434615841</v>
      </c>
      <c r="BG130" s="683">
        <f t="shared" si="51"/>
        <v>5.3006967562036801E-2</v>
      </c>
      <c r="BH130" s="683">
        <f t="shared" si="52"/>
        <v>0</v>
      </c>
      <c r="BI130" s="683">
        <f t="shared" si="53"/>
        <v>0</v>
      </c>
      <c r="BJ130" s="683">
        <f t="shared" si="54"/>
        <v>0</v>
      </c>
      <c r="BK130" s="683">
        <f t="shared" si="55"/>
        <v>0.44478175433010064</v>
      </c>
      <c r="BL130" s="683">
        <f t="shared" si="56"/>
        <v>1</v>
      </c>
      <c r="BM130" s="650">
        <f t="shared" si="92"/>
        <v>0.29028184578274857</v>
      </c>
      <c r="BN130" s="651">
        <f t="shared" si="92"/>
        <v>0.30317187715157518</v>
      </c>
      <c r="BO130" s="651">
        <f t="shared" si="92"/>
        <v>8.2805443243048754E-2</v>
      </c>
      <c r="BP130" s="651">
        <f t="shared" si="92"/>
        <v>0</v>
      </c>
      <c r="BQ130" s="651">
        <f t="shared" si="92"/>
        <v>0</v>
      </c>
      <c r="BR130" s="651">
        <f t="shared" si="92"/>
        <v>0</v>
      </c>
      <c r="BS130" s="651">
        <f t="shared" si="92"/>
        <v>0.32374083382262742</v>
      </c>
      <c r="BT130" s="652">
        <f t="shared" si="83"/>
        <v>0.99999999999999989</v>
      </c>
      <c r="BV130" s="670">
        <f t="shared" si="58"/>
        <v>20.816806983078848</v>
      </c>
      <c r="BW130" s="651">
        <f t="shared" si="59"/>
        <v>0.89288635822017004</v>
      </c>
      <c r="BX130" s="1696">
        <f t="shared" si="25"/>
        <v>1.5961829886855978E-3</v>
      </c>
      <c r="BY130" s="670">
        <f t="shared" si="60"/>
        <v>20.816806983078848</v>
      </c>
      <c r="BZ130" s="651">
        <f t="shared" si="61"/>
        <v>0.89288635822017004</v>
      </c>
      <c r="CA130" s="675">
        <f t="shared" si="26"/>
        <v>1.5961829886855978E-3</v>
      </c>
      <c r="CB130" s="650">
        <f t="shared" si="27"/>
        <v>0.37379435129462157</v>
      </c>
      <c r="CC130" s="652">
        <f t="shared" si="62"/>
        <v>-471.07192930252825</v>
      </c>
      <c r="CD130" s="651">
        <f t="shared" si="28"/>
        <v>0.37379435129462157</v>
      </c>
      <c r="CE130" s="652">
        <f t="shared" si="63"/>
        <v>-471.07192930252825</v>
      </c>
      <c r="CG130" s="670">
        <f t="shared" si="64"/>
        <v>2001.1745896713924</v>
      </c>
      <c r="CH130" s="667">
        <f t="shared" si="65"/>
        <v>881.21552576233921</v>
      </c>
      <c r="CI130" s="667">
        <f t="shared" si="66"/>
        <v>3356.1058354792422</v>
      </c>
      <c r="CJ130" s="667">
        <f t="shared" si="67"/>
        <v>4248.4081625825747</v>
      </c>
      <c r="CK130" s="667">
        <f t="shared" si="68"/>
        <v>51.13371196473107</v>
      </c>
      <c r="CL130" s="667">
        <f t="shared" si="69"/>
        <v>10538.037825460278</v>
      </c>
      <c r="CM130" s="653">
        <f t="shared" si="70"/>
        <v>0</v>
      </c>
    </row>
    <row r="131" spans="1:91">
      <c r="AM131" s="528"/>
      <c r="AN131" s="623"/>
      <c r="AO131" s="623"/>
      <c r="AP131" s="623"/>
      <c r="AS131" s="114"/>
    </row>
    <row r="132" spans="1:91" ht="23.25">
      <c r="A132" s="686" t="s">
        <v>654</v>
      </c>
      <c r="AM132" s="528"/>
      <c r="AO132" s="623"/>
      <c r="AS132" s="114"/>
    </row>
    <row r="133" spans="1:91" ht="15.75" thickBot="1">
      <c r="AM133" s="528"/>
    </row>
    <row r="134" spans="1:91" ht="21.6" customHeight="1" thickBot="1">
      <c r="A134" s="1713" t="s">
        <v>602</v>
      </c>
      <c r="B134" s="1811"/>
      <c r="C134" s="1811"/>
      <c r="D134" s="1812"/>
      <c r="E134" s="1806" t="s">
        <v>603</v>
      </c>
      <c r="F134" s="1807"/>
      <c r="G134" s="1807"/>
      <c r="H134" s="1807"/>
      <c r="I134" s="1808"/>
      <c r="J134" s="1823" t="s">
        <v>604</v>
      </c>
      <c r="K134" s="1824"/>
      <c r="L134" s="1825"/>
      <c r="M134" s="1826" t="s">
        <v>764</v>
      </c>
      <c r="N134" s="1809" t="s">
        <v>607</v>
      </c>
      <c r="O134" s="1898"/>
      <c r="P134" s="1896" t="s">
        <v>594</v>
      </c>
      <c r="Q134" s="1815" t="s">
        <v>772</v>
      </c>
      <c r="R134" s="1815" t="s">
        <v>775</v>
      </c>
      <c r="S134" s="1815" t="s">
        <v>774</v>
      </c>
      <c r="T134" s="1839" t="s">
        <v>776</v>
      </c>
      <c r="U134" s="1837" t="s">
        <v>777</v>
      </c>
      <c r="V134" s="1813" t="s">
        <v>767</v>
      </c>
      <c r="W134" s="1835" t="s">
        <v>768</v>
      </c>
      <c r="X134" s="1845" t="s">
        <v>592</v>
      </c>
      <c r="Y134" s="1846"/>
      <c r="Z134" s="1846"/>
      <c r="AA134" s="1846"/>
      <c r="AB134" s="1846"/>
      <c r="AC134" s="1846"/>
      <c r="AD134" s="1846"/>
      <c r="AE134" s="1847"/>
      <c r="AF134" s="1847"/>
      <c r="AG134" s="1847"/>
      <c r="AH134" s="1847"/>
      <c r="AI134" s="1847"/>
      <c r="AJ134" s="1848"/>
      <c r="AK134" s="1911" t="s">
        <v>735</v>
      </c>
      <c r="AL134" s="1912"/>
      <c r="AM134" s="1912"/>
      <c r="AN134" s="1912"/>
      <c r="AO134" s="1913"/>
    </row>
    <row r="135" spans="1:91" ht="51.6" customHeight="1">
      <c r="A135" s="1863" t="s">
        <v>217</v>
      </c>
      <c r="B135" s="703" t="s">
        <v>218</v>
      </c>
      <c r="C135" s="703" t="s">
        <v>390</v>
      </c>
      <c r="D135" s="513" t="s">
        <v>629</v>
      </c>
      <c r="E135" s="704" t="s">
        <v>786</v>
      </c>
      <c r="F135" s="704" t="s">
        <v>787</v>
      </c>
      <c r="G135" s="704" t="s">
        <v>771</v>
      </c>
      <c r="H135" s="705" t="s">
        <v>597</v>
      </c>
      <c r="I135" s="705" t="s">
        <v>626</v>
      </c>
      <c r="J135" s="1463" t="s">
        <v>326</v>
      </c>
      <c r="K135" s="1463" t="s">
        <v>765</v>
      </c>
      <c r="L135" s="706" t="s">
        <v>766</v>
      </c>
      <c r="M135" s="1827"/>
      <c r="N135" s="508" t="s">
        <v>605</v>
      </c>
      <c r="O135" s="559" t="s">
        <v>606</v>
      </c>
      <c r="P135" s="1897"/>
      <c r="Q135" s="1816"/>
      <c r="R135" s="1816"/>
      <c r="S135" s="1816"/>
      <c r="T135" s="1840"/>
      <c r="U135" s="1838"/>
      <c r="V135" s="1814"/>
      <c r="W135" s="1836"/>
      <c r="X135" s="1466" t="s">
        <v>473</v>
      </c>
      <c r="Y135" s="1467" t="s">
        <v>489</v>
      </c>
      <c r="Z135" s="1638" t="s">
        <v>814</v>
      </c>
      <c r="AA135" s="1467" t="s">
        <v>377</v>
      </c>
      <c r="AB135" s="1467" t="s">
        <v>477</v>
      </c>
      <c r="AC135" s="1467" t="s">
        <v>225</v>
      </c>
      <c r="AD135" s="713" t="s">
        <v>617</v>
      </c>
      <c r="AE135" s="1092" t="s">
        <v>473</v>
      </c>
      <c r="AF135" s="1467" t="s">
        <v>489</v>
      </c>
      <c r="AG135" s="1638" t="s">
        <v>814</v>
      </c>
      <c r="AH135" s="1467" t="s">
        <v>377</v>
      </c>
      <c r="AI135" s="1467" t="s">
        <v>477</v>
      </c>
      <c r="AJ135" s="1468" t="s">
        <v>225</v>
      </c>
      <c r="AK135" s="189" t="s">
        <v>731</v>
      </c>
      <c r="AL135" s="712" t="s">
        <v>493</v>
      </c>
      <c r="AM135" s="712" t="s">
        <v>732</v>
      </c>
      <c r="AN135" s="712" t="s">
        <v>225</v>
      </c>
      <c r="AO135" s="1185" t="s">
        <v>617</v>
      </c>
    </row>
    <row r="136" spans="1:91" ht="30" customHeight="1" thickBot="1">
      <c r="A136" s="1864"/>
      <c r="B136" s="458" t="s">
        <v>232</v>
      </c>
      <c r="C136" s="459" t="s">
        <v>482</v>
      </c>
      <c r="D136" s="477" t="s">
        <v>480</v>
      </c>
      <c r="E136" s="1129" t="s">
        <v>228</v>
      </c>
      <c r="F136" s="1129" t="s">
        <v>228</v>
      </c>
      <c r="G136" s="1129" t="s">
        <v>228</v>
      </c>
      <c r="H136" s="1481" t="str">
        <f>G136</f>
        <v>Gg</v>
      </c>
      <c r="I136" s="1129" t="s">
        <v>228</v>
      </c>
      <c r="J136" s="707" t="s">
        <v>229</v>
      </c>
      <c r="K136" s="1114" t="s">
        <v>228</v>
      </c>
      <c r="L136" s="1114" t="s">
        <v>228</v>
      </c>
      <c r="M136" s="1114" t="s">
        <v>228</v>
      </c>
      <c r="N136" s="688" t="s">
        <v>229</v>
      </c>
      <c r="O136" s="690" t="s">
        <v>228</v>
      </c>
      <c r="P136" s="1115" t="s">
        <v>228</v>
      </c>
      <c r="Q136" s="1116" t="s">
        <v>228</v>
      </c>
      <c r="R136" s="1116" t="s">
        <v>228</v>
      </c>
      <c r="S136" s="1117" t="s">
        <v>28</v>
      </c>
      <c r="T136" s="1840"/>
      <c r="U136" s="1117" t="s">
        <v>28</v>
      </c>
      <c r="V136" s="1116" t="s">
        <v>228</v>
      </c>
      <c r="W136" s="1498" t="s">
        <v>28</v>
      </c>
      <c r="X136" s="191" t="s">
        <v>228</v>
      </c>
      <c r="Y136" s="1095" t="s">
        <v>228</v>
      </c>
      <c r="Z136" s="1095" t="s">
        <v>228</v>
      </c>
      <c r="AA136" s="1095" t="s">
        <v>228</v>
      </c>
      <c r="AB136" s="1095" t="s">
        <v>228</v>
      </c>
      <c r="AC136" s="1095" t="s">
        <v>228</v>
      </c>
      <c r="AD136" s="1096" t="s">
        <v>769</v>
      </c>
      <c r="AE136" s="1093" t="s">
        <v>229</v>
      </c>
      <c r="AF136" s="711" t="s">
        <v>229</v>
      </c>
      <c r="AG136" s="711" t="s">
        <v>229</v>
      </c>
      <c r="AH136" s="711" t="s">
        <v>229</v>
      </c>
      <c r="AI136" s="711" t="s">
        <v>229</v>
      </c>
      <c r="AJ136" s="714" t="s">
        <v>229</v>
      </c>
      <c r="AK136" s="191" t="s">
        <v>228</v>
      </c>
      <c r="AL136" s="191" t="s">
        <v>228</v>
      </c>
      <c r="AM136" s="191" t="s">
        <v>228</v>
      </c>
      <c r="AN136" s="191" t="s">
        <v>228</v>
      </c>
      <c r="AO136" s="1096" t="s">
        <v>590</v>
      </c>
    </row>
    <row r="137" spans="1:91">
      <c r="A137" s="736">
        <f>'Input data'!A117</f>
        <v>2017</v>
      </c>
      <c r="B137" s="737">
        <f>'Input data'!B117</f>
        <v>56.521948041648095</v>
      </c>
      <c r="C137" s="738">
        <f>'Input data'!C117</f>
        <v>3107.1496601967842</v>
      </c>
      <c r="D137" s="739">
        <f>'Input data'!D117</f>
        <v>49995051</v>
      </c>
      <c r="E137" s="956">
        <f>'Input data'!J117*C137</f>
        <v>37506.923384615395</v>
      </c>
      <c r="F137" s="957">
        <f>'Input data'!L117</f>
        <v>87501.974384615402</v>
      </c>
      <c r="G137" s="957">
        <f>F137*B11</f>
        <v>68439.708347615408</v>
      </c>
      <c r="H137" s="677">
        <f t="shared" ref="H137" si="94">E137*$B$12+I137*$E$80-G137</f>
        <v>0</v>
      </c>
      <c r="I137" s="1469">
        <f>D137/1000</f>
        <v>49995.050999999999</v>
      </c>
      <c r="J137" s="649">
        <f>H17</f>
        <v>6.154773859516615E-2</v>
      </c>
      <c r="K137" s="1503">
        <f>(I137)*J137-(I137)*$J$137</f>
        <v>0</v>
      </c>
      <c r="L137" s="1503">
        <f>(E137)*$C$12*$G$12-(E137)*$C$12*$G$12</f>
        <v>0</v>
      </c>
      <c r="M137" s="1505">
        <f>L137+K137</f>
        <v>0</v>
      </c>
      <c r="N137" s="708">
        <v>0</v>
      </c>
      <c r="O137" s="1469">
        <f>N137*$E$137*($C$85)*$B$12</f>
        <v>0</v>
      </c>
      <c r="P137" s="1482">
        <f>O137+M137</f>
        <v>0</v>
      </c>
      <c r="Q137" s="1486">
        <f>E137*$B$12+(1-$J$137)*I137-P137</f>
        <v>68439.708347615408</v>
      </c>
      <c r="R137" s="1486">
        <f>Q137-G137</f>
        <v>0</v>
      </c>
      <c r="S137" s="1507">
        <f>R137/(Q137-I137*(1-J137))</f>
        <v>0</v>
      </c>
      <c r="T137" s="1491" t="str">
        <f>IF(AND(S137&gt;=0,S137&lt;=1),"Yes","No")</f>
        <v>Yes</v>
      </c>
      <c r="U137" s="1507">
        <f>IF(S137&lt;=0,0,IF(S137&gt;=1,1,S137))</f>
        <v>0</v>
      </c>
      <c r="V137" s="1535">
        <f t="shared" ref="V137:V170" si="95">AC137</f>
        <v>87501.974384615402</v>
      </c>
      <c r="W137" s="1536">
        <f>(1-V137/F137)</f>
        <v>0</v>
      </c>
      <c r="X137" s="956">
        <f>(E137*$B$12-O137-L137)*(1-U137)+I137*(1-J137)</f>
        <v>68439.708347615408</v>
      </c>
      <c r="Y137" s="1503">
        <f>I137*J137+E137*$G$12*$C$12</f>
        <v>6080.5670370000007</v>
      </c>
      <c r="Z137" s="1503">
        <f>($C$12*$H$12*E137+O137)</f>
        <v>1694.9190000000001</v>
      </c>
      <c r="AA137" s="1503">
        <f>$F$137*$D$11</f>
        <v>0</v>
      </c>
      <c r="AB137" s="1503">
        <f>E137*$E$12</f>
        <v>11286.78</v>
      </c>
      <c r="AC137" s="1503">
        <f>SUM(X137:AB137)</f>
        <v>87501.974384615402</v>
      </c>
      <c r="AD137" s="1555">
        <f>X137-G137</f>
        <v>0</v>
      </c>
      <c r="AE137" s="1538">
        <f>X137/AC137</f>
        <v>0.7821504466492184</v>
      </c>
      <c r="AF137" s="1538">
        <f>Y137/AC137</f>
        <v>6.9490626694579893E-2</v>
      </c>
      <c r="AG137" s="1538">
        <f>Z137/AC137</f>
        <v>1.9370065783315637E-2</v>
      </c>
      <c r="AH137" s="1538">
        <f>AA137/AC137</f>
        <v>0</v>
      </c>
      <c r="AI137" s="1538">
        <f>AB137/AC137</f>
        <v>0.12898886087288611</v>
      </c>
      <c r="AJ137" s="1539">
        <f>SUM(AE137:AI137)</f>
        <v>1</v>
      </c>
      <c r="AK137" s="1639">
        <f>I137*(1-$J$137)-K137</f>
        <v>46917.968670000002</v>
      </c>
      <c r="AL137" s="1640">
        <f>(E137*$C$86*$B$12-L137)*(1-U137)</f>
        <v>20017.905677615392</v>
      </c>
      <c r="AM137" s="1640">
        <f>(E137*($C$85)*$B$12-O137)*(1-U137)</f>
        <v>1503.8340000000005</v>
      </c>
      <c r="AN137" s="1640">
        <f>SUM(AK137:AM137)</f>
        <v>68439.708347615393</v>
      </c>
      <c r="AO137" s="1540">
        <f>AN137-X137</f>
        <v>0</v>
      </c>
    </row>
    <row r="138" spans="1:91">
      <c r="A138" s="127">
        <f>'Input data'!A118</f>
        <v>2018</v>
      </c>
      <c r="B138" s="662">
        <f>'Input data'!B118</f>
        <v>57.436000617299655</v>
      </c>
      <c r="C138" s="236">
        <f>'Input data'!C118</f>
        <v>3150.6223338999603</v>
      </c>
      <c r="D138" s="237">
        <f>'Input data'!D118</f>
        <v>50343843.445756853</v>
      </c>
      <c r="E138" s="1510">
        <f>'Input data'!J118*C138</f>
        <v>38031.689302008039</v>
      </c>
      <c r="F138" s="1511">
        <f>'Input data'!L118</f>
        <v>88375.532747764897</v>
      </c>
      <c r="G138" s="1511">
        <f>G137*0.94</f>
        <v>64333.325846758482</v>
      </c>
      <c r="H138" s="528">
        <f>E138*$B$12+I138*$E$80-G138</f>
        <v>4734.8219799348735</v>
      </c>
      <c r="I138" s="530">
        <f t="shared" ref="I138:I170" si="96">D138/1000</f>
        <v>50343.843445756851</v>
      </c>
      <c r="J138" s="1456">
        <f>($J$150-$J$137)/($A$150-$A$137)+J137</f>
        <v>8.7582527933999524E-2</v>
      </c>
      <c r="K138" s="1514">
        <f>(I138)*J138-(I138)*$J$137</f>
        <v>1310.6913586174865</v>
      </c>
      <c r="L138" s="1514">
        <f t="shared" ref="L138:L170" si="97">(E138)*$C$12*$G$12-(E138)*$C$12*$G$12</f>
        <v>0</v>
      </c>
      <c r="M138" s="1513">
        <f>L138+K138</f>
        <v>1310.6913586174865</v>
      </c>
      <c r="N138" s="1456">
        <v>0.05</v>
      </c>
      <c r="O138" s="530">
        <f t="shared" ref="O138:O170" si="98">N138*$E$137*($C$85)*$B$12</f>
        <v>75.191700000000026</v>
      </c>
      <c r="P138" s="1483">
        <f>O138+M138</f>
        <v>1385.8830586174865</v>
      </c>
      <c r="Q138" s="1366">
        <f t="shared" ref="Q138:Q170" si="99">E138*$B$12+(1-$J$137)*I138-P138</f>
        <v>67682.264768075867</v>
      </c>
      <c r="R138" s="1366">
        <f>Q138-G138</f>
        <v>3348.9389213173854</v>
      </c>
      <c r="S138" s="1516">
        <f t="shared" ref="S138:S170" si="100">R138/(Q138-I138*(1-J138))</f>
        <v>0.15399075358769243</v>
      </c>
      <c r="T138" s="135" t="str">
        <f t="shared" ref="T138:T170" si="101">IF(AND(S138&gt;=0,S138&lt;=1),"Yes","No")</f>
        <v>Yes</v>
      </c>
      <c r="U138" s="1516">
        <f t="shared" ref="U138:U170" si="102">IF(S138&lt;=0,0,IF(S138&gt;=1,1,S138))</f>
        <v>0.15399075358769243</v>
      </c>
      <c r="V138" s="1541">
        <f t="shared" si="95"/>
        <v>85026.593826447512</v>
      </c>
      <c r="W138" s="1542">
        <f t="shared" ref="W138:W170" si="103">(1-V138/F138)</f>
        <v>3.7894412822106371E-2</v>
      </c>
      <c r="X138" s="527">
        <f t="shared" ref="X138:X170" si="104">(E138*$B$12-O138-L138)*(1-U138)+I138*(1-J138)</f>
        <v>64333.325846758482</v>
      </c>
      <c r="Y138" s="1511">
        <f t="shared" ref="Y138:Y170" si="105">I138*J138+E138*$G$12*$C$12</f>
        <v>7454.7480611260207</v>
      </c>
      <c r="Z138" s="1511">
        <f t="shared" ref="Z138:Z170" si="106">($C$12*$H$12*E138+O138)</f>
        <v>1793.8246078249765</v>
      </c>
      <c r="AA138" s="1511">
        <f t="shared" ref="AA138:AA170" si="107">$F$137*$D$11</f>
        <v>0</v>
      </c>
      <c r="AB138" s="1511">
        <f t="shared" ref="AB138:AB170" si="108">E138*$E$12</f>
        <v>11444.695310738029</v>
      </c>
      <c r="AC138" s="1511">
        <f t="shared" ref="AC138:AC170" si="109">SUM(X138:AB138)</f>
        <v>85026.593826447512</v>
      </c>
      <c r="AD138" s="1537">
        <f t="shared" ref="AD138:AD170" si="110">X138-G138</f>
        <v>0</v>
      </c>
      <c r="AE138" s="1506">
        <f t="shared" ref="AE138:AE170" si="111">X138/AC138</f>
        <v>0.75662593256496657</v>
      </c>
      <c r="AF138" s="1506">
        <f t="shared" ref="AF138:AF170" si="112">Y138/AC138</f>
        <v>8.7675487463867122E-2</v>
      </c>
      <c r="AG138" s="1506">
        <f t="shared" ref="AG138:AG170" si="113">Z138/AC138</f>
        <v>2.1097218259577132E-2</v>
      </c>
      <c r="AH138" s="1506">
        <f>AA138/AC138</f>
        <v>0</v>
      </c>
      <c r="AI138" s="1506">
        <f t="shared" ref="AI138:AI169" si="114">AB138/AC138</f>
        <v>0.13460136171158907</v>
      </c>
      <c r="AJ138" s="1543">
        <f t="shared" ref="AJ138:AJ170" si="115">SUM(AE138:AI138)</f>
        <v>0.99999999999999989</v>
      </c>
      <c r="AK138" s="1557">
        <f t="shared" ref="AK138:AK170" si="116">I138*(1-$J$137)-K138</f>
        <v>45934.602370863955</v>
      </c>
      <c r="AL138" s="1558">
        <f t="shared" ref="AL138:AL170" si="117">(E138*$C$86*$B$12-L138)*(1-U138)</f>
        <v>17172.278503770438</v>
      </c>
      <c r="AM138" s="1558">
        <f t="shared" ref="AM138:AM170" si="118">(E138*($C$85)*$B$12-O138)*(1-U138)</f>
        <v>1226.4449721240894</v>
      </c>
      <c r="AN138" s="1558">
        <f t="shared" ref="AN138:AN170" si="119">SUM(AK138:AM138)</f>
        <v>64333.325846758482</v>
      </c>
      <c r="AO138" s="1545">
        <f t="shared" ref="AO138:AO170" si="120">AN138-X138</f>
        <v>0</v>
      </c>
    </row>
    <row r="139" spans="1:91">
      <c r="A139" s="873">
        <f>'Input data'!A119</f>
        <v>2019</v>
      </c>
      <c r="B139" s="1553">
        <f>'Input data'!B119</f>
        <v>58.364834921819444</v>
      </c>
      <c r="C139" s="1552">
        <f>'Input data'!C119</f>
        <v>3168.3184457469288</v>
      </c>
      <c r="D139" s="1554">
        <f>'Input data'!D119</f>
        <v>48412890.850439847</v>
      </c>
      <c r="E139" s="1510">
        <f>'Input data'!J119*C139</f>
        <v>38245.302028730643</v>
      </c>
      <c r="F139" s="1511">
        <f>'Input data'!L119</f>
        <v>86658.1928791705</v>
      </c>
      <c r="G139" s="1511">
        <f>G137*0.89</f>
        <v>60911.340429377713</v>
      </c>
      <c r="H139" s="1511">
        <f t="shared" ref="H139:H170" si="121">E139*$B$12+I139*$E$80-G139</f>
        <v>6467.2730710352625</v>
      </c>
      <c r="I139" s="1513">
        <f t="shared" si="96"/>
        <v>48412.89085043985</v>
      </c>
      <c r="J139" s="1456">
        <f t="shared" ref="J139:J149" si="122">($J$150-$J$137)/($A$150-$A$137)+J138</f>
        <v>0.11361731727283289</v>
      </c>
      <c r="K139" s="1514">
        <f t="shared" ref="K139:K170" si="123">(I139)*J139-(I139)*$J$137</f>
        <v>2520.8388291502702</v>
      </c>
      <c r="L139" s="1514">
        <f t="shared" si="97"/>
        <v>0</v>
      </c>
      <c r="M139" s="1513">
        <f t="shared" ref="M139:M170" si="124">L139+K139</f>
        <v>2520.8388291502702</v>
      </c>
      <c r="N139" s="1456">
        <v>0.1</v>
      </c>
      <c r="O139" s="530">
        <f t="shared" si="98"/>
        <v>150.38340000000005</v>
      </c>
      <c r="P139" s="1483">
        <f>O139+M139</f>
        <v>2671.2222291502703</v>
      </c>
      <c r="Q139" s="1366">
        <f t="shared" si="99"/>
        <v>64707.391271262706</v>
      </c>
      <c r="R139" s="1366">
        <f t="shared" ref="R139:R170" si="125">Q139-G139</f>
        <v>3796.0508418849931</v>
      </c>
      <c r="S139" s="1516">
        <f t="shared" si="100"/>
        <v>0.17417037474685518</v>
      </c>
      <c r="T139" s="135" t="str">
        <f t="shared" si="101"/>
        <v>Yes</v>
      </c>
      <c r="U139" s="1516">
        <f t="shared" si="102"/>
        <v>0.17417037474685518</v>
      </c>
      <c r="V139" s="1541">
        <f t="shared" si="95"/>
        <v>82862.142037285492</v>
      </c>
      <c r="W139" s="1542">
        <f t="shared" si="103"/>
        <v>4.3804869635095334E-2</v>
      </c>
      <c r="X139" s="527">
        <f t="shared" si="104"/>
        <v>60911.340429377713</v>
      </c>
      <c r="Y139" s="1511">
        <f t="shared" si="105"/>
        <v>8563.155476176491</v>
      </c>
      <c r="Z139" s="1511">
        <f t="shared" si="106"/>
        <v>1878.6693594882986</v>
      </c>
      <c r="AA139" s="1511">
        <f t="shared" si="107"/>
        <v>0</v>
      </c>
      <c r="AB139" s="1511">
        <f t="shared" si="108"/>
        <v>11508.976772243002</v>
      </c>
      <c r="AC139" s="1511">
        <f t="shared" si="109"/>
        <v>82862.142037285492</v>
      </c>
      <c r="AD139" s="1537">
        <f t="shared" si="110"/>
        <v>0</v>
      </c>
      <c r="AE139" s="1506">
        <f t="shared" si="111"/>
        <v>0.73509251549361865</v>
      </c>
      <c r="AF139" s="1506">
        <f t="shared" si="112"/>
        <v>0.10334219301648426</v>
      </c>
      <c r="AG139" s="1506">
        <f t="shared" si="113"/>
        <v>2.2672227790623049E-2</v>
      </c>
      <c r="AH139" s="1506">
        <f t="shared" ref="AH139:AH170" si="126">AA139/AC139</f>
        <v>0</v>
      </c>
      <c r="AI139" s="1506">
        <f t="shared" si="114"/>
        <v>0.13889306369927423</v>
      </c>
      <c r="AJ139" s="1543">
        <f t="shared" si="115"/>
        <v>1.0000000000000002</v>
      </c>
      <c r="AK139" s="1557">
        <f t="shared" si="116"/>
        <v>42912.348070590393</v>
      </c>
      <c r="AL139" s="1558">
        <f t="shared" si="117"/>
        <v>16856.823929070655</v>
      </c>
      <c r="AM139" s="1558">
        <f t="shared" si="118"/>
        <v>1142.168429716658</v>
      </c>
      <c r="AN139" s="1558">
        <f t="shared" si="119"/>
        <v>60911.340429377706</v>
      </c>
      <c r="AO139" s="1545">
        <f t="shared" si="120"/>
        <v>0</v>
      </c>
    </row>
    <row r="140" spans="1:91">
      <c r="A140" s="873">
        <f>'Input data'!A120</f>
        <v>2020</v>
      </c>
      <c r="B140" s="1553">
        <f>'Input data'!B120</f>
        <v>59.308690000000006</v>
      </c>
      <c r="C140" s="1552">
        <f>'Input data'!C120</f>
        <v>2944.9182124750064</v>
      </c>
      <c r="D140" s="1554">
        <f>'Input data'!D120</f>
        <v>45517474.780710384</v>
      </c>
      <c r="E140" s="1510">
        <f>'Input data'!J120*C140</f>
        <v>35548.600437309862</v>
      </c>
      <c r="F140" s="1511">
        <f>'Input data'!L120</f>
        <v>81066.07521802024</v>
      </c>
      <c r="G140" s="1511">
        <f>G137*0.81</f>
        <v>55436.163761568481</v>
      </c>
      <c r="H140" s="1511">
        <f t="shared" si="121"/>
        <v>7677.8534075289572</v>
      </c>
      <c r="I140" s="1513">
        <f t="shared" si="96"/>
        <v>45517.474780710385</v>
      </c>
      <c r="J140" s="1456">
        <f t="shared" si="122"/>
        <v>0.13965210661166627</v>
      </c>
      <c r="K140" s="1514">
        <f>(I140)*J140-(I140)*$J$137</f>
        <v>3555.1136014543667</v>
      </c>
      <c r="L140" s="1514">
        <f t="shared" si="97"/>
        <v>0</v>
      </c>
      <c r="M140" s="1513">
        <f t="shared" si="124"/>
        <v>3555.1136014543667</v>
      </c>
      <c r="N140" s="1456">
        <f>($N$142-$N$137)/($A$102-$A$97)+N139</f>
        <v>0.2</v>
      </c>
      <c r="O140" s="530">
        <f t="shared" si="98"/>
        <v>300.7668000000001</v>
      </c>
      <c r="P140" s="1483">
        <f t="shared" ref="P140:P170" si="127">O140+M140</f>
        <v>3855.8804014543666</v>
      </c>
      <c r="Q140" s="1366">
        <f t="shared" si="99"/>
        <v>59258.136767643075</v>
      </c>
      <c r="R140" s="1366">
        <f t="shared" si="125"/>
        <v>3821.9730060745933</v>
      </c>
      <c r="S140" s="1516">
        <f t="shared" si="100"/>
        <v>0.1901737097750329</v>
      </c>
      <c r="T140" s="135" t="str">
        <f t="shared" si="101"/>
        <v>Yes</v>
      </c>
      <c r="U140" s="1516">
        <f t="shared" si="102"/>
        <v>0.1901737097750329</v>
      </c>
      <c r="V140" s="1541">
        <f t="shared" si="95"/>
        <v>77244.102211945661</v>
      </c>
      <c r="W140" s="1542">
        <f t="shared" si="103"/>
        <v>4.7146392566751349E-2</v>
      </c>
      <c r="X140" s="527">
        <f t="shared" si="104"/>
        <v>55436.163761568474</v>
      </c>
      <c r="Y140" s="1511">
        <f t="shared" si="105"/>
        <v>9203.2770862680991</v>
      </c>
      <c r="Z140" s="1511">
        <f t="shared" si="106"/>
        <v>1907.190171140033</v>
      </c>
      <c r="AA140" s="1511">
        <f t="shared" si="107"/>
        <v>0</v>
      </c>
      <c r="AB140" s="1511">
        <f t="shared" si="108"/>
        <v>10697.471192969046</v>
      </c>
      <c r="AC140" s="1511">
        <f t="shared" si="109"/>
        <v>77244.102211945661</v>
      </c>
      <c r="AD140" s="1537">
        <f t="shared" si="110"/>
        <v>0</v>
      </c>
      <c r="AE140" s="1506">
        <f t="shared" si="111"/>
        <v>0.71767503503970265</v>
      </c>
      <c r="AF140" s="1506">
        <f t="shared" si="112"/>
        <v>0.1191453693256186</v>
      </c>
      <c r="AG140" s="1506">
        <f t="shared" si="113"/>
        <v>2.4690430939400439E-2</v>
      </c>
      <c r="AH140" s="1506">
        <f t="shared" si="126"/>
        <v>0</v>
      </c>
      <c r="AI140" s="1506">
        <f t="shared" si="114"/>
        <v>0.13848916469527819</v>
      </c>
      <c r="AJ140" s="1543">
        <f t="shared" si="115"/>
        <v>0.99999999999999989</v>
      </c>
      <c r="AK140" s="1557">
        <f t="shared" si="116"/>
        <v>39160.863539940787</v>
      </c>
      <c r="AL140" s="1558">
        <f t="shared" si="117"/>
        <v>15364.611233459033</v>
      </c>
      <c r="AM140" s="1558">
        <f t="shared" si="118"/>
        <v>910.6889881686584</v>
      </c>
      <c r="AN140" s="1558">
        <f t="shared" si="119"/>
        <v>55436.163761568481</v>
      </c>
      <c r="AO140" s="1545">
        <f t="shared" si="120"/>
        <v>0</v>
      </c>
    </row>
    <row r="141" spans="1:91">
      <c r="A141" s="873">
        <f>'Input data'!A121</f>
        <v>2021</v>
      </c>
      <c r="B141" s="1553">
        <f>'Input data'!B121</f>
        <v>59.991580449204264</v>
      </c>
      <c r="C141" s="1552">
        <f>'Input data'!C121</f>
        <v>3018.4380966643439</v>
      </c>
      <c r="D141" s="1554">
        <f>'Input data'!D121</f>
        <v>45871162.972715415</v>
      </c>
      <c r="E141" s="1510">
        <f>'Input data'!J121*C141</f>
        <v>36436.071259478318</v>
      </c>
      <c r="F141" s="1511">
        <f>'Input data'!L121</f>
        <v>82307.234232193732</v>
      </c>
      <c r="G141" s="1511">
        <f>G137*0.65</f>
        <v>44485.810425950018</v>
      </c>
      <c r="H141" s="1511">
        <f t="shared" si="121"/>
        <v>19469.363303088037</v>
      </c>
      <c r="I141" s="1513">
        <f t="shared" si="96"/>
        <v>45871.162972715414</v>
      </c>
      <c r="J141" s="1456">
        <f t="shared" si="122"/>
        <v>0.16568689595049965</v>
      </c>
      <c r="K141" s="1514">
        <f t="shared" si="123"/>
        <v>4776.9842588877582</v>
      </c>
      <c r="L141" s="1514">
        <f t="shared" si="97"/>
        <v>0</v>
      </c>
      <c r="M141" s="1513">
        <f t="shared" si="124"/>
        <v>4776.9842588877582</v>
      </c>
      <c r="N141" s="1456">
        <v>0.4</v>
      </c>
      <c r="O141" s="530">
        <f t="shared" si="98"/>
        <v>601.53360000000021</v>
      </c>
      <c r="P141" s="1483">
        <f t="shared" si="127"/>
        <v>5378.5178588877588</v>
      </c>
      <c r="Q141" s="1366">
        <f t="shared" si="99"/>
        <v>58576.655870150295</v>
      </c>
      <c r="R141" s="1366">
        <f t="shared" si="125"/>
        <v>14090.845444200277</v>
      </c>
      <c r="S141" s="1516">
        <f t="shared" si="100"/>
        <v>0.69393398185139921</v>
      </c>
      <c r="T141" s="135" t="str">
        <f t="shared" si="101"/>
        <v>Yes</v>
      </c>
      <c r="U141" s="1516">
        <f t="shared" si="102"/>
        <v>0.69393398185139921</v>
      </c>
      <c r="V141" s="1541">
        <f t="shared" si="95"/>
        <v>68216.388787993448</v>
      </c>
      <c r="W141" s="1542">
        <f t="shared" si="103"/>
        <v>0.17119814042650427</v>
      </c>
      <c r="X141" s="527">
        <f t="shared" si="104"/>
        <v>44485.810425950018</v>
      </c>
      <c r="Y141" s="1511">
        <f t="shared" si="105"/>
        <v>10517.983465901121</v>
      </c>
      <c r="Z141" s="1511">
        <f t="shared" si="106"/>
        <v>2248.0613311541611</v>
      </c>
      <c r="AA141" s="1511">
        <f t="shared" si="107"/>
        <v>0</v>
      </c>
      <c r="AB141" s="1511">
        <f t="shared" si="108"/>
        <v>10964.533564988158</v>
      </c>
      <c r="AC141" s="1511">
        <f t="shared" si="109"/>
        <v>68216.388787993448</v>
      </c>
      <c r="AD141" s="1537">
        <f t="shared" si="110"/>
        <v>0</v>
      </c>
      <c r="AE141" s="1506">
        <f t="shared" si="111"/>
        <v>0.6521279008803208</v>
      </c>
      <c r="AF141" s="1506">
        <f t="shared" si="112"/>
        <v>0.15418557992844614</v>
      </c>
      <c r="AG141" s="1506">
        <f t="shared" si="113"/>
        <v>3.2954856906026009E-2</v>
      </c>
      <c r="AH141" s="1506">
        <f t="shared" si="126"/>
        <v>0</v>
      </c>
      <c r="AI141" s="1506">
        <f t="shared" si="114"/>
        <v>0.16073166228520722</v>
      </c>
      <c r="AJ141" s="1543">
        <f t="shared" si="115"/>
        <v>1.0000000000000002</v>
      </c>
      <c r="AK141" s="1557">
        <f t="shared" si="116"/>
        <v>38270.9123661267</v>
      </c>
      <c r="AL141" s="1558">
        <f t="shared" si="117"/>
        <v>5951.8757102033078</v>
      </c>
      <c r="AM141" s="1558">
        <f t="shared" si="118"/>
        <v>263.0223496200087</v>
      </c>
      <c r="AN141" s="1558">
        <f t="shared" si="119"/>
        <v>44485.810425950011</v>
      </c>
      <c r="AO141" s="1545">
        <f t="shared" si="120"/>
        <v>0</v>
      </c>
    </row>
    <row r="142" spans="1:91">
      <c r="A142" s="873">
        <f>'Input data'!A122</f>
        <v>2022</v>
      </c>
      <c r="B142" s="1553">
        <f>'Input data'!B122</f>
        <v>60.682333816399378</v>
      </c>
      <c r="C142" s="1552">
        <f>'Input data'!C122</f>
        <v>3086.0582602351519</v>
      </c>
      <c r="D142" s="1554">
        <f>'Input data'!D122</f>
        <v>45764081.347342722</v>
      </c>
      <c r="E142" s="1510">
        <f>'Input data'!J122*C142</f>
        <v>37252.325567017797</v>
      </c>
      <c r="F142" s="1511">
        <f>'Input data'!L122</f>
        <v>83016.406914360516</v>
      </c>
      <c r="G142" s="1559">
        <f>G137*(1-E4)</f>
        <v>34219.854173807704</v>
      </c>
      <c r="H142" s="1511">
        <f t="shared" si="121"/>
        <v>30103.201094928605</v>
      </c>
      <c r="I142" s="1513">
        <f t="shared" si="96"/>
        <v>45764.081347342719</v>
      </c>
      <c r="J142" s="1456">
        <f t="shared" si="122"/>
        <v>0.19172168528933303</v>
      </c>
      <c r="K142" s="1514">
        <f t="shared" si="123"/>
        <v>5957.2910858165087</v>
      </c>
      <c r="L142" s="1514">
        <f t="shared" si="97"/>
        <v>0</v>
      </c>
      <c r="M142" s="1513">
        <f t="shared" si="124"/>
        <v>5957.2910858165087</v>
      </c>
      <c r="N142" s="1456">
        <f>$E$26</f>
        <v>0.5</v>
      </c>
      <c r="O142" s="530">
        <f t="shared" si="98"/>
        <v>751.91700000000026</v>
      </c>
      <c r="P142" s="1483">
        <f t="shared" si="127"/>
        <v>6709.2080858165091</v>
      </c>
      <c r="Q142" s="1366">
        <f t="shared" si="99"/>
        <v>57613.847182919802</v>
      </c>
      <c r="R142" s="1366">
        <f t="shared" si="125"/>
        <v>23393.993009112099</v>
      </c>
      <c r="S142" s="1516">
        <f t="shared" si="100"/>
        <v>1.1343239083165013</v>
      </c>
      <c r="T142" s="135" t="str">
        <f t="shared" si="101"/>
        <v>No</v>
      </c>
      <c r="U142" s="1516">
        <f t="shared" si="102"/>
        <v>1</v>
      </c>
      <c r="V142" s="1541">
        <f t="shared" si="95"/>
        <v>62392.67427715275</v>
      </c>
      <c r="W142" s="1542">
        <f t="shared" si="103"/>
        <v>0.24842959848266077</v>
      </c>
      <c r="X142" s="527">
        <f t="shared" si="104"/>
        <v>36990.114545712036</v>
      </c>
      <c r="Y142" s="1511">
        <f t="shared" si="105"/>
        <v>11757.063788642328</v>
      </c>
      <c r="Z142" s="1511">
        <f t="shared" si="106"/>
        <v>2435.3308526974706</v>
      </c>
      <c r="AA142" s="1511">
        <f t="shared" si="107"/>
        <v>0</v>
      </c>
      <c r="AB142" s="1511">
        <f t="shared" si="108"/>
        <v>11210.165090100914</v>
      </c>
      <c r="AC142" s="1511">
        <f t="shared" si="109"/>
        <v>62392.67427715275</v>
      </c>
      <c r="AD142" s="1556">
        <f t="shared" si="110"/>
        <v>2770.2603719043327</v>
      </c>
      <c r="AE142" s="1506">
        <f t="shared" si="111"/>
        <v>0.59285989860603328</v>
      </c>
      <c r="AF142" s="1506">
        <f t="shared" si="112"/>
        <v>0.18843660613771104</v>
      </c>
      <c r="AG142" s="1506">
        <f t="shared" si="113"/>
        <v>3.9032320395172605E-2</v>
      </c>
      <c r="AH142" s="1506">
        <f t="shared" si="126"/>
        <v>0</v>
      </c>
      <c r="AI142" s="1506">
        <f t="shared" si="114"/>
        <v>0.17967117486108311</v>
      </c>
      <c r="AJ142" s="1543">
        <f t="shared" si="115"/>
        <v>1</v>
      </c>
      <c r="AK142" s="1557">
        <f t="shared" si="116"/>
        <v>36990.114545712044</v>
      </c>
      <c r="AL142" s="1558">
        <f t="shared" si="117"/>
        <v>0</v>
      </c>
      <c r="AM142" s="1558">
        <f t="shared" si="118"/>
        <v>0</v>
      </c>
      <c r="AN142" s="1558">
        <f t="shared" si="119"/>
        <v>36990.114545712044</v>
      </c>
      <c r="AO142" s="1545">
        <f t="shared" si="120"/>
        <v>0</v>
      </c>
    </row>
    <row r="143" spans="1:91">
      <c r="A143" s="873">
        <f>'Input data'!A123</f>
        <v>2023</v>
      </c>
      <c r="B143" s="1553">
        <f>'Input data'!B123</f>
        <v>61.381040636574369</v>
      </c>
      <c r="C143" s="1552">
        <f>'Input data'!C123</f>
        <v>3153.9083559128044</v>
      </c>
      <c r="D143" s="1554">
        <f>'Input data'!D123</f>
        <v>45569695.474175937</v>
      </c>
      <c r="E143" s="1510">
        <f>'Input data'!J123*C143</f>
        <v>38071.355423487395</v>
      </c>
      <c r="F143" s="1511">
        <f>'Input data'!L123</f>
        <v>83641.050897663343</v>
      </c>
      <c r="G143" s="1559">
        <f>($G$147-$G$142)/($A$147-$A$142)+G142</f>
        <v>32166.662923379241</v>
      </c>
      <c r="H143" s="1511">
        <f t="shared" si="121"/>
        <v>32443.935646020014</v>
      </c>
      <c r="I143" s="1513">
        <f t="shared" si="96"/>
        <v>45569.69547417594</v>
      </c>
      <c r="J143" s="1456">
        <f t="shared" si="122"/>
        <v>0.21775647462816641</v>
      </c>
      <c r="K143" s="1514">
        <f t="shared" si="123"/>
        <v>7118.384531429756</v>
      </c>
      <c r="L143" s="1514">
        <f t="shared" si="97"/>
        <v>0</v>
      </c>
      <c r="M143" s="1513">
        <f t="shared" si="124"/>
        <v>7118.384531429756</v>
      </c>
      <c r="N143" s="1456">
        <f>($N$147-$N$142)/($A$107-$A$102)+N142</f>
        <v>0.5</v>
      </c>
      <c r="O143" s="530">
        <f t="shared" si="98"/>
        <v>751.91700000000026</v>
      </c>
      <c r="P143" s="1483">
        <f t="shared" si="127"/>
        <v>7870.3015314297563</v>
      </c>
      <c r="Q143" s="1366">
        <f t="shared" si="99"/>
        <v>56740.297037969496</v>
      </c>
      <c r="R143" s="1366">
        <f t="shared" si="125"/>
        <v>24573.634114590255</v>
      </c>
      <c r="S143" s="1516">
        <f t="shared" si="100"/>
        <v>1.164975166869022</v>
      </c>
      <c r="T143" s="135" t="str">
        <f t="shared" si="101"/>
        <v>No</v>
      </c>
      <c r="U143" s="1516">
        <f t="shared" si="102"/>
        <v>1</v>
      </c>
      <c r="V143" s="1541">
        <f t="shared" si="95"/>
        <v>62547.353097534127</v>
      </c>
      <c r="W143" s="1542">
        <f t="shared" si="103"/>
        <v>0.25219312256056914</v>
      </c>
      <c r="X143" s="527">
        <f t="shared" si="104"/>
        <v>35646.599237840281</v>
      </c>
      <c r="Y143" s="1511">
        <f t="shared" si="105"/>
        <v>12971.779611845708</v>
      </c>
      <c r="Z143" s="1511">
        <f t="shared" si="106"/>
        <v>2472.3423999006995</v>
      </c>
      <c r="AA143" s="1511">
        <f t="shared" si="107"/>
        <v>0</v>
      </c>
      <c r="AB143" s="1511">
        <f t="shared" si="108"/>
        <v>11456.631847947434</v>
      </c>
      <c r="AC143" s="1511">
        <f t="shared" si="109"/>
        <v>62547.353097534127</v>
      </c>
      <c r="AD143" s="1556">
        <f t="shared" si="110"/>
        <v>3479.9363144610397</v>
      </c>
      <c r="AE143" s="1506">
        <f t="shared" si="111"/>
        <v>0.56991379287072685</v>
      </c>
      <c r="AF143" s="1506">
        <f t="shared" si="112"/>
        <v>0.20739134382901822</v>
      </c>
      <c r="AG143" s="1506">
        <f t="shared" si="113"/>
        <v>3.9527530382387509E-2</v>
      </c>
      <c r="AH143" s="1506">
        <f t="shared" si="126"/>
        <v>0</v>
      </c>
      <c r="AI143" s="1506">
        <f t="shared" si="114"/>
        <v>0.18316733291786733</v>
      </c>
      <c r="AJ143" s="1543">
        <f t="shared" si="115"/>
        <v>1</v>
      </c>
      <c r="AK143" s="1557">
        <f t="shared" si="116"/>
        <v>35646.599237840273</v>
      </c>
      <c r="AL143" s="1558">
        <f t="shared" si="117"/>
        <v>0</v>
      </c>
      <c r="AM143" s="1558">
        <f t="shared" si="118"/>
        <v>0</v>
      </c>
      <c r="AN143" s="1558">
        <f>SUM(AK143:AM143)</f>
        <v>35646.599237840273</v>
      </c>
      <c r="AO143" s="1545">
        <f t="shared" si="120"/>
        <v>0</v>
      </c>
    </row>
    <row r="144" spans="1:91">
      <c r="A144" s="873">
        <f>'Input data'!A124</f>
        <v>2024</v>
      </c>
      <c r="B144" s="1553">
        <f>'Input data'!B124</f>
        <v>62.087792487153699</v>
      </c>
      <c r="C144" s="1552">
        <f>'Input data'!C124</f>
        <v>3232.6126442228219</v>
      </c>
      <c r="D144" s="1554">
        <f>'Input data'!D124</f>
        <v>46327457.455900244</v>
      </c>
      <c r="E144" s="1510">
        <f>'Input data'!J124*C144</f>
        <v>39021.40805516448</v>
      </c>
      <c r="F144" s="1511">
        <f>'Input data'!L124</f>
        <v>85348.865511064723</v>
      </c>
      <c r="G144" s="1559">
        <f t="shared" ref="G144:G146" si="128">($G$147-$G$142)/($A$147-$A$142)+G143</f>
        <v>30113.471672950778</v>
      </c>
      <c r="H144" s="1511">
        <f t="shared" si="121"/>
        <v>35753.397305987804</v>
      </c>
      <c r="I144" s="1513">
        <f t="shared" si="96"/>
        <v>46327.457455900243</v>
      </c>
      <c r="J144" s="1456">
        <f t="shared" si="122"/>
        <v>0.24379126396699979</v>
      </c>
      <c r="K144" s="1514">
        <f t="shared" si="123"/>
        <v>8442.8791682768988</v>
      </c>
      <c r="L144" s="1514">
        <f t="shared" si="97"/>
        <v>0</v>
      </c>
      <c r="M144" s="1513">
        <f t="shared" si="124"/>
        <v>8442.8791682768988</v>
      </c>
      <c r="N144" s="1456">
        <f>($N$147-$N$142)/($A$107-$A$102)+N143</f>
        <v>0.5</v>
      </c>
      <c r="O144" s="530">
        <f t="shared" si="98"/>
        <v>751.91700000000026</v>
      </c>
      <c r="P144" s="1483">
        <f t="shared" si="127"/>
        <v>9194.7961682768982</v>
      </c>
      <c r="Q144" s="1366">
        <f t="shared" si="99"/>
        <v>56672.072810661688</v>
      </c>
      <c r="R144" s="1366">
        <f t="shared" si="125"/>
        <v>26558.60113771091</v>
      </c>
      <c r="S144" s="1516">
        <f t="shared" si="100"/>
        <v>1.2273576259261261</v>
      </c>
      <c r="T144" s="135" t="str">
        <f t="shared" si="101"/>
        <v>No</v>
      </c>
      <c r="U144" s="1516">
        <f t="shared" si="102"/>
        <v>1</v>
      </c>
      <c r="V144" s="1541">
        <f t="shared" si="95"/>
        <v>63710.020746751965</v>
      </c>
      <c r="W144" s="1542">
        <f t="shared" si="103"/>
        <v>0.25353406439254278</v>
      </c>
      <c r="X144" s="527">
        <f t="shared" si="104"/>
        <v>35033.228046348915</v>
      </c>
      <c r="Y144" s="1511">
        <f t="shared" si="105"/>
        <v>14418.991233854049</v>
      </c>
      <c r="Z144" s="1511">
        <f t="shared" si="106"/>
        <v>2515.2748004049222</v>
      </c>
      <c r="AA144" s="1511">
        <f t="shared" si="107"/>
        <v>0</v>
      </c>
      <c r="AB144" s="1511">
        <f t="shared" si="108"/>
        <v>11742.526666144084</v>
      </c>
      <c r="AC144" s="1511">
        <f t="shared" si="109"/>
        <v>63710.020746751965</v>
      </c>
      <c r="AD144" s="1556">
        <f t="shared" si="110"/>
        <v>4919.7563733981369</v>
      </c>
      <c r="AE144" s="1506">
        <f t="shared" si="111"/>
        <v>0.54988567945388656</v>
      </c>
      <c r="AF144" s="1506">
        <f t="shared" si="112"/>
        <v>0.22632218707273222</v>
      </c>
      <c r="AG144" s="1506">
        <f t="shared" si="113"/>
        <v>3.9480049934423458E-2</v>
      </c>
      <c r="AH144" s="1506">
        <f t="shared" si="126"/>
        <v>0</v>
      </c>
      <c r="AI144" s="1506">
        <f t="shared" si="114"/>
        <v>0.18431208353895781</v>
      </c>
      <c r="AJ144" s="1543">
        <f t="shared" si="115"/>
        <v>1</v>
      </c>
      <c r="AK144" s="1557">
        <f t="shared" si="116"/>
        <v>35033.228046348915</v>
      </c>
      <c r="AL144" s="1558">
        <f t="shared" si="117"/>
        <v>0</v>
      </c>
      <c r="AM144" s="1558">
        <f t="shared" si="118"/>
        <v>0</v>
      </c>
      <c r="AN144" s="1558">
        <f t="shared" si="119"/>
        <v>35033.228046348915</v>
      </c>
      <c r="AO144" s="1545">
        <f t="shared" si="120"/>
        <v>0</v>
      </c>
    </row>
    <row r="145" spans="1:41">
      <c r="A145" s="873">
        <f>'Input data'!A125</f>
        <v>2025</v>
      </c>
      <c r="B145" s="1553">
        <f>'Input data'!B125</f>
        <v>62.802682000000026</v>
      </c>
      <c r="C145" s="1552">
        <f>'Input data'!C125</f>
        <v>3311.8439930677405</v>
      </c>
      <c r="D145" s="1554">
        <f>'Input data'!D125</f>
        <v>46801820.784301206</v>
      </c>
      <c r="E145" s="1510">
        <f>'Input data'!J125*C145</f>
        <v>39977.822922737316</v>
      </c>
      <c r="F145" s="1511">
        <f>'Input data'!L125</f>
        <v>86779.643707038515</v>
      </c>
      <c r="G145" s="1559">
        <f t="shared" si="128"/>
        <v>28060.280422522315</v>
      </c>
      <c r="H145" s="1511">
        <f t="shared" si="121"/>
        <v>38800.553555119644</v>
      </c>
      <c r="I145" s="1513">
        <f t="shared" si="96"/>
        <v>46801.820784301206</v>
      </c>
      <c r="J145" s="1456">
        <f t="shared" si="122"/>
        <v>0.26982605330583315</v>
      </c>
      <c r="K145" s="1514">
        <f t="shared" si="123"/>
        <v>9747.8043583449235</v>
      </c>
      <c r="L145" s="1514">
        <f t="shared" si="97"/>
        <v>0</v>
      </c>
      <c r="M145" s="1513">
        <f t="shared" si="124"/>
        <v>9747.8043583449235</v>
      </c>
      <c r="N145" s="1456">
        <f>($N$147-$N$142)/($A$107-$A$102)+N144</f>
        <v>0.5</v>
      </c>
      <c r="O145" s="530">
        <f t="shared" si="98"/>
        <v>751.91700000000026</v>
      </c>
      <c r="P145" s="1483">
        <f t="shared" si="127"/>
        <v>10499.721358344923</v>
      </c>
      <c r="Q145" s="1366">
        <f t="shared" si="99"/>
        <v>56361.112619297041</v>
      </c>
      <c r="R145" s="1366">
        <f t="shared" si="125"/>
        <v>28300.832196774725</v>
      </c>
      <c r="S145" s="1516">
        <f t="shared" si="100"/>
        <v>1.2755222774459622</v>
      </c>
      <c r="T145" s="135" t="str">
        <f t="shared" si="101"/>
        <v>No</v>
      </c>
      <c r="U145" s="1516">
        <f t="shared" si="102"/>
        <v>1</v>
      </c>
      <c r="V145" s="1541">
        <f t="shared" si="95"/>
        <v>64592.001282287783</v>
      </c>
      <c r="W145" s="1542">
        <f t="shared" si="103"/>
        <v>0.25567796175396307</v>
      </c>
      <c r="X145" s="527">
        <f t="shared" si="104"/>
        <v>34173.470194546295</v>
      </c>
      <c r="Y145" s="1511">
        <f t="shared" si="105"/>
        <v>15829.700338874749</v>
      </c>
      <c r="Z145" s="1511">
        <f t="shared" si="106"/>
        <v>2558.4947071487691</v>
      </c>
      <c r="AA145" s="1511">
        <f t="shared" si="107"/>
        <v>0</v>
      </c>
      <c r="AB145" s="1511">
        <f t="shared" si="108"/>
        <v>12030.33604171797</v>
      </c>
      <c r="AC145" s="1511">
        <f t="shared" si="109"/>
        <v>64592.001282287783</v>
      </c>
      <c r="AD145" s="1556">
        <f t="shared" si="110"/>
        <v>6113.1897720239795</v>
      </c>
      <c r="AE145" s="1506">
        <f t="shared" si="111"/>
        <v>0.52906659518408883</v>
      </c>
      <c r="AF145" s="1506">
        <f t="shared" si="112"/>
        <v>0.24507214553848355</v>
      </c>
      <c r="AG145" s="1506">
        <f t="shared" si="113"/>
        <v>3.9610085712739038E-2</v>
      </c>
      <c r="AH145" s="1506">
        <f t="shared" si="126"/>
        <v>0</v>
      </c>
      <c r="AI145" s="1506">
        <f t="shared" si="114"/>
        <v>0.18625117356468859</v>
      </c>
      <c r="AJ145" s="1543">
        <f t="shared" si="115"/>
        <v>1</v>
      </c>
      <c r="AK145" s="1557">
        <f t="shared" si="116"/>
        <v>34173.470194546295</v>
      </c>
      <c r="AL145" s="1558">
        <f t="shared" si="117"/>
        <v>0</v>
      </c>
      <c r="AM145" s="1558">
        <f t="shared" si="118"/>
        <v>0</v>
      </c>
      <c r="AN145" s="1558">
        <f t="shared" si="119"/>
        <v>34173.470194546295</v>
      </c>
      <c r="AO145" s="1545">
        <f t="shared" si="120"/>
        <v>0</v>
      </c>
    </row>
    <row r="146" spans="1:41">
      <c r="A146" s="873">
        <f>'Input data'!A126</f>
        <v>2026</v>
      </c>
      <c r="B146" s="1553">
        <f>'Input data'!B126</f>
        <v>63.421065342005143</v>
      </c>
      <c r="C146" s="1552">
        <f>'Input data'!C126</f>
        <v>3393.1756913606432</v>
      </c>
      <c r="D146" s="1554">
        <f>'Input data'!D126</f>
        <v>46479674.028888769</v>
      </c>
      <c r="E146" s="1510">
        <f>'Input data'!J126*C146</f>
        <v>40959.591459892159</v>
      </c>
      <c r="F146" s="1511">
        <f>'Input data'!L126</f>
        <v>87439.265488780919</v>
      </c>
      <c r="G146" s="1559">
        <f t="shared" si="128"/>
        <v>26007.089172093853</v>
      </c>
      <c r="H146" s="1511">
        <f t="shared" si="121"/>
        <v>41114.771230982733</v>
      </c>
      <c r="I146" s="1513">
        <f t="shared" si="96"/>
        <v>46479.674028888767</v>
      </c>
      <c r="J146" s="1456">
        <f t="shared" si="122"/>
        <v>0.2958608426446665</v>
      </c>
      <c r="K146" s="1514">
        <f t="shared" si="123"/>
        <v>10890.796696917872</v>
      </c>
      <c r="L146" s="1514">
        <f t="shared" si="97"/>
        <v>0</v>
      </c>
      <c r="M146" s="1513">
        <f t="shared" si="124"/>
        <v>10890.796696917872</v>
      </c>
      <c r="N146" s="1456">
        <f>($N$147-$N$142)/($A$107-$A$102)+N145</f>
        <v>0.5</v>
      </c>
      <c r="O146" s="530">
        <f t="shared" si="98"/>
        <v>751.91700000000026</v>
      </c>
      <c r="P146" s="1483">
        <f t="shared" si="127"/>
        <v>11642.713696917872</v>
      </c>
      <c r="Q146" s="1366">
        <f t="shared" si="99"/>
        <v>55479.146706158717</v>
      </c>
      <c r="R146" s="1366">
        <f t="shared" si="125"/>
        <v>29472.057534064865</v>
      </c>
      <c r="S146" s="1516">
        <f t="shared" si="100"/>
        <v>1.2954187867924141</v>
      </c>
      <c r="T146" s="135" t="str">
        <f t="shared" si="101"/>
        <v>No</v>
      </c>
      <c r="U146" s="1516">
        <f t="shared" si="102"/>
        <v>1</v>
      </c>
      <c r="V146" s="1541">
        <f t="shared" si="95"/>
        <v>64688.277287474535</v>
      </c>
      <c r="W146" s="1542">
        <f t="shared" si="103"/>
        <v>0.26019189518724284</v>
      </c>
      <c r="X146" s="527">
        <f t="shared" si="104"/>
        <v>32728.158504852316</v>
      </c>
      <c r="Y146" s="1511">
        <f t="shared" si="105"/>
        <v>17031.483472706295</v>
      </c>
      <c r="Z146" s="1511">
        <f t="shared" si="106"/>
        <v>2602.8603334669356</v>
      </c>
      <c r="AA146" s="1511">
        <f t="shared" si="107"/>
        <v>0</v>
      </c>
      <c r="AB146" s="1511">
        <f t="shared" si="108"/>
        <v>12325.774976448984</v>
      </c>
      <c r="AC146" s="1511">
        <f t="shared" si="109"/>
        <v>64688.277287474535</v>
      </c>
      <c r="AD146" s="1556">
        <f t="shared" si="110"/>
        <v>6721.0693327584631</v>
      </c>
      <c r="AE146" s="1506">
        <f t="shared" si="111"/>
        <v>0.50593646758296662</v>
      </c>
      <c r="AF146" s="1506">
        <f t="shared" si="112"/>
        <v>0.26328546974621736</v>
      </c>
      <c r="AG146" s="1506">
        <f t="shared" si="113"/>
        <v>4.0236970941424692E-2</v>
      </c>
      <c r="AH146" s="1506">
        <f t="shared" si="126"/>
        <v>0</v>
      </c>
      <c r="AI146" s="1506">
        <f t="shared" si="114"/>
        <v>0.19054109172939127</v>
      </c>
      <c r="AJ146" s="1543">
        <f t="shared" si="115"/>
        <v>0.99999999999999989</v>
      </c>
      <c r="AK146" s="1557">
        <f t="shared" si="116"/>
        <v>32728.158504852312</v>
      </c>
      <c r="AL146" s="1558">
        <f t="shared" si="117"/>
        <v>0</v>
      </c>
      <c r="AM146" s="1558">
        <f t="shared" si="118"/>
        <v>0</v>
      </c>
      <c r="AN146" s="1558">
        <f t="shared" si="119"/>
        <v>32728.158504852312</v>
      </c>
      <c r="AO146" s="1545">
        <f t="shared" si="120"/>
        <v>0</v>
      </c>
    </row>
    <row r="147" spans="1:41">
      <c r="A147" s="873">
        <f>'Input data'!A127</f>
        <v>2027</v>
      </c>
      <c r="B147" s="1553">
        <f>'Input data'!B127</f>
        <v>64.045537563425796</v>
      </c>
      <c r="C147" s="1552">
        <f>'Input data'!C127</f>
        <v>3472.5774012476563</v>
      </c>
      <c r="D147" s="1554">
        <f>'Input data'!D127</f>
        <v>45641833.264745638</v>
      </c>
      <c r="E147" s="1510">
        <f>'Input data'!J127*C147</f>
        <v>41918.062784106085</v>
      </c>
      <c r="F147" s="1511">
        <f>'Input data'!L127</f>
        <v>87559.896048851719</v>
      </c>
      <c r="G147" s="1559">
        <f>G137*(1-E5)</f>
        <v>23953.89792166539</v>
      </c>
      <c r="H147" s="1511">
        <f t="shared" si="121"/>
        <v>42931.666591504014</v>
      </c>
      <c r="I147" s="1513">
        <f t="shared" si="96"/>
        <v>45641.833264745641</v>
      </c>
      <c r="J147" s="1456">
        <f t="shared" si="122"/>
        <v>0.32189563198349985</v>
      </c>
      <c r="K147" s="1514">
        <f t="shared" si="123"/>
        <v>11882.7551408581</v>
      </c>
      <c r="L147" s="1514">
        <f t="shared" si="97"/>
        <v>0</v>
      </c>
      <c r="M147" s="1513">
        <f t="shared" si="124"/>
        <v>11882.7551408581</v>
      </c>
      <c r="N147" s="1456">
        <f>$C$27</f>
        <v>0.5</v>
      </c>
      <c r="O147" s="530">
        <f t="shared" si="98"/>
        <v>751.91700000000026</v>
      </c>
      <c r="P147" s="1483">
        <f t="shared" si="127"/>
        <v>12634.6721408581</v>
      </c>
      <c r="Q147" s="1366">
        <f t="shared" si="99"/>
        <v>54250.892372311304</v>
      </c>
      <c r="R147" s="1366">
        <f t="shared" si="125"/>
        <v>30296.994450645914</v>
      </c>
      <c r="S147" s="1516">
        <f t="shared" si="100"/>
        <v>1.3002462909953691</v>
      </c>
      <c r="T147" s="135" t="str">
        <f t="shared" si="101"/>
        <v>No</v>
      </c>
      <c r="U147" s="1516">
        <f t="shared" si="102"/>
        <v>1</v>
      </c>
      <c r="V147" s="1541">
        <f t="shared" si="95"/>
        <v>64258.930177645256</v>
      </c>
      <c r="W147" s="1542">
        <f t="shared" si="103"/>
        <v>0.26611459038514973</v>
      </c>
      <c r="X147" s="527">
        <f t="shared" si="104"/>
        <v>30949.926501104819</v>
      </c>
      <c r="Y147" s="1511">
        <f t="shared" si="105"/>
        <v>18048.627314353078</v>
      </c>
      <c r="Z147" s="1511">
        <f t="shared" si="106"/>
        <v>2646.1731704518984</v>
      </c>
      <c r="AA147" s="1511">
        <f t="shared" si="107"/>
        <v>0</v>
      </c>
      <c r="AB147" s="1511">
        <f t="shared" si="108"/>
        <v>12614.203191735462</v>
      </c>
      <c r="AC147" s="1511">
        <f t="shared" si="109"/>
        <v>64258.930177645256</v>
      </c>
      <c r="AD147" s="1556">
        <f t="shared" si="110"/>
        <v>6996.0285794394294</v>
      </c>
      <c r="AE147" s="1506">
        <f t="shared" si="111"/>
        <v>0.48164397408333831</v>
      </c>
      <c r="AF147" s="1506">
        <f t="shared" si="112"/>
        <v>0.28087344847567869</v>
      </c>
      <c r="AG147" s="1506">
        <f t="shared" si="113"/>
        <v>4.1179851004934154E-2</v>
      </c>
      <c r="AH147" s="1506">
        <f t="shared" si="126"/>
        <v>0</v>
      </c>
      <c r="AI147" s="1506">
        <f t="shared" si="114"/>
        <v>0.19630272643604887</v>
      </c>
      <c r="AJ147" s="1543">
        <f t="shared" si="115"/>
        <v>1</v>
      </c>
      <c r="AK147" s="1557">
        <f t="shared" si="116"/>
        <v>30949.926501104819</v>
      </c>
      <c r="AL147" s="1558">
        <f t="shared" si="117"/>
        <v>0</v>
      </c>
      <c r="AM147" s="1558">
        <f t="shared" si="118"/>
        <v>0</v>
      </c>
      <c r="AN147" s="1558">
        <f t="shared" si="119"/>
        <v>30949.926501104819</v>
      </c>
      <c r="AO147" s="1545">
        <f t="shared" si="120"/>
        <v>0</v>
      </c>
    </row>
    <row r="148" spans="1:41">
      <c r="A148" s="873">
        <f>'Input data'!A128</f>
        <v>2028</v>
      </c>
      <c r="B148" s="1553">
        <f>'Input data'!B128</f>
        <v>64.676158618096451</v>
      </c>
      <c r="C148" s="1552">
        <f>'Input data'!C128</f>
        <v>3555.7273448150845</v>
      </c>
      <c r="D148" s="1554">
        <f>'Input data'!D128</f>
        <v>44757313.865039073</v>
      </c>
      <c r="E148" s="1510">
        <f>'Input data'!J128*C148</f>
        <v>42921.779664168149</v>
      </c>
      <c r="F148" s="1511">
        <f>'Input data'!L128</f>
        <v>87679.093529207224</v>
      </c>
      <c r="G148" s="1559">
        <f>($G$152-$G$147)/($A$152-$A$147)+G147</f>
        <v>21900.706671236927</v>
      </c>
      <c r="H148" s="1511">
        <f t="shared" si="121"/>
        <v>44730.718503003707</v>
      </c>
      <c r="I148" s="1513">
        <f t="shared" si="96"/>
        <v>44757.313865039076</v>
      </c>
      <c r="J148" s="1456">
        <f t="shared" si="122"/>
        <v>0.34793042132233321</v>
      </c>
      <c r="K148" s="1514">
        <f t="shared" si="123"/>
        <v>12817.71961633172</v>
      </c>
      <c r="L148" s="1514">
        <f t="shared" si="97"/>
        <v>0</v>
      </c>
      <c r="M148" s="1513">
        <f t="shared" si="124"/>
        <v>12817.71961633172</v>
      </c>
      <c r="N148" s="1456">
        <f>N147</f>
        <v>0.5</v>
      </c>
      <c r="O148" s="530">
        <f t="shared" si="98"/>
        <v>751.91700000000026</v>
      </c>
      <c r="P148" s="1483">
        <f t="shared" si="127"/>
        <v>13569.63661633172</v>
      </c>
      <c r="Q148" s="1366">
        <f t="shared" si="99"/>
        <v>53061.788557908912</v>
      </c>
      <c r="R148" s="1366">
        <f t="shared" si="125"/>
        <v>31161.081886671986</v>
      </c>
      <c r="S148" s="1516">
        <f t="shared" si="100"/>
        <v>1.3050720305104722</v>
      </c>
      <c r="T148" s="135" t="str">
        <f t="shared" si="101"/>
        <v>No</v>
      </c>
      <c r="U148" s="1516">
        <f t="shared" si="102"/>
        <v>1</v>
      </c>
      <c r="V148" s="1541">
        <f t="shared" si="95"/>
        <v>63802.187766018447</v>
      </c>
      <c r="W148" s="1542">
        <f t="shared" si="103"/>
        <v>0.27232153985756047</v>
      </c>
      <c r="X148" s="527">
        <f t="shared" si="104"/>
        <v>29184.882794720124</v>
      </c>
      <c r="Y148" s="1511">
        <f t="shared" si="105"/>
        <v>19009.527403083772</v>
      </c>
      <c r="Z148" s="1511">
        <f t="shared" si="106"/>
        <v>2691.530631344991</v>
      </c>
      <c r="AA148" s="1511">
        <f t="shared" si="107"/>
        <v>0</v>
      </c>
      <c r="AB148" s="1511">
        <f t="shared" si="108"/>
        <v>12916.246936869558</v>
      </c>
      <c r="AC148" s="1511">
        <f t="shared" si="109"/>
        <v>63802.187766018447</v>
      </c>
      <c r="AD148" s="1556">
        <f t="shared" si="110"/>
        <v>7284.1761234831974</v>
      </c>
      <c r="AE148" s="1506">
        <f t="shared" si="111"/>
        <v>0.4574276183404517</v>
      </c>
      <c r="AF148" s="1506">
        <f t="shared" si="112"/>
        <v>0.29794475814524335</v>
      </c>
      <c r="AG148" s="1506">
        <f t="shared" si="113"/>
        <v>4.2185553906327354E-2</v>
      </c>
      <c r="AH148" s="1506">
        <f t="shared" si="126"/>
        <v>0</v>
      </c>
      <c r="AI148" s="1506">
        <f t="shared" si="114"/>
        <v>0.20244206960797753</v>
      </c>
      <c r="AJ148" s="1543">
        <f t="shared" si="115"/>
        <v>0.99999999999999989</v>
      </c>
      <c r="AK148" s="1557">
        <f t="shared" si="116"/>
        <v>29184.882794720128</v>
      </c>
      <c r="AL148" s="1558">
        <f t="shared" si="117"/>
        <v>0</v>
      </c>
      <c r="AM148" s="1558">
        <f t="shared" si="118"/>
        <v>0</v>
      </c>
      <c r="AN148" s="1558">
        <f t="shared" si="119"/>
        <v>29184.882794720128</v>
      </c>
      <c r="AO148" s="1545">
        <f t="shared" si="120"/>
        <v>0</v>
      </c>
    </row>
    <row r="149" spans="1:41">
      <c r="A149" s="873">
        <f>'Input data'!A129</f>
        <v>2029</v>
      </c>
      <c r="B149" s="1553">
        <f>'Input data'!B129</f>
        <v>65.31298905018393</v>
      </c>
      <c r="C149" s="1552">
        <f>'Input data'!C129</f>
        <v>3635.303730869829</v>
      </c>
      <c r="D149" s="1554">
        <f>'Input data'!D129</f>
        <v>43023314.860788628</v>
      </c>
      <c r="E149" s="1510">
        <f>'Input data'!J129*C149</f>
        <v>43882.359533626659</v>
      </c>
      <c r="F149" s="1511">
        <f>'Input data'!L129</f>
        <v>86905.674394415284</v>
      </c>
      <c r="G149" s="1559">
        <f t="shared" ref="G149:G151" si="129">($G$152-$G$147)/($A$152-$A$147)+G148</f>
        <v>19847.515420808464</v>
      </c>
      <c r="H149" s="1511">
        <f t="shared" si="121"/>
        <v>45707.822034793317</v>
      </c>
      <c r="I149" s="1513">
        <f t="shared" si="96"/>
        <v>43023.314860788625</v>
      </c>
      <c r="J149" s="1456">
        <f t="shared" si="122"/>
        <v>0.37396521066116656</v>
      </c>
      <c r="K149" s="1514">
        <f t="shared" si="123"/>
        <v>13441.235268707171</v>
      </c>
      <c r="L149" s="1514">
        <f t="shared" si="97"/>
        <v>0</v>
      </c>
      <c r="M149" s="1513">
        <f t="shared" si="124"/>
        <v>13441.235268707171</v>
      </c>
      <c r="N149" s="1456">
        <f t="shared" ref="N149:N170" si="130">N148</f>
        <v>0.5</v>
      </c>
      <c r="O149" s="530">
        <f t="shared" si="98"/>
        <v>751.91700000000026</v>
      </c>
      <c r="P149" s="1483">
        <f t="shared" si="127"/>
        <v>14193.15226870717</v>
      </c>
      <c r="Q149" s="1366">
        <f t="shared" si="99"/>
        <v>51362.185186894611</v>
      </c>
      <c r="R149" s="1366">
        <f t="shared" si="125"/>
        <v>31514.669766086146</v>
      </c>
      <c r="S149" s="1516">
        <f t="shared" si="100"/>
        <v>1.2900994497849489</v>
      </c>
      <c r="T149" s="135" t="str">
        <f t="shared" si="101"/>
        <v>No</v>
      </c>
      <c r="U149" s="1516">
        <f t="shared" si="102"/>
        <v>1</v>
      </c>
      <c r="V149" s="1541">
        <f t="shared" si="95"/>
        <v>62477.581063052799</v>
      </c>
      <c r="W149" s="1542">
        <f t="shared" si="103"/>
        <v>0.28108743763378785</v>
      </c>
      <c r="X149" s="527">
        <f t="shared" si="104"/>
        <v>26934.091855532108</v>
      </c>
      <c r="Y149" s="1511">
        <f t="shared" si="105"/>
        <v>19603.240788447583</v>
      </c>
      <c r="Z149" s="1511">
        <f t="shared" si="106"/>
        <v>2734.9387524288591</v>
      </c>
      <c r="AA149" s="1511">
        <f t="shared" si="107"/>
        <v>0</v>
      </c>
      <c r="AB149" s="1511">
        <f t="shared" si="108"/>
        <v>13205.309666644245</v>
      </c>
      <c r="AC149" s="1511">
        <f t="shared" si="109"/>
        <v>62477.581063052799</v>
      </c>
      <c r="AD149" s="1556">
        <f t="shared" si="110"/>
        <v>7086.5764347236436</v>
      </c>
      <c r="AE149" s="1506">
        <f t="shared" si="111"/>
        <v>0.43110010658623354</v>
      </c>
      <c r="AF149" s="1506">
        <f t="shared" si="112"/>
        <v>0.31376440084426221</v>
      </c>
      <c r="AG149" s="1506">
        <f t="shared" si="113"/>
        <v>4.3774722162638474E-2</v>
      </c>
      <c r="AH149" s="1506">
        <f t="shared" si="126"/>
        <v>0</v>
      </c>
      <c r="AI149" s="1506">
        <f t="shared" si="114"/>
        <v>0.21136077040686574</v>
      </c>
      <c r="AJ149" s="1543">
        <f t="shared" si="115"/>
        <v>1</v>
      </c>
      <c r="AK149" s="1557">
        <f t="shared" si="116"/>
        <v>26934.091855532111</v>
      </c>
      <c r="AL149" s="1558">
        <f t="shared" si="117"/>
        <v>0</v>
      </c>
      <c r="AM149" s="1558">
        <f t="shared" si="118"/>
        <v>0</v>
      </c>
      <c r="AN149" s="1558">
        <f t="shared" si="119"/>
        <v>26934.091855532111</v>
      </c>
      <c r="AO149" s="1545">
        <f t="shared" si="120"/>
        <v>0</v>
      </c>
    </row>
    <row r="150" spans="1:41">
      <c r="A150" s="873">
        <f>'Input data'!A130</f>
        <v>2030</v>
      </c>
      <c r="B150" s="1553">
        <f>'Input data'!B130</f>
        <v>65.956090000000003</v>
      </c>
      <c r="C150" s="1552">
        <f>'Input data'!C130</f>
        <v>3717.2759118719223</v>
      </c>
      <c r="D150" s="1554">
        <f>'Input data'!D130</f>
        <v>41579903.969008513</v>
      </c>
      <c r="E150" s="1510">
        <f>'Input data'!J130*C150</f>
        <v>44871.859444719004</v>
      </c>
      <c r="F150" s="1511">
        <f>'Input data'!L130</f>
        <v>86451.763413727516</v>
      </c>
      <c r="G150" s="1559">
        <f t="shared" si="129"/>
        <v>17794.324170380001</v>
      </c>
      <c r="H150" s="1511">
        <f t="shared" si="121"/>
        <v>46974.223163660732</v>
      </c>
      <c r="I150" s="1513">
        <f t="shared" si="96"/>
        <v>41579.903969008512</v>
      </c>
      <c r="J150" s="1456">
        <f>$H$19</f>
        <v>0.4</v>
      </c>
      <c r="K150" s="1514">
        <f t="shared" si="123"/>
        <v>14072.812527306756</v>
      </c>
      <c r="L150" s="1514">
        <f t="shared" si="97"/>
        <v>0</v>
      </c>
      <c r="M150" s="1513">
        <f t="shared" si="124"/>
        <v>14072.812527306756</v>
      </c>
      <c r="N150" s="1456">
        <f t="shared" si="130"/>
        <v>0.5</v>
      </c>
      <c r="O150" s="530">
        <f t="shared" si="98"/>
        <v>751.91700000000026</v>
      </c>
      <c r="P150" s="1483">
        <f t="shared" si="127"/>
        <v>14824.729527306756</v>
      </c>
      <c r="Q150" s="1366">
        <f t="shared" si="99"/>
        <v>49943.817806733976</v>
      </c>
      <c r="R150" s="1366">
        <f t="shared" si="125"/>
        <v>32149.493636353975</v>
      </c>
      <c r="S150" s="1516">
        <f t="shared" si="100"/>
        <v>1.2861919452429416</v>
      </c>
      <c r="T150" s="135" t="str">
        <f t="shared" si="101"/>
        <v>No</v>
      </c>
      <c r="U150" s="1516">
        <f t="shared" si="102"/>
        <v>1</v>
      </c>
      <c r="V150" s="1541">
        <f t="shared" si="95"/>
        <v>61455.887988398666</v>
      </c>
      <c r="W150" s="1542">
        <f t="shared" si="103"/>
        <v>0.28913089147421367</v>
      </c>
      <c r="X150" s="527">
        <f t="shared" si="104"/>
        <v>24947.942381405108</v>
      </c>
      <c r="Y150" s="1511">
        <f t="shared" si="105"/>
        <v>20225.216684398358</v>
      </c>
      <c r="Z150" s="1511">
        <f t="shared" si="106"/>
        <v>2779.6537556460157</v>
      </c>
      <c r="AA150" s="1511">
        <f t="shared" si="107"/>
        <v>0</v>
      </c>
      <c r="AB150" s="1511">
        <f t="shared" si="108"/>
        <v>13503.075166949178</v>
      </c>
      <c r="AC150" s="1511">
        <f t="shared" si="109"/>
        <v>61455.887988398666</v>
      </c>
      <c r="AD150" s="1556">
        <f t="shared" si="110"/>
        <v>7153.6182110251066</v>
      </c>
      <c r="AE150" s="1506">
        <f t="shared" si="111"/>
        <v>0.40594877395823581</v>
      </c>
      <c r="AF150" s="1506">
        <f t="shared" si="112"/>
        <v>0.32910136597841322</v>
      </c>
      <c r="AG150" s="1506">
        <f t="shared" si="113"/>
        <v>4.5230064142442211E-2</v>
      </c>
      <c r="AH150" s="1506">
        <f t="shared" si="126"/>
        <v>0</v>
      </c>
      <c r="AI150" s="1506">
        <f t="shared" si="114"/>
        <v>0.21971979592090868</v>
      </c>
      <c r="AJ150" s="1543">
        <f t="shared" si="115"/>
        <v>1</v>
      </c>
      <c r="AK150" s="1557">
        <f t="shared" si="116"/>
        <v>24947.942381405112</v>
      </c>
      <c r="AL150" s="1558">
        <f t="shared" si="117"/>
        <v>0</v>
      </c>
      <c r="AM150" s="1558">
        <f t="shared" si="118"/>
        <v>0</v>
      </c>
      <c r="AN150" s="1558">
        <f t="shared" si="119"/>
        <v>24947.942381405112</v>
      </c>
      <c r="AO150" s="1545">
        <f t="shared" si="120"/>
        <v>0</v>
      </c>
    </row>
    <row r="151" spans="1:41">
      <c r="A151" s="873">
        <f>'Input data'!A131</f>
        <v>2031</v>
      </c>
      <c r="B151" s="1553">
        <f>'Input data'!B131</f>
        <v>66.518977190687664</v>
      </c>
      <c r="C151" s="1552">
        <f>'Input data'!C131</f>
        <v>3813.477009093895</v>
      </c>
      <c r="D151" s="1554">
        <f>'Input data'!D131</f>
        <v>40172018.684421316</v>
      </c>
      <c r="E151" s="1510">
        <f>'Input data'!J131*C151</f>
        <v>46033.118984046108</v>
      </c>
      <c r="F151" s="1511">
        <f>'Input data'!L131</f>
        <v>86205.137668467418</v>
      </c>
      <c r="G151" s="1559">
        <f t="shared" si="129"/>
        <v>15741.132919951538</v>
      </c>
      <c r="H151" s="1511">
        <f t="shared" si="121"/>
        <v>48372.520276501025</v>
      </c>
      <c r="I151" s="1513">
        <f t="shared" si="96"/>
        <v>40172.018684421317</v>
      </c>
      <c r="J151" s="1456">
        <f>J150</f>
        <v>0.4</v>
      </c>
      <c r="K151" s="1514">
        <f t="shared" si="123"/>
        <v>13596.310568939634</v>
      </c>
      <c r="L151" s="1514">
        <f t="shared" si="97"/>
        <v>0</v>
      </c>
      <c r="M151" s="1513">
        <f t="shared" si="124"/>
        <v>13596.310568939634</v>
      </c>
      <c r="N151" s="1456">
        <f t="shared" si="130"/>
        <v>0.5</v>
      </c>
      <c r="O151" s="530">
        <f t="shared" si="98"/>
        <v>751.91700000000026</v>
      </c>
      <c r="P151" s="1483">
        <f t="shared" si="127"/>
        <v>14348.227568939634</v>
      </c>
      <c r="Q151" s="1366">
        <f t="shared" si="99"/>
        <v>49765.42562751293</v>
      </c>
      <c r="R151" s="1366">
        <f t="shared" si="125"/>
        <v>34024.292707561392</v>
      </c>
      <c r="S151" s="1516">
        <f t="shared" si="100"/>
        <v>1.3258517817233786</v>
      </c>
      <c r="T151" s="135" t="str">
        <f t="shared" si="101"/>
        <v>No</v>
      </c>
      <c r="U151" s="1516">
        <f t="shared" si="102"/>
        <v>1</v>
      </c>
      <c r="V151" s="1541">
        <f t="shared" si="95"/>
        <v>60542.923251607295</v>
      </c>
      <c r="W151" s="1542">
        <f t="shared" si="103"/>
        <v>0.29768776097259209</v>
      </c>
      <c r="X151" s="527">
        <f t="shared" si="104"/>
        <v>24103.211210652789</v>
      </c>
      <c r="Y151" s="1511">
        <f t="shared" si="105"/>
        <v>19755.05407593066</v>
      </c>
      <c r="Z151" s="1511">
        <f t="shared" si="106"/>
        <v>2832.1304900599107</v>
      </c>
      <c r="AA151" s="1511">
        <f t="shared" si="107"/>
        <v>0</v>
      </c>
      <c r="AB151" s="1511">
        <f t="shared" si="108"/>
        <v>13852.527474963932</v>
      </c>
      <c r="AC151" s="1511">
        <f t="shared" si="109"/>
        <v>60542.923251607295</v>
      </c>
      <c r="AD151" s="1556">
        <f t="shared" si="110"/>
        <v>8362.0782907012508</v>
      </c>
      <c r="AE151" s="1506">
        <f t="shared" si="111"/>
        <v>0.39811773063027472</v>
      </c>
      <c r="AF151" s="1506">
        <f t="shared" si="112"/>
        <v>0.32629831886101079</v>
      </c>
      <c r="AG151" s="1506">
        <f t="shared" si="113"/>
        <v>4.6778885754987447E-2</v>
      </c>
      <c r="AH151" s="1506">
        <f t="shared" si="126"/>
        <v>0</v>
      </c>
      <c r="AI151" s="1506">
        <f t="shared" si="114"/>
        <v>0.228805064753727</v>
      </c>
      <c r="AJ151" s="1543">
        <f t="shared" si="115"/>
        <v>0.99999999999999989</v>
      </c>
      <c r="AK151" s="1557">
        <f t="shared" si="116"/>
        <v>24103.211210652793</v>
      </c>
      <c r="AL151" s="1558">
        <f t="shared" si="117"/>
        <v>0</v>
      </c>
      <c r="AM151" s="1558">
        <f t="shared" si="118"/>
        <v>0</v>
      </c>
      <c r="AN151" s="1558">
        <f t="shared" si="119"/>
        <v>24103.211210652793</v>
      </c>
      <c r="AO151" s="1545">
        <f t="shared" si="120"/>
        <v>0</v>
      </c>
    </row>
    <row r="152" spans="1:41">
      <c r="A152" s="873">
        <f>'Input data'!A132</f>
        <v>2032</v>
      </c>
      <c r="B152" s="1553">
        <f>'Input data'!B132</f>
        <v>67.08666821358311</v>
      </c>
      <c r="C152" s="1552">
        <f>'Input data'!C132</f>
        <v>3916.9054384503629</v>
      </c>
      <c r="D152" s="1554">
        <f>'Input data'!D132</f>
        <v>39638613.148632608</v>
      </c>
      <c r="E152" s="1510">
        <f>'Input data'!J132*C152</f>
        <v>47281.620858725182</v>
      </c>
      <c r="F152" s="1511">
        <f>'Input data'!L132</f>
        <v>86920.234007357794</v>
      </c>
      <c r="G152" s="1559">
        <f>G137*(1-E6)</f>
        <v>13687.941669523079</v>
      </c>
      <c r="H152" s="1511">
        <f t="shared" si="121"/>
        <v>50641.535160321655</v>
      </c>
      <c r="I152" s="1513">
        <f t="shared" si="96"/>
        <v>39638.613148632605</v>
      </c>
      <c r="J152" s="1456">
        <f t="shared" ref="J152:J170" si="131">J151</f>
        <v>0.4</v>
      </c>
      <c r="K152" s="1514">
        <f t="shared" si="123"/>
        <v>13415.778259106088</v>
      </c>
      <c r="L152" s="1514">
        <f t="shared" si="97"/>
        <v>0</v>
      </c>
      <c r="M152" s="1513">
        <f t="shared" si="124"/>
        <v>13415.778259106088</v>
      </c>
      <c r="N152" s="1456">
        <f t="shared" si="130"/>
        <v>0.5</v>
      </c>
      <c r="O152" s="530">
        <f t="shared" si="98"/>
        <v>751.91700000000026</v>
      </c>
      <c r="P152" s="1483">
        <f t="shared" si="127"/>
        <v>14167.695259106087</v>
      </c>
      <c r="Q152" s="1366">
        <f t="shared" si="99"/>
        <v>50161.781570738647</v>
      </c>
      <c r="R152" s="1366">
        <f t="shared" si="125"/>
        <v>36473.839901215571</v>
      </c>
      <c r="S152" s="1516">
        <f t="shared" si="100"/>
        <v>1.3827049571871139</v>
      </c>
      <c r="T152" s="135" t="str">
        <f t="shared" si="101"/>
        <v>No</v>
      </c>
      <c r="U152" s="1516">
        <f t="shared" si="102"/>
        <v>1</v>
      </c>
      <c r="V152" s="1541">
        <f t="shared" si="95"/>
        <v>60541.620325798714</v>
      </c>
      <c r="W152" s="1542">
        <f t="shared" si="103"/>
        <v>0.3034807025407471</v>
      </c>
      <c r="X152" s="527">
        <f t="shared" si="104"/>
        <v>23783.167889179564</v>
      </c>
      <c r="Y152" s="1511">
        <f t="shared" si="105"/>
        <v>19641.66957103182</v>
      </c>
      <c r="Z152" s="1511">
        <f t="shared" si="106"/>
        <v>2888.549661721353</v>
      </c>
      <c r="AA152" s="1511">
        <f t="shared" si="107"/>
        <v>0</v>
      </c>
      <c r="AB152" s="1511">
        <f t="shared" si="108"/>
        <v>14228.233203865982</v>
      </c>
      <c r="AC152" s="1511">
        <f t="shared" si="109"/>
        <v>60541.620325798714</v>
      </c>
      <c r="AD152" s="1556">
        <f t="shared" si="110"/>
        <v>10095.226219656484</v>
      </c>
      <c r="AE152" s="1506">
        <f t="shared" si="111"/>
        <v>0.39283996300714796</v>
      </c>
      <c r="AF152" s="1506">
        <f t="shared" si="112"/>
        <v>0.32443250552813296</v>
      </c>
      <c r="AG152" s="1506">
        <f t="shared" si="113"/>
        <v>4.7711799687172395E-2</v>
      </c>
      <c r="AH152" s="1506">
        <f t="shared" si="126"/>
        <v>0</v>
      </c>
      <c r="AI152" s="1506">
        <f t="shared" si="114"/>
        <v>0.23501573177754673</v>
      </c>
      <c r="AJ152" s="1543">
        <f t="shared" si="115"/>
        <v>1</v>
      </c>
      <c r="AK152" s="1557">
        <f t="shared" si="116"/>
        <v>23783.16788917956</v>
      </c>
      <c r="AL152" s="1558">
        <f t="shared" si="117"/>
        <v>0</v>
      </c>
      <c r="AM152" s="1558">
        <f t="shared" si="118"/>
        <v>0</v>
      </c>
      <c r="AN152" s="1558">
        <f t="shared" si="119"/>
        <v>23783.16788917956</v>
      </c>
      <c r="AO152" s="1545">
        <f t="shared" si="120"/>
        <v>0</v>
      </c>
    </row>
    <row r="153" spans="1:41">
      <c r="A153" s="873">
        <f>'Input data'!A133</f>
        <v>2033</v>
      </c>
      <c r="B153" s="1553">
        <f>'Input data'!B133</f>
        <v>67.659204065895452</v>
      </c>
      <c r="C153" s="1552">
        <f>'Input data'!C133</f>
        <v>4023.8304695138613</v>
      </c>
      <c r="D153" s="1554">
        <f>'Input data'!D133</f>
        <v>38783300.848650038</v>
      </c>
      <c r="E153" s="1510">
        <f>'Input data'!J133*C153</f>
        <v>48572.330797602815</v>
      </c>
      <c r="F153" s="1511">
        <f>'Input data'!L133</f>
        <v>87355.631646252848</v>
      </c>
      <c r="G153" s="1559">
        <f>G152</f>
        <v>13687.941669523079</v>
      </c>
      <c r="H153" s="1511">
        <f t="shared" si="121"/>
        <v>50579.483950642127</v>
      </c>
      <c r="I153" s="1513">
        <f t="shared" si="96"/>
        <v>38783.30084865004</v>
      </c>
      <c r="J153" s="1456">
        <f t="shared" si="131"/>
        <v>0.4</v>
      </c>
      <c r="K153" s="1514">
        <f t="shared" si="123"/>
        <v>13126.29587696962</v>
      </c>
      <c r="L153" s="1514">
        <f t="shared" si="97"/>
        <v>0</v>
      </c>
      <c r="M153" s="1513">
        <f t="shared" si="124"/>
        <v>13126.29587696962</v>
      </c>
      <c r="N153" s="1456">
        <f t="shared" si="130"/>
        <v>0.5</v>
      </c>
      <c r="O153" s="530">
        <f t="shared" si="98"/>
        <v>751.91700000000026</v>
      </c>
      <c r="P153" s="1483">
        <f t="shared" si="127"/>
        <v>13878.212876969619</v>
      </c>
      <c r="Q153" s="1366">
        <f t="shared" si="99"/>
        <v>50389.212743195589</v>
      </c>
      <c r="R153" s="1366">
        <f t="shared" si="125"/>
        <v>36701.271073672513</v>
      </c>
      <c r="S153" s="1516">
        <f t="shared" si="100"/>
        <v>1.3533300189690385</v>
      </c>
      <c r="T153" s="135" t="str">
        <f t="shared" si="101"/>
        <v>No</v>
      </c>
      <c r="U153" s="1516">
        <f t="shared" si="102"/>
        <v>1</v>
      </c>
      <c r="V153" s="1541">
        <f t="shared" si="95"/>
        <v>60236.399412247294</v>
      </c>
      <c r="W153" s="1542">
        <f t="shared" si="103"/>
        <v>0.31044629548126956</v>
      </c>
      <c r="X153" s="527">
        <f t="shared" si="104"/>
        <v>23269.980509190023</v>
      </c>
      <c r="Y153" s="1511">
        <f t="shared" si="105"/>
        <v>19402.902303780367</v>
      </c>
      <c r="Z153" s="1511">
        <f t="shared" si="106"/>
        <v>2946.8761945712818</v>
      </c>
      <c r="AA153" s="1511">
        <f t="shared" si="107"/>
        <v>0</v>
      </c>
      <c r="AB153" s="1511">
        <f t="shared" si="108"/>
        <v>14616.640404705622</v>
      </c>
      <c r="AC153" s="1511">
        <f t="shared" si="109"/>
        <v>60236.399412247294</v>
      </c>
      <c r="AD153" s="1556">
        <f t="shared" si="110"/>
        <v>9582.0388396669441</v>
      </c>
      <c r="AE153" s="1506">
        <f t="shared" si="111"/>
        <v>0.38631094713902769</v>
      </c>
      <c r="AF153" s="1506">
        <f t="shared" si="112"/>
        <v>0.32211258463492026</v>
      </c>
      <c r="AG153" s="1506">
        <f t="shared" si="113"/>
        <v>4.8921851626678094E-2</v>
      </c>
      <c r="AH153" s="1506">
        <f t="shared" si="126"/>
        <v>0</v>
      </c>
      <c r="AI153" s="1506">
        <f t="shared" si="114"/>
        <v>0.24265461659937396</v>
      </c>
      <c r="AJ153" s="1543">
        <f t="shared" si="115"/>
        <v>1</v>
      </c>
      <c r="AK153" s="1557">
        <f t="shared" si="116"/>
        <v>23269.98050919002</v>
      </c>
      <c r="AL153" s="1558">
        <f t="shared" si="117"/>
        <v>0</v>
      </c>
      <c r="AM153" s="1558">
        <f t="shared" si="118"/>
        <v>0</v>
      </c>
      <c r="AN153" s="1558">
        <f t="shared" si="119"/>
        <v>23269.98050919002</v>
      </c>
      <c r="AO153" s="1545">
        <f t="shared" si="120"/>
        <v>0</v>
      </c>
    </row>
    <row r="154" spans="1:41">
      <c r="A154" s="873">
        <f>'Input data'!A134</f>
        <v>2034</v>
      </c>
      <c r="B154" s="1553">
        <f>'Input data'!B134</f>
        <v>68.236626094715163</v>
      </c>
      <c r="C154" s="1552">
        <f>'Input data'!C134</f>
        <v>4047.8499716455863</v>
      </c>
      <c r="D154" s="1554">
        <f>'Input data'!D134</f>
        <v>38249557.30478432</v>
      </c>
      <c r="E154" s="1510">
        <f>'Input data'!J134*C154</f>
        <v>48862.27422637675</v>
      </c>
      <c r="F154" s="1511">
        <f>'Input data'!L134</f>
        <v>87111.831531161064</v>
      </c>
      <c r="G154" s="1559">
        <f t="shared" ref="G154:G170" si="132">G153</f>
        <v>13687.941669523079</v>
      </c>
      <c r="H154" s="1511">
        <f t="shared" si="121"/>
        <v>50244.962718643277</v>
      </c>
      <c r="I154" s="1513">
        <f t="shared" si="96"/>
        <v>38249.557304784321</v>
      </c>
      <c r="J154" s="1456">
        <f t="shared" si="131"/>
        <v>0.4</v>
      </c>
      <c r="K154" s="1514">
        <f t="shared" si="123"/>
        <v>12945.649167538035</v>
      </c>
      <c r="L154" s="1514">
        <f t="shared" si="97"/>
        <v>0</v>
      </c>
      <c r="M154" s="1513">
        <f t="shared" si="124"/>
        <v>12945.649167538035</v>
      </c>
      <c r="N154" s="1456">
        <f t="shared" si="130"/>
        <v>0.5</v>
      </c>
      <c r="O154" s="530">
        <f t="shared" si="98"/>
        <v>751.91700000000026</v>
      </c>
      <c r="P154" s="1483">
        <f t="shared" si="127"/>
        <v>13697.566167538034</v>
      </c>
      <c r="Q154" s="1366">
        <f t="shared" si="99"/>
        <v>50235.33822062832</v>
      </c>
      <c r="R154" s="1366">
        <f t="shared" si="125"/>
        <v>36547.396551105237</v>
      </c>
      <c r="S154" s="1516">
        <f t="shared" si="100"/>
        <v>1.3394388032758531</v>
      </c>
      <c r="T154" s="135" t="str">
        <f t="shared" si="101"/>
        <v>No</v>
      </c>
      <c r="U154" s="1516">
        <f t="shared" si="102"/>
        <v>1</v>
      </c>
      <c r="V154" s="1541">
        <f t="shared" si="95"/>
        <v>59826.227693403351</v>
      </c>
      <c r="W154" s="1542">
        <f t="shared" si="103"/>
        <v>0.31322500466537995</v>
      </c>
      <c r="X154" s="527">
        <f t="shared" si="104"/>
        <v>22949.734382870593</v>
      </c>
      <c r="Y154" s="1511">
        <f t="shared" si="105"/>
        <v>19212.62301706522</v>
      </c>
      <c r="Z154" s="1511">
        <f t="shared" si="106"/>
        <v>2959.9785922623614</v>
      </c>
      <c r="AA154" s="1511">
        <f t="shared" si="107"/>
        <v>0</v>
      </c>
      <c r="AB154" s="1511">
        <f t="shared" si="108"/>
        <v>14703.891701205175</v>
      </c>
      <c r="AC154" s="1511">
        <f t="shared" si="109"/>
        <v>59826.227693403351</v>
      </c>
      <c r="AD154" s="1556">
        <f t="shared" si="110"/>
        <v>9261.7927133475132</v>
      </c>
      <c r="AE154" s="1506">
        <f t="shared" si="111"/>
        <v>0.38360657637454737</v>
      </c>
      <c r="AF154" s="1506">
        <f t="shared" si="112"/>
        <v>0.32114047229462322</v>
      </c>
      <c r="AG154" s="1506">
        <f t="shared" si="113"/>
        <v>4.9476269963595568E-2</v>
      </c>
      <c r="AH154" s="1506">
        <f t="shared" si="126"/>
        <v>0</v>
      </c>
      <c r="AI154" s="1506">
        <f t="shared" si="114"/>
        <v>0.24577668136723382</v>
      </c>
      <c r="AJ154" s="1543">
        <f t="shared" si="115"/>
        <v>1</v>
      </c>
      <c r="AK154" s="1557">
        <f t="shared" si="116"/>
        <v>22949.734382870589</v>
      </c>
      <c r="AL154" s="1558">
        <f t="shared" si="117"/>
        <v>0</v>
      </c>
      <c r="AM154" s="1558">
        <f t="shared" si="118"/>
        <v>0</v>
      </c>
      <c r="AN154" s="1558">
        <f t="shared" si="119"/>
        <v>22949.734382870589</v>
      </c>
      <c r="AO154" s="1545">
        <f t="shared" si="120"/>
        <v>0</v>
      </c>
    </row>
    <row r="155" spans="1:41">
      <c r="A155" s="873">
        <f>'Input data'!A135</f>
        <v>2035</v>
      </c>
      <c r="B155" s="1553">
        <f>'Input data'!B135</f>
        <v>68.818976000000006</v>
      </c>
      <c r="C155" s="1552">
        <f>'Input data'!C135</f>
        <v>0</v>
      </c>
      <c r="D155" s="1554">
        <f>'Input data'!D135</f>
        <v>38181094.662935674</v>
      </c>
      <c r="E155" s="1510">
        <f>'Input data'!J135*C155</f>
        <v>0</v>
      </c>
      <c r="F155" s="1511">
        <f>'Input data'!L135</f>
        <v>38181.094662935677</v>
      </c>
      <c r="G155" s="1559">
        <f t="shared" si="132"/>
        <v>13687.941669523079</v>
      </c>
      <c r="H155" s="1511">
        <f t="shared" si="121"/>
        <v>22143.192959820935</v>
      </c>
      <c r="I155" s="1513">
        <f t="shared" si="96"/>
        <v>38181.094662935677</v>
      </c>
      <c r="J155" s="1456">
        <f t="shared" si="131"/>
        <v>0.4</v>
      </c>
      <c r="K155" s="1514">
        <f t="shared" si="123"/>
        <v>12922.477831582613</v>
      </c>
      <c r="L155" s="1514">
        <f t="shared" si="97"/>
        <v>0</v>
      </c>
      <c r="M155" s="1513">
        <f t="shared" si="124"/>
        <v>12922.477831582613</v>
      </c>
      <c r="N155" s="1456">
        <f t="shared" si="130"/>
        <v>0.5</v>
      </c>
      <c r="O155" s="530">
        <f t="shared" si="98"/>
        <v>751.91700000000026</v>
      </c>
      <c r="P155" s="1483">
        <f t="shared" si="127"/>
        <v>13674.394831582613</v>
      </c>
      <c r="Q155" s="1366">
        <f t="shared" si="99"/>
        <v>22156.739797761402</v>
      </c>
      <c r="R155" s="1366">
        <f t="shared" si="125"/>
        <v>8468.7981282383225</v>
      </c>
      <c r="S155" s="1516">
        <f t="shared" si="100"/>
        <v>-11.262942755966773</v>
      </c>
      <c r="T155" s="135" t="str">
        <f t="shared" si="101"/>
        <v>No</v>
      </c>
      <c r="U155" s="1516">
        <f t="shared" si="102"/>
        <v>0</v>
      </c>
      <c r="V155" s="1541">
        <f t="shared" si="95"/>
        <v>38181.094662935677</v>
      </c>
      <c r="W155" s="1542">
        <f t="shared" si="103"/>
        <v>0</v>
      </c>
      <c r="X155" s="527">
        <f t="shared" si="104"/>
        <v>22156.739797761405</v>
      </c>
      <c r="Y155" s="1511">
        <f t="shared" si="105"/>
        <v>15272.437865174272</v>
      </c>
      <c r="Z155" s="1511">
        <f t="shared" si="106"/>
        <v>751.91700000000026</v>
      </c>
      <c r="AA155" s="1511">
        <f t="shared" si="107"/>
        <v>0</v>
      </c>
      <c r="AB155" s="1511">
        <f t="shared" si="108"/>
        <v>0</v>
      </c>
      <c r="AC155" s="1511">
        <f t="shared" si="109"/>
        <v>38181.094662935677</v>
      </c>
      <c r="AD155" s="1556">
        <f t="shared" si="110"/>
        <v>8468.7981282383262</v>
      </c>
      <c r="AE155" s="1506">
        <f t="shared" si="111"/>
        <v>0.58030656253735113</v>
      </c>
      <c r="AF155" s="1506">
        <f t="shared" si="112"/>
        <v>0.4</v>
      </c>
      <c r="AG155" s="1506">
        <f t="shared" si="113"/>
        <v>1.9693437462648868E-2</v>
      </c>
      <c r="AH155" s="1506">
        <f t="shared" si="126"/>
        <v>0</v>
      </c>
      <c r="AI155" s="1506">
        <f t="shared" si="114"/>
        <v>0</v>
      </c>
      <c r="AJ155" s="1543">
        <f t="shared" si="115"/>
        <v>1</v>
      </c>
      <c r="AK155" s="1557">
        <f t="shared" si="116"/>
        <v>22908.656797761403</v>
      </c>
      <c r="AL155" s="1558">
        <f t="shared" si="117"/>
        <v>0</v>
      </c>
      <c r="AM155" s="1558">
        <f t="shared" si="118"/>
        <v>-751.91700000000026</v>
      </c>
      <c r="AN155" s="1558">
        <f t="shared" si="119"/>
        <v>22156.739797761402</v>
      </c>
      <c r="AO155" s="1545">
        <f t="shared" si="120"/>
        <v>0</v>
      </c>
    </row>
    <row r="156" spans="1:41">
      <c r="A156" s="873">
        <f>'Input data'!A136</f>
        <v>2036</v>
      </c>
      <c r="B156" s="1553">
        <f>'Input data'!B136</f>
        <v>69.322810489383542</v>
      </c>
      <c r="C156" s="1552">
        <f>'Input data'!C136</f>
        <v>0</v>
      </c>
      <c r="D156" s="1554">
        <f>'Input data'!D136</f>
        <v>32537026.437175773</v>
      </c>
      <c r="E156" s="1510">
        <f>'Input data'!J136*C156</f>
        <v>0</v>
      </c>
      <c r="F156" s="1511">
        <f>'Input data'!L136</f>
        <v>32537.026437175773</v>
      </c>
      <c r="G156" s="1559">
        <f t="shared" si="132"/>
        <v>13687.941669523079</v>
      </c>
      <c r="H156" s="1511">
        <f t="shared" si="121"/>
        <v>16846.50436983339</v>
      </c>
      <c r="I156" s="1513">
        <f t="shared" si="96"/>
        <v>32537.026437175773</v>
      </c>
      <c r="J156" s="1456">
        <f t="shared" si="131"/>
        <v>0.4</v>
      </c>
      <c r="K156" s="1514">
        <f>(I156)*J156-(I156)*$J$137</f>
        <v>11012.230177051004</v>
      </c>
      <c r="L156" s="1514">
        <f t="shared" si="97"/>
        <v>0</v>
      </c>
      <c r="M156" s="1513">
        <f t="shared" si="124"/>
        <v>11012.230177051004</v>
      </c>
      <c r="N156" s="1456">
        <f t="shared" si="130"/>
        <v>0.5</v>
      </c>
      <c r="O156" s="530">
        <f t="shared" si="98"/>
        <v>751.91700000000026</v>
      </c>
      <c r="P156" s="1483">
        <f t="shared" si="127"/>
        <v>11764.147177051003</v>
      </c>
      <c r="Q156" s="1366">
        <f t="shared" si="99"/>
        <v>18770.298862305466</v>
      </c>
      <c r="R156" s="1366">
        <f t="shared" si="125"/>
        <v>5082.3571927823868</v>
      </c>
      <c r="S156" s="1516">
        <f t="shared" si="100"/>
        <v>-6.7591997425013703</v>
      </c>
      <c r="T156" s="135" t="str">
        <f t="shared" si="101"/>
        <v>No</v>
      </c>
      <c r="U156" s="1516">
        <f t="shared" si="102"/>
        <v>0</v>
      </c>
      <c r="V156" s="1541">
        <f t="shared" si="95"/>
        <v>32537.026437175773</v>
      </c>
      <c r="W156" s="1542">
        <f t="shared" si="103"/>
        <v>0</v>
      </c>
      <c r="X156" s="527">
        <f t="shared" si="104"/>
        <v>18770.298862305463</v>
      </c>
      <c r="Y156" s="1511">
        <f t="shared" si="105"/>
        <v>13014.810574870309</v>
      </c>
      <c r="Z156" s="1511">
        <f t="shared" si="106"/>
        <v>751.91700000000026</v>
      </c>
      <c r="AA156" s="1511">
        <f t="shared" si="107"/>
        <v>0</v>
      </c>
      <c r="AB156" s="1511">
        <f t="shared" si="108"/>
        <v>0</v>
      </c>
      <c r="AC156" s="1511">
        <f t="shared" si="109"/>
        <v>32537.026437175773</v>
      </c>
      <c r="AD156" s="1556">
        <f t="shared" si="110"/>
        <v>5082.3571927823832</v>
      </c>
      <c r="AE156" s="1506">
        <f t="shared" si="111"/>
        <v>0.57689042047367656</v>
      </c>
      <c r="AF156" s="1506">
        <f t="shared" si="112"/>
        <v>0.4</v>
      </c>
      <c r="AG156" s="1506">
        <f t="shared" si="113"/>
        <v>2.3109579526323393E-2</v>
      </c>
      <c r="AH156" s="1506">
        <f t="shared" si="126"/>
        <v>0</v>
      </c>
      <c r="AI156" s="1506">
        <f t="shared" si="114"/>
        <v>0</v>
      </c>
      <c r="AJ156" s="1543">
        <f t="shared" si="115"/>
        <v>1</v>
      </c>
      <c r="AK156" s="1557">
        <f t="shared" si="116"/>
        <v>19522.215862305464</v>
      </c>
      <c r="AL156" s="1558">
        <f t="shared" si="117"/>
        <v>0</v>
      </c>
      <c r="AM156" s="1558">
        <f t="shared" si="118"/>
        <v>-751.91700000000026</v>
      </c>
      <c r="AN156" s="1558">
        <f t="shared" si="119"/>
        <v>18770.298862305463</v>
      </c>
      <c r="AO156" s="1545">
        <f t="shared" si="120"/>
        <v>0</v>
      </c>
    </row>
    <row r="157" spans="1:41">
      <c r="A157" s="873">
        <f>'Input data'!A137</f>
        <v>2037</v>
      </c>
      <c r="B157" s="1553">
        <f>'Input data'!B137</f>
        <v>69.830333629884052</v>
      </c>
      <c r="C157" s="1552">
        <f>'Input data'!C137</f>
        <v>0</v>
      </c>
      <c r="D157" s="1554">
        <f>'Input data'!D137</f>
        <v>27502394.556130182</v>
      </c>
      <c r="E157" s="1510">
        <f>'Input data'!J137*C157</f>
        <v>0</v>
      </c>
      <c r="F157" s="1511">
        <f>'Input data'!L137</f>
        <v>27502.394556130181</v>
      </c>
      <c r="G157" s="1559">
        <f t="shared" si="132"/>
        <v>13687.941669523079</v>
      </c>
      <c r="H157" s="1511">
        <f t="shared" si="121"/>
        <v>12121.742695725279</v>
      </c>
      <c r="I157" s="1513">
        <f t="shared" si="96"/>
        <v>27502.394556130181</v>
      </c>
      <c r="J157" s="1456">
        <f t="shared" si="131"/>
        <v>0.4</v>
      </c>
      <c r="K157" s="1514">
        <f t="shared" si="123"/>
        <v>9308.2476315702534</v>
      </c>
      <c r="L157" s="1514">
        <f t="shared" si="97"/>
        <v>0</v>
      </c>
      <c r="M157" s="1513">
        <f t="shared" si="124"/>
        <v>9308.2476315702534</v>
      </c>
      <c r="N157" s="1456">
        <f t="shared" si="130"/>
        <v>0.5</v>
      </c>
      <c r="O157" s="530">
        <f t="shared" si="98"/>
        <v>751.91700000000026</v>
      </c>
      <c r="P157" s="1483">
        <f t="shared" si="127"/>
        <v>10060.164631570253</v>
      </c>
      <c r="Q157" s="1366">
        <f t="shared" si="99"/>
        <v>15749.519733678106</v>
      </c>
      <c r="R157" s="1366">
        <f t="shared" si="125"/>
        <v>2061.5780641550264</v>
      </c>
      <c r="S157" s="1516">
        <f t="shared" si="100"/>
        <v>-2.7417628064733512</v>
      </c>
      <c r="T157" s="135" t="str">
        <f t="shared" si="101"/>
        <v>No</v>
      </c>
      <c r="U157" s="1516">
        <f t="shared" si="102"/>
        <v>0</v>
      </c>
      <c r="V157" s="1541">
        <f t="shared" si="95"/>
        <v>27502.394556130181</v>
      </c>
      <c r="W157" s="1542">
        <f t="shared" si="103"/>
        <v>0</v>
      </c>
      <c r="X157" s="527">
        <f t="shared" si="104"/>
        <v>15749.519733678108</v>
      </c>
      <c r="Y157" s="1511">
        <f t="shared" si="105"/>
        <v>11000.957822452074</v>
      </c>
      <c r="Z157" s="1511">
        <f t="shared" si="106"/>
        <v>751.91700000000026</v>
      </c>
      <c r="AA157" s="1511">
        <f t="shared" si="107"/>
        <v>0</v>
      </c>
      <c r="AB157" s="1511">
        <f t="shared" si="108"/>
        <v>0</v>
      </c>
      <c r="AC157" s="1511">
        <f t="shared" si="109"/>
        <v>27502.394556130181</v>
      </c>
      <c r="AD157" s="1556">
        <f t="shared" si="110"/>
        <v>2061.5780641550282</v>
      </c>
      <c r="AE157" s="1506">
        <f t="shared" si="111"/>
        <v>0.57265994426538391</v>
      </c>
      <c r="AF157" s="1506">
        <f t="shared" si="112"/>
        <v>0.40000000000000008</v>
      </c>
      <c r="AG157" s="1506">
        <f t="shared" si="113"/>
        <v>2.7340055734616054E-2</v>
      </c>
      <c r="AH157" s="1506">
        <f t="shared" si="126"/>
        <v>0</v>
      </c>
      <c r="AI157" s="1506">
        <f t="shared" si="114"/>
        <v>0</v>
      </c>
      <c r="AJ157" s="1543">
        <f t="shared" si="115"/>
        <v>1</v>
      </c>
      <c r="AK157" s="1557">
        <f t="shared" si="116"/>
        <v>16501.436733678107</v>
      </c>
      <c r="AL157" s="1558">
        <f t="shared" si="117"/>
        <v>0</v>
      </c>
      <c r="AM157" s="1558">
        <f t="shared" si="118"/>
        <v>-751.91700000000026</v>
      </c>
      <c r="AN157" s="1558">
        <f t="shared" si="119"/>
        <v>15749.519733678108</v>
      </c>
      <c r="AO157" s="1545">
        <f t="shared" si="120"/>
        <v>0</v>
      </c>
    </row>
    <row r="158" spans="1:41">
      <c r="A158" s="873">
        <f>'Input data'!A138</f>
        <v>2038</v>
      </c>
      <c r="B158" s="1553">
        <f>'Input data'!B138</f>
        <v>70.341572426693446</v>
      </c>
      <c r="C158" s="1552">
        <f>'Input data'!C138</f>
        <v>0</v>
      </c>
      <c r="D158" s="1554">
        <f>'Input data'!D138</f>
        <v>25672806.243326273</v>
      </c>
      <c r="E158" s="1510">
        <f>'Input data'!J138*C158</f>
        <v>0</v>
      </c>
      <c r="F158" s="1511">
        <f>'Input data'!L138</f>
        <v>25672.806243326271</v>
      </c>
      <c r="G158" s="1511">
        <f t="shared" si="132"/>
        <v>13687.941669523079</v>
      </c>
      <c r="H158" s="1511">
        <f t="shared" si="121"/>
        <v>10404.761406134596</v>
      </c>
      <c r="I158" s="1513">
        <f t="shared" si="96"/>
        <v>25672.806243326271</v>
      </c>
      <c r="J158" s="1456">
        <f t="shared" si="131"/>
        <v>0.4</v>
      </c>
      <c r="K158" s="1514">
        <f t="shared" si="123"/>
        <v>8689.0193296619145</v>
      </c>
      <c r="L158" s="1514">
        <f t="shared" si="97"/>
        <v>0</v>
      </c>
      <c r="M158" s="1513">
        <f t="shared" si="124"/>
        <v>8689.0193296619145</v>
      </c>
      <c r="N158" s="1456">
        <f t="shared" si="130"/>
        <v>0.5</v>
      </c>
      <c r="O158" s="530">
        <f t="shared" si="98"/>
        <v>751.91700000000026</v>
      </c>
      <c r="P158" s="1483">
        <f t="shared" si="127"/>
        <v>9440.936329661914</v>
      </c>
      <c r="Q158" s="1366">
        <f t="shared" si="99"/>
        <v>14651.766745995761</v>
      </c>
      <c r="R158" s="1366">
        <f t="shared" si="125"/>
        <v>963.82507647268176</v>
      </c>
      <c r="S158" s="1516">
        <f t="shared" si="100"/>
        <v>-1.2818237604319096</v>
      </c>
      <c r="T158" s="135" t="str">
        <f t="shared" si="101"/>
        <v>No</v>
      </c>
      <c r="U158" s="1516">
        <f t="shared" si="102"/>
        <v>0</v>
      </c>
      <c r="V158" s="1541">
        <f t="shared" si="95"/>
        <v>25672.806243326275</v>
      </c>
      <c r="W158" s="1542">
        <f t="shared" si="103"/>
        <v>-2.2204460492503131E-16</v>
      </c>
      <c r="X158" s="527">
        <f t="shared" si="104"/>
        <v>14651.766745995763</v>
      </c>
      <c r="Y158" s="1511">
        <f t="shared" si="105"/>
        <v>10269.122497330509</v>
      </c>
      <c r="Z158" s="1511">
        <f t="shared" si="106"/>
        <v>751.91700000000026</v>
      </c>
      <c r="AA158" s="1511">
        <f t="shared" si="107"/>
        <v>0</v>
      </c>
      <c r="AB158" s="1511">
        <f t="shared" si="108"/>
        <v>0</v>
      </c>
      <c r="AC158" s="1511">
        <f t="shared" si="109"/>
        <v>25672.806243326275</v>
      </c>
      <c r="AD158" s="1556">
        <f t="shared" si="110"/>
        <v>963.82507647268358</v>
      </c>
      <c r="AE158" s="1506">
        <f t="shared" si="111"/>
        <v>0.57071153839306266</v>
      </c>
      <c r="AF158" s="1506">
        <f t="shared" si="112"/>
        <v>0.39999999999999997</v>
      </c>
      <c r="AG158" s="1506">
        <f t="shared" si="113"/>
        <v>2.9288461606937238E-2</v>
      </c>
      <c r="AH158" s="1506">
        <f t="shared" si="126"/>
        <v>0</v>
      </c>
      <c r="AI158" s="1506">
        <f t="shared" si="114"/>
        <v>0</v>
      </c>
      <c r="AJ158" s="1543">
        <f t="shared" si="115"/>
        <v>0.99999999999999989</v>
      </c>
      <c r="AK158" s="1557">
        <f t="shared" si="116"/>
        <v>15403.683745995761</v>
      </c>
      <c r="AL158" s="1558">
        <f t="shared" si="117"/>
        <v>0</v>
      </c>
      <c r="AM158" s="1558">
        <f t="shared" si="118"/>
        <v>-751.91700000000026</v>
      </c>
      <c r="AN158" s="1558">
        <f t="shared" si="119"/>
        <v>14651.766745995761</v>
      </c>
      <c r="AO158" s="1545">
        <f t="shared" si="120"/>
        <v>0</v>
      </c>
    </row>
    <row r="159" spans="1:41">
      <c r="A159" s="873">
        <f>'Input data'!A139</f>
        <v>2039</v>
      </c>
      <c r="B159" s="1553">
        <f>'Input data'!B139</f>
        <v>70.856554082712819</v>
      </c>
      <c r="C159" s="1552">
        <f>'Input data'!C139</f>
        <v>0</v>
      </c>
      <c r="D159" s="1554">
        <f>'Input data'!D139</f>
        <v>23843217.930522356</v>
      </c>
      <c r="E159" s="1510">
        <f>'Input data'!J139*C159</f>
        <v>0</v>
      </c>
      <c r="F159" s="1511">
        <f>'Input data'!L139</f>
        <v>23843.217930522354</v>
      </c>
      <c r="G159" s="1511">
        <f t="shared" si="132"/>
        <v>13687.941669523079</v>
      </c>
      <c r="H159" s="1511">
        <f t="shared" si="121"/>
        <v>8687.780116543905</v>
      </c>
      <c r="I159" s="1513">
        <f t="shared" si="96"/>
        <v>23843.217930522354</v>
      </c>
      <c r="J159" s="1456">
        <f t="shared" si="131"/>
        <v>0.4</v>
      </c>
      <c r="K159" s="1514">
        <f t="shared" si="123"/>
        <v>8069.7910277535739</v>
      </c>
      <c r="L159" s="1514">
        <f t="shared" si="97"/>
        <v>0</v>
      </c>
      <c r="M159" s="1513">
        <f t="shared" si="124"/>
        <v>8069.7910277535739</v>
      </c>
      <c r="N159" s="1456">
        <f t="shared" si="130"/>
        <v>0.5</v>
      </c>
      <c r="O159" s="530">
        <f t="shared" si="98"/>
        <v>751.91700000000026</v>
      </c>
      <c r="P159" s="1483">
        <f t="shared" si="127"/>
        <v>8821.7080277535733</v>
      </c>
      <c r="Q159" s="1366">
        <f t="shared" si="99"/>
        <v>13554.013758313411</v>
      </c>
      <c r="R159" s="1366">
        <f t="shared" si="125"/>
        <v>-133.92791120966831</v>
      </c>
      <c r="S159" s="1516">
        <f t="shared" si="100"/>
        <v>0.17811528560953946</v>
      </c>
      <c r="T159" s="135" t="str">
        <f t="shared" si="101"/>
        <v>Yes</v>
      </c>
      <c r="U159" s="1516">
        <f t="shared" si="102"/>
        <v>0.17811528560953946</v>
      </c>
      <c r="V159" s="1541">
        <f t="shared" si="95"/>
        <v>23977.145841732025</v>
      </c>
      <c r="W159" s="1542">
        <f t="shared" si="103"/>
        <v>-5.6170233229393407E-3</v>
      </c>
      <c r="X159" s="527">
        <f t="shared" si="104"/>
        <v>13687.941669523079</v>
      </c>
      <c r="Y159" s="1511">
        <f t="shared" si="105"/>
        <v>9537.2871722089421</v>
      </c>
      <c r="Z159" s="1511">
        <f t="shared" si="106"/>
        <v>751.91700000000026</v>
      </c>
      <c r="AA159" s="1511">
        <f t="shared" si="107"/>
        <v>0</v>
      </c>
      <c r="AB159" s="1511">
        <f t="shared" si="108"/>
        <v>0</v>
      </c>
      <c r="AC159" s="1511">
        <f t="shared" si="109"/>
        <v>23977.145841732025</v>
      </c>
      <c r="AD159" s="1556">
        <f t="shared" si="110"/>
        <v>0</v>
      </c>
      <c r="AE159" s="1506">
        <f t="shared" si="111"/>
        <v>0.57087452192492949</v>
      </c>
      <c r="AF159" s="1506">
        <f t="shared" si="112"/>
        <v>0.39776574055821823</v>
      </c>
      <c r="AG159" s="1506">
        <f t="shared" si="113"/>
        <v>3.1359737516852192E-2</v>
      </c>
      <c r="AH159" s="1506">
        <f t="shared" si="126"/>
        <v>0</v>
      </c>
      <c r="AI159" s="1506">
        <f t="shared" si="114"/>
        <v>0</v>
      </c>
      <c r="AJ159" s="1543">
        <f t="shared" si="115"/>
        <v>0.99999999999999989</v>
      </c>
      <c r="AK159" s="1557">
        <f t="shared" si="116"/>
        <v>14305.93075831341</v>
      </c>
      <c r="AL159" s="1558">
        <f t="shared" si="117"/>
        <v>0</v>
      </c>
      <c r="AM159" s="1558">
        <f t="shared" si="118"/>
        <v>-617.98908879033206</v>
      </c>
      <c r="AN159" s="1558">
        <f t="shared" si="119"/>
        <v>13687.941669523079</v>
      </c>
      <c r="AO159" s="1545">
        <f t="shared" si="120"/>
        <v>0</v>
      </c>
    </row>
    <row r="160" spans="1:41">
      <c r="A160" s="873">
        <f>'Input data'!A140</f>
        <v>2040</v>
      </c>
      <c r="B160" s="1553">
        <f>'Input data'!B140</f>
        <v>71.375305999999995</v>
      </c>
      <c r="C160" s="1552">
        <f>'Input data'!C140</f>
        <v>0</v>
      </c>
      <c r="D160" s="1554">
        <f>'Input data'!D140</f>
        <v>22013629.617718432</v>
      </c>
      <c r="E160" s="1510">
        <f>'Input data'!J140*C160</f>
        <v>0</v>
      </c>
      <c r="F160" s="1511">
        <f>'Input data'!L140</f>
        <v>22013.62961771843</v>
      </c>
      <c r="G160" s="1511">
        <f t="shared" si="132"/>
        <v>13687.941669523079</v>
      </c>
      <c r="H160" s="1511">
        <f t="shared" si="121"/>
        <v>6970.7988269532107</v>
      </c>
      <c r="I160" s="1513">
        <f t="shared" si="96"/>
        <v>22013.62961771843</v>
      </c>
      <c r="J160" s="1456">
        <f t="shared" si="131"/>
        <v>0.4</v>
      </c>
      <c r="K160" s="1514">
        <f t="shared" si="123"/>
        <v>7450.5627258452305</v>
      </c>
      <c r="L160" s="1514">
        <f t="shared" si="97"/>
        <v>0</v>
      </c>
      <c r="M160" s="1513">
        <f t="shared" si="124"/>
        <v>7450.5627258452305</v>
      </c>
      <c r="N160" s="1456">
        <f t="shared" si="130"/>
        <v>0.5</v>
      </c>
      <c r="O160" s="530">
        <f t="shared" si="98"/>
        <v>751.91700000000026</v>
      </c>
      <c r="P160" s="1483">
        <f t="shared" si="127"/>
        <v>8202.4797258452309</v>
      </c>
      <c r="Q160" s="1366">
        <f t="shared" si="99"/>
        <v>12456.260770631059</v>
      </c>
      <c r="R160" s="1366">
        <f t="shared" si="125"/>
        <v>-1231.6808988920202</v>
      </c>
      <c r="S160" s="1516">
        <f t="shared" si="100"/>
        <v>1.6380543316509948</v>
      </c>
      <c r="T160" s="135" t="str">
        <f t="shared" si="101"/>
        <v>No</v>
      </c>
      <c r="U160" s="1516">
        <f t="shared" si="102"/>
        <v>1</v>
      </c>
      <c r="V160" s="1541">
        <f t="shared" si="95"/>
        <v>22765.546617718432</v>
      </c>
      <c r="W160" s="1542">
        <f t="shared" si="103"/>
        <v>-3.4156884305657442E-2</v>
      </c>
      <c r="X160" s="527">
        <f t="shared" si="104"/>
        <v>13208.177770631059</v>
      </c>
      <c r="Y160" s="1511">
        <f t="shared" si="105"/>
        <v>8805.4518470873718</v>
      </c>
      <c r="Z160" s="1511">
        <f t="shared" si="106"/>
        <v>751.91700000000026</v>
      </c>
      <c r="AA160" s="1511">
        <f t="shared" si="107"/>
        <v>0</v>
      </c>
      <c r="AB160" s="1511">
        <f t="shared" si="108"/>
        <v>0</v>
      </c>
      <c r="AC160" s="1511">
        <f t="shared" si="109"/>
        <v>22765.546617718432</v>
      </c>
      <c r="AD160" s="1556">
        <f t="shared" si="110"/>
        <v>-479.76389889202073</v>
      </c>
      <c r="AE160" s="1506">
        <f t="shared" si="111"/>
        <v>0.58018276443892325</v>
      </c>
      <c r="AF160" s="1506">
        <f t="shared" si="112"/>
        <v>0.3867885096259488</v>
      </c>
      <c r="AG160" s="1506">
        <f t="shared" si="113"/>
        <v>3.3028725935127907E-2</v>
      </c>
      <c r="AH160" s="1506">
        <f t="shared" si="126"/>
        <v>0</v>
      </c>
      <c r="AI160" s="1506">
        <f t="shared" si="114"/>
        <v>0</v>
      </c>
      <c r="AJ160" s="1543">
        <f t="shared" si="115"/>
        <v>1</v>
      </c>
      <c r="AK160" s="1557">
        <f t="shared" si="116"/>
        <v>13208.17777063106</v>
      </c>
      <c r="AL160" s="1558">
        <f t="shared" si="117"/>
        <v>0</v>
      </c>
      <c r="AM160" s="1558">
        <f t="shared" si="118"/>
        <v>0</v>
      </c>
      <c r="AN160" s="1558">
        <f t="shared" si="119"/>
        <v>13208.17777063106</v>
      </c>
      <c r="AO160" s="1545">
        <f t="shared" si="120"/>
        <v>0</v>
      </c>
    </row>
    <row r="161" spans="1:41">
      <c r="A161" s="873">
        <f>'Input data'!A141</f>
        <v>2041</v>
      </c>
      <c r="B161" s="1553">
        <f>'Input data'!B141</f>
        <v>71.818612994947316</v>
      </c>
      <c r="C161" s="1552">
        <f>'Input data'!C141</f>
        <v>0</v>
      </c>
      <c r="D161" s="1554">
        <f>'Input data'!D141</f>
        <v>20405559.977125086</v>
      </c>
      <c r="E161" s="1510">
        <f>'Input data'!J141*C161</f>
        <v>0</v>
      </c>
      <c r="F161" s="1511">
        <f>'Input data'!L141</f>
        <v>20405.559977125085</v>
      </c>
      <c r="G161" s="1511">
        <f t="shared" si="132"/>
        <v>13687.941669523079</v>
      </c>
      <c r="H161" s="1511">
        <f t="shared" si="121"/>
        <v>5461.7022362419266</v>
      </c>
      <c r="I161" s="1513">
        <f t="shared" si="96"/>
        <v>20405.559977125085</v>
      </c>
      <c r="J161" s="1456">
        <f t="shared" si="131"/>
        <v>0.4</v>
      </c>
      <c r="K161" s="1514">
        <f t="shared" si="123"/>
        <v>6906.3079194899547</v>
      </c>
      <c r="L161" s="1514">
        <f t="shared" si="97"/>
        <v>0</v>
      </c>
      <c r="M161" s="1513">
        <f t="shared" si="124"/>
        <v>6906.3079194899547</v>
      </c>
      <c r="N161" s="1456">
        <f t="shared" si="130"/>
        <v>0.5</v>
      </c>
      <c r="O161" s="530">
        <f t="shared" si="98"/>
        <v>751.91700000000026</v>
      </c>
      <c r="P161" s="1483">
        <f t="shared" si="127"/>
        <v>7658.224919489955</v>
      </c>
      <c r="Q161" s="1366">
        <f t="shared" si="99"/>
        <v>11491.41898627505</v>
      </c>
      <c r="R161" s="1366">
        <f t="shared" si="125"/>
        <v>-2196.5226832480294</v>
      </c>
      <c r="S161" s="1516">
        <f t="shared" si="100"/>
        <v>2.9212302464873456</v>
      </c>
      <c r="T161" s="135" t="str">
        <f t="shared" si="101"/>
        <v>No</v>
      </c>
      <c r="U161" s="1516">
        <f t="shared" si="102"/>
        <v>1</v>
      </c>
      <c r="V161" s="1541">
        <f t="shared" si="95"/>
        <v>21157.476977125087</v>
      </c>
      <c r="W161" s="1542">
        <f t="shared" si="103"/>
        <v>-3.6848633452985835E-2</v>
      </c>
      <c r="X161" s="527">
        <f t="shared" si="104"/>
        <v>12243.335986275051</v>
      </c>
      <c r="Y161" s="1511">
        <f t="shared" si="105"/>
        <v>8162.2239908500342</v>
      </c>
      <c r="Z161" s="1511">
        <f t="shared" si="106"/>
        <v>751.91700000000026</v>
      </c>
      <c r="AA161" s="1511">
        <f t="shared" si="107"/>
        <v>0</v>
      </c>
      <c r="AB161" s="1511">
        <f t="shared" si="108"/>
        <v>0</v>
      </c>
      <c r="AC161" s="1511">
        <f t="shared" si="109"/>
        <v>21157.476977125087</v>
      </c>
      <c r="AD161" s="1556">
        <f t="shared" si="110"/>
        <v>-1444.6056832480281</v>
      </c>
      <c r="AE161" s="1506">
        <f t="shared" si="111"/>
        <v>0.57867655956862096</v>
      </c>
      <c r="AF161" s="1506">
        <f t="shared" si="112"/>
        <v>0.38578437304574731</v>
      </c>
      <c r="AG161" s="1506">
        <f t="shared" si="113"/>
        <v>3.5539067385631722E-2</v>
      </c>
      <c r="AH161" s="1506">
        <f t="shared" si="126"/>
        <v>0</v>
      </c>
      <c r="AI161" s="1506">
        <f t="shared" si="114"/>
        <v>0</v>
      </c>
      <c r="AJ161" s="1543">
        <f t="shared" si="115"/>
        <v>1</v>
      </c>
      <c r="AK161" s="1557">
        <f t="shared" si="116"/>
        <v>12243.335986275051</v>
      </c>
      <c r="AL161" s="1558">
        <f t="shared" si="117"/>
        <v>0</v>
      </c>
      <c r="AM161" s="1558">
        <f t="shared" si="118"/>
        <v>0</v>
      </c>
      <c r="AN161" s="1558">
        <f t="shared" si="119"/>
        <v>12243.335986275051</v>
      </c>
      <c r="AO161" s="1545">
        <f t="shared" si="120"/>
        <v>0</v>
      </c>
    </row>
    <row r="162" spans="1:41">
      <c r="A162" s="873">
        <f>'Input data'!A142</f>
        <v>2042</v>
      </c>
      <c r="B162" s="1553">
        <f>'Input data'!B142</f>
        <v>72.264673338395411</v>
      </c>
      <c r="C162" s="1552">
        <f>'Input data'!C142</f>
        <v>0</v>
      </c>
      <c r="D162" s="1554">
        <f>'Input data'!D142</f>
        <v>18797490.33653174</v>
      </c>
      <c r="E162" s="1510">
        <f>'Input data'!J142*C162</f>
        <v>0</v>
      </c>
      <c r="F162" s="1511">
        <f>'Input data'!L142</f>
        <v>18797.49033653174</v>
      </c>
      <c r="G162" s="1511">
        <f t="shared" si="132"/>
        <v>13687.941669523079</v>
      </c>
      <c r="H162" s="1511">
        <f t="shared" si="121"/>
        <v>3952.6056455306425</v>
      </c>
      <c r="I162" s="1513">
        <f t="shared" si="96"/>
        <v>18797.49033653174</v>
      </c>
      <c r="J162" s="1456">
        <f t="shared" si="131"/>
        <v>0.4</v>
      </c>
      <c r="K162" s="1514">
        <f t="shared" si="123"/>
        <v>6362.0531131346797</v>
      </c>
      <c r="L162" s="1514">
        <f t="shared" si="97"/>
        <v>0</v>
      </c>
      <c r="M162" s="1513">
        <f t="shared" si="124"/>
        <v>6362.0531131346797</v>
      </c>
      <c r="N162" s="1456">
        <f t="shared" si="130"/>
        <v>0.5</v>
      </c>
      <c r="O162" s="530">
        <f t="shared" si="98"/>
        <v>751.91700000000026</v>
      </c>
      <c r="P162" s="1483">
        <f t="shared" si="127"/>
        <v>7113.9701131346801</v>
      </c>
      <c r="Q162" s="1366">
        <f t="shared" si="99"/>
        <v>10526.577201919041</v>
      </c>
      <c r="R162" s="1366">
        <f t="shared" si="125"/>
        <v>-3161.3644676040385</v>
      </c>
      <c r="S162" s="1516">
        <f t="shared" si="100"/>
        <v>4.2044061613236909</v>
      </c>
      <c r="T162" s="135" t="str">
        <f t="shared" si="101"/>
        <v>No</v>
      </c>
      <c r="U162" s="1516">
        <f t="shared" si="102"/>
        <v>1</v>
      </c>
      <c r="V162" s="1541">
        <f t="shared" si="95"/>
        <v>19549.407336531742</v>
      </c>
      <c r="W162" s="1542">
        <f t="shared" si="103"/>
        <v>-4.0000924939362692E-2</v>
      </c>
      <c r="X162" s="527">
        <f t="shared" si="104"/>
        <v>11278.494201919044</v>
      </c>
      <c r="Y162" s="1511">
        <f t="shared" si="105"/>
        <v>7518.9961346126966</v>
      </c>
      <c r="Z162" s="1511">
        <f t="shared" si="106"/>
        <v>751.91700000000026</v>
      </c>
      <c r="AA162" s="1511">
        <f t="shared" si="107"/>
        <v>0</v>
      </c>
      <c r="AB162" s="1511">
        <f t="shared" si="108"/>
        <v>0</v>
      </c>
      <c r="AC162" s="1511">
        <f t="shared" si="109"/>
        <v>19549.407336531742</v>
      </c>
      <c r="AD162" s="1556">
        <f t="shared" si="110"/>
        <v>-2409.4474676040354</v>
      </c>
      <c r="AE162" s="1506">
        <f t="shared" si="111"/>
        <v>0.57692256382847262</v>
      </c>
      <c r="AF162" s="1506">
        <f t="shared" si="112"/>
        <v>0.3846150425523151</v>
      </c>
      <c r="AG162" s="1506">
        <f t="shared" si="113"/>
        <v>3.8462393619212283E-2</v>
      </c>
      <c r="AH162" s="1506">
        <f t="shared" si="126"/>
        <v>0</v>
      </c>
      <c r="AI162" s="1506">
        <f t="shared" si="114"/>
        <v>0</v>
      </c>
      <c r="AJ162" s="1543">
        <f t="shared" si="115"/>
        <v>1</v>
      </c>
      <c r="AK162" s="1557">
        <f t="shared" si="116"/>
        <v>11278.494201919042</v>
      </c>
      <c r="AL162" s="1558">
        <f t="shared" si="117"/>
        <v>0</v>
      </c>
      <c r="AM162" s="1558">
        <f t="shared" si="118"/>
        <v>0</v>
      </c>
      <c r="AN162" s="1558">
        <f t="shared" si="119"/>
        <v>11278.494201919042</v>
      </c>
      <c r="AO162" s="1545">
        <f t="shared" si="120"/>
        <v>0</v>
      </c>
    </row>
    <row r="163" spans="1:41">
      <c r="A163" s="873">
        <f>'Input data'!A143</f>
        <v>2043</v>
      </c>
      <c r="B163" s="1553">
        <f>'Input data'!B143</f>
        <v>72.713504131197794</v>
      </c>
      <c r="C163" s="1552">
        <f>'Input data'!C143</f>
        <v>0</v>
      </c>
      <c r="D163" s="1554">
        <f>'Input data'!D143</f>
        <v>17189420.695938386</v>
      </c>
      <c r="E163" s="1510">
        <f>'Input data'!J143*C163</f>
        <v>0</v>
      </c>
      <c r="F163" s="1511">
        <f>'Input data'!L143</f>
        <v>17189.420695938385</v>
      </c>
      <c r="G163" s="1511">
        <f t="shared" si="132"/>
        <v>13687.941669523079</v>
      </c>
      <c r="H163" s="1511">
        <f t="shared" si="121"/>
        <v>2443.5090548193511</v>
      </c>
      <c r="I163" s="1513">
        <f t="shared" si="96"/>
        <v>17189.420695938385</v>
      </c>
      <c r="J163" s="1456">
        <f t="shared" si="131"/>
        <v>0.4</v>
      </c>
      <c r="K163" s="1514">
        <f t="shared" si="123"/>
        <v>5817.7983067793994</v>
      </c>
      <c r="L163" s="1514">
        <f t="shared" si="97"/>
        <v>0</v>
      </c>
      <c r="M163" s="1513">
        <f t="shared" si="124"/>
        <v>5817.7983067793994</v>
      </c>
      <c r="N163" s="1456">
        <f t="shared" si="130"/>
        <v>0.5</v>
      </c>
      <c r="O163" s="530">
        <f t="shared" si="98"/>
        <v>751.91700000000026</v>
      </c>
      <c r="P163" s="1483">
        <f t="shared" si="127"/>
        <v>6569.7153067793997</v>
      </c>
      <c r="Q163" s="1366">
        <f t="shared" si="99"/>
        <v>9561.7354175630317</v>
      </c>
      <c r="R163" s="1366">
        <f t="shared" si="125"/>
        <v>-4126.2062519600477</v>
      </c>
      <c r="S163" s="1516">
        <f t="shared" si="100"/>
        <v>5.4875820761600691</v>
      </c>
      <c r="T163" s="135" t="str">
        <f t="shared" si="101"/>
        <v>No</v>
      </c>
      <c r="U163" s="1516">
        <f t="shared" si="102"/>
        <v>1</v>
      </c>
      <c r="V163" s="1541">
        <f t="shared" si="95"/>
        <v>17941.337695938386</v>
      </c>
      <c r="W163" s="1542">
        <f t="shared" si="103"/>
        <v>-4.3743009918750131E-2</v>
      </c>
      <c r="X163" s="527">
        <f t="shared" si="104"/>
        <v>10313.652417563031</v>
      </c>
      <c r="Y163" s="1511">
        <f t="shared" si="105"/>
        <v>6875.7682783753544</v>
      </c>
      <c r="Z163" s="1511">
        <f t="shared" si="106"/>
        <v>751.91700000000026</v>
      </c>
      <c r="AA163" s="1511">
        <f t="shared" si="107"/>
        <v>0</v>
      </c>
      <c r="AB163" s="1511">
        <f t="shared" si="108"/>
        <v>0</v>
      </c>
      <c r="AC163" s="1511">
        <f t="shared" si="109"/>
        <v>17941.337695938386</v>
      </c>
      <c r="AD163" s="1556">
        <f t="shared" si="110"/>
        <v>-3374.2892519600482</v>
      </c>
      <c r="AE163" s="1506">
        <f t="shared" si="111"/>
        <v>0.57485414924762646</v>
      </c>
      <c r="AF163" s="1506">
        <f t="shared" si="112"/>
        <v>0.38323609949841764</v>
      </c>
      <c r="AG163" s="1506">
        <f t="shared" si="113"/>
        <v>4.1909751253955914E-2</v>
      </c>
      <c r="AH163" s="1506">
        <f t="shared" si="126"/>
        <v>0</v>
      </c>
      <c r="AI163" s="1506">
        <f t="shared" si="114"/>
        <v>0</v>
      </c>
      <c r="AJ163" s="1543">
        <f t="shared" si="115"/>
        <v>1</v>
      </c>
      <c r="AK163" s="1557">
        <f t="shared" si="116"/>
        <v>10313.652417563031</v>
      </c>
      <c r="AL163" s="1558">
        <f t="shared" si="117"/>
        <v>0</v>
      </c>
      <c r="AM163" s="1558">
        <f t="shared" si="118"/>
        <v>0</v>
      </c>
      <c r="AN163" s="1558">
        <f t="shared" si="119"/>
        <v>10313.652417563031</v>
      </c>
      <c r="AO163" s="1545">
        <f t="shared" si="120"/>
        <v>0</v>
      </c>
    </row>
    <row r="164" spans="1:41">
      <c r="A164" s="873">
        <f>'Input data'!A144</f>
        <v>2044</v>
      </c>
      <c r="B164" s="1553">
        <f>'Input data'!B144</f>
        <v>73.165122580420132</v>
      </c>
      <c r="C164" s="1552">
        <f>'Input data'!C144</f>
        <v>0</v>
      </c>
      <c r="D164" s="1554">
        <f>'Input data'!D144</f>
        <v>15581351.055345042</v>
      </c>
      <c r="E164" s="1510">
        <f>'Input data'!J144*C164</f>
        <v>0</v>
      </c>
      <c r="F164" s="1511">
        <f>'Input data'!L144</f>
        <v>15581.351055345041</v>
      </c>
      <c r="G164" s="1511">
        <f t="shared" si="132"/>
        <v>13687.941669523079</v>
      </c>
      <c r="H164" s="1511">
        <f t="shared" si="121"/>
        <v>934.41246410806889</v>
      </c>
      <c r="I164" s="1513">
        <f t="shared" si="96"/>
        <v>15581.351055345041</v>
      </c>
      <c r="J164" s="1456">
        <f t="shared" si="131"/>
        <v>0.4</v>
      </c>
      <c r="K164" s="1514">
        <f t="shared" si="123"/>
        <v>5273.5435004241244</v>
      </c>
      <c r="L164" s="1514">
        <f t="shared" si="97"/>
        <v>0</v>
      </c>
      <c r="M164" s="1513">
        <f t="shared" si="124"/>
        <v>5273.5435004241244</v>
      </c>
      <c r="N164" s="1456">
        <f t="shared" si="130"/>
        <v>0.5</v>
      </c>
      <c r="O164" s="530">
        <f t="shared" si="98"/>
        <v>751.91700000000026</v>
      </c>
      <c r="P164" s="1483">
        <f t="shared" si="127"/>
        <v>6025.4605004241248</v>
      </c>
      <c r="Q164" s="1366">
        <f t="shared" si="99"/>
        <v>8596.8936332070225</v>
      </c>
      <c r="R164" s="1366">
        <f t="shared" si="125"/>
        <v>-5091.0480363160568</v>
      </c>
      <c r="S164" s="1516">
        <f t="shared" si="100"/>
        <v>6.7707579909964108</v>
      </c>
      <c r="T164" s="135" t="str">
        <f t="shared" si="101"/>
        <v>No</v>
      </c>
      <c r="U164" s="1516">
        <f t="shared" si="102"/>
        <v>1</v>
      </c>
      <c r="V164" s="1541">
        <f t="shared" si="95"/>
        <v>16333.268055345039</v>
      </c>
      <c r="W164" s="1542">
        <f t="shared" si="103"/>
        <v>-4.8257496883882922E-2</v>
      </c>
      <c r="X164" s="527">
        <f t="shared" si="104"/>
        <v>9348.8106332070238</v>
      </c>
      <c r="Y164" s="1511">
        <f t="shared" si="105"/>
        <v>6232.5404221380168</v>
      </c>
      <c r="Z164" s="1511">
        <f t="shared" si="106"/>
        <v>751.91700000000026</v>
      </c>
      <c r="AA164" s="1511">
        <f t="shared" si="107"/>
        <v>0</v>
      </c>
      <c r="AB164" s="1511">
        <f t="shared" si="108"/>
        <v>0</v>
      </c>
      <c r="AC164" s="1511">
        <f t="shared" si="109"/>
        <v>16333.268055345039</v>
      </c>
      <c r="AD164" s="1556">
        <f t="shared" si="110"/>
        <v>-4339.1310363160555</v>
      </c>
      <c r="AE164" s="1506">
        <f t="shared" si="111"/>
        <v>0.57237844879106348</v>
      </c>
      <c r="AF164" s="1506">
        <f t="shared" si="112"/>
        <v>0.38158563252737571</v>
      </c>
      <c r="AG164" s="1506">
        <f t="shared" si="113"/>
        <v>4.6035918681560879E-2</v>
      </c>
      <c r="AH164" s="1506">
        <f t="shared" si="126"/>
        <v>0</v>
      </c>
      <c r="AI164" s="1506">
        <f t="shared" si="114"/>
        <v>0</v>
      </c>
      <c r="AJ164" s="1543">
        <f t="shared" si="115"/>
        <v>1</v>
      </c>
      <c r="AK164" s="1557">
        <f t="shared" si="116"/>
        <v>9348.8106332070238</v>
      </c>
      <c r="AL164" s="1558">
        <f t="shared" si="117"/>
        <v>0</v>
      </c>
      <c r="AM164" s="1558">
        <f t="shared" si="118"/>
        <v>0</v>
      </c>
      <c r="AN164" s="1558">
        <f t="shared" si="119"/>
        <v>9348.8106332070238</v>
      </c>
      <c r="AO164" s="1545">
        <f t="shared" si="120"/>
        <v>0</v>
      </c>
    </row>
    <row r="165" spans="1:41">
      <c r="A165" s="873">
        <f>'Input data'!A145</f>
        <v>2045</v>
      </c>
      <c r="B165" s="1553">
        <f>'Input data'!B145</f>
        <v>73.619545999999971</v>
      </c>
      <c r="C165" s="1552">
        <f>'Input data'!C145</f>
        <v>0</v>
      </c>
      <c r="D165" s="1554">
        <f>'Input data'!D145</f>
        <v>13973281.414751694</v>
      </c>
      <c r="E165" s="1510">
        <f>'Input data'!J145*C165</f>
        <v>0</v>
      </c>
      <c r="F165" s="1511">
        <f>'Input data'!L145</f>
        <v>13973.281414751693</v>
      </c>
      <c r="G165" s="1511">
        <f t="shared" si="132"/>
        <v>13687.941669523079</v>
      </c>
      <c r="H165" s="1511">
        <f t="shared" si="121"/>
        <v>-574.68412660321701</v>
      </c>
      <c r="I165" s="1513">
        <f t="shared" si="96"/>
        <v>13973.281414751693</v>
      </c>
      <c r="J165" s="1456">
        <f t="shared" si="131"/>
        <v>0.4</v>
      </c>
      <c r="K165" s="1514">
        <f t="shared" si="123"/>
        <v>4729.2886940688468</v>
      </c>
      <c r="L165" s="1514">
        <f t="shared" si="97"/>
        <v>0</v>
      </c>
      <c r="M165" s="1513">
        <f t="shared" si="124"/>
        <v>4729.2886940688468</v>
      </c>
      <c r="N165" s="1456">
        <f t="shared" si="130"/>
        <v>0.5</v>
      </c>
      <c r="O165" s="530">
        <f t="shared" si="98"/>
        <v>751.91700000000026</v>
      </c>
      <c r="P165" s="1483">
        <f t="shared" si="127"/>
        <v>5481.2056940688472</v>
      </c>
      <c r="Q165" s="1366">
        <f t="shared" si="99"/>
        <v>7632.0518488510152</v>
      </c>
      <c r="R165" s="1366">
        <f t="shared" si="125"/>
        <v>-6055.8898206720642</v>
      </c>
      <c r="S165" s="1516">
        <f t="shared" si="100"/>
        <v>8.0539339058327819</v>
      </c>
      <c r="T165" s="135" t="str">
        <f t="shared" si="101"/>
        <v>No</v>
      </c>
      <c r="U165" s="1516">
        <f t="shared" si="102"/>
        <v>1</v>
      </c>
      <c r="V165" s="1541">
        <f t="shared" si="95"/>
        <v>14725.198414751691</v>
      </c>
      <c r="W165" s="1542">
        <f t="shared" si="103"/>
        <v>-5.3811053945152398E-2</v>
      </c>
      <c r="X165" s="527">
        <f t="shared" si="104"/>
        <v>8383.9688488510146</v>
      </c>
      <c r="Y165" s="1511">
        <f t="shared" si="105"/>
        <v>5589.3125659006773</v>
      </c>
      <c r="Z165" s="1511">
        <f t="shared" si="106"/>
        <v>751.91700000000026</v>
      </c>
      <c r="AA165" s="1511">
        <f t="shared" si="107"/>
        <v>0</v>
      </c>
      <c r="AB165" s="1511">
        <f t="shared" si="108"/>
        <v>0</v>
      </c>
      <c r="AC165" s="1511">
        <f t="shared" si="109"/>
        <v>14725.198414751691</v>
      </c>
      <c r="AD165" s="1556">
        <f t="shared" si="110"/>
        <v>-5303.9728206720647</v>
      </c>
      <c r="AE165" s="1506">
        <f t="shared" si="111"/>
        <v>0.56936202913584932</v>
      </c>
      <c r="AF165" s="1506">
        <f t="shared" si="112"/>
        <v>0.37957468609056627</v>
      </c>
      <c r="AG165" s="1506">
        <f t="shared" si="113"/>
        <v>5.1063284773584475E-2</v>
      </c>
      <c r="AH165" s="1506">
        <f t="shared" si="126"/>
        <v>0</v>
      </c>
      <c r="AI165" s="1506">
        <f t="shared" si="114"/>
        <v>0</v>
      </c>
      <c r="AJ165" s="1543">
        <f t="shared" si="115"/>
        <v>1.0000000000000002</v>
      </c>
      <c r="AK165" s="1557">
        <f t="shared" si="116"/>
        <v>8383.9688488510146</v>
      </c>
      <c r="AL165" s="1558">
        <f t="shared" si="117"/>
        <v>0</v>
      </c>
      <c r="AM165" s="1558">
        <f t="shared" si="118"/>
        <v>0</v>
      </c>
      <c r="AN165" s="1558">
        <f t="shared" si="119"/>
        <v>8383.9688488510146</v>
      </c>
      <c r="AO165" s="1545">
        <f t="shared" si="120"/>
        <v>0</v>
      </c>
    </row>
    <row r="166" spans="1:41">
      <c r="A166" s="873">
        <f>'Input data'!A146</f>
        <v>2046</v>
      </c>
      <c r="B166" s="1553">
        <f>'Input data'!B146</f>
        <v>73.995362001779526</v>
      </c>
      <c r="C166" s="1552">
        <f>'Input data'!C146</f>
        <v>0</v>
      </c>
      <c r="D166" s="1554">
        <f>'Input data'!D146</f>
        <v>11178944.368399095</v>
      </c>
      <c r="E166" s="1510">
        <f>'Input data'!J146*C166</f>
        <v>0</v>
      </c>
      <c r="F166" s="1511">
        <f>'Input data'!L146</f>
        <v>11178.944368399094</v>
      </c>
      <c r="G166" s="1511">
        <f t="shared" si="132"/>
        <v>13687.941669523079</v>
      </c>
      <c r="H166" s="1511">
        <f t="shared" si="121"/>
        <v>-3197.0360468801173</v>
      </c>
      <c r="I166" s="1513">
        <f t="shared" si="96"/>
        <v>11178.944368399094</v>
      </c>
      <c r="J166" s="1456">
        <f t="shared" si="131"/>
        <v>0.4</v>
      </c>
      <c r="K166" s="1514">
        <f t="shared" si="123"/>
        <v>3783.5390016035058</v>
      </c>
      <c r="L166" s="1514">
        <f t="shared" si="97"/>
        <v>0</v>
      </c>
      <c r="M166" s="1513">
        <f t="shared" si="124"/>
        <v>3783.5390016035058</v>
      </c>
      <c r="N166" s="1456">
        <f t="shared" si="130"/>
        <v>0.5</v>
      </c>
      <c r="O166" s="530">
        <f t="shared" si="98"/>
        <v>751.91700000000026</v>
      </c>
      <c r="P166" s="1483">
        <f t="shared" si="127"/>
        <v>4535.4560016035057</v>
      </c>
      <c r="Q166" s="1366">
        <f t="shared" si="99"/>
        <v>5955.4496210394564</v>
      </c>
      <c r="R166" s="1366">
        <f t="shared" si="125"/>
        <v>-7732.492048483623</v>
      </c>
      <c r="S166" s="1516">
        <f t="shared" si="100"/>
        <v>10.283704249915388</v>
      </c>
      <c r="T166" s="135" t="str">
        <f t="shared" si="101"/>
        <v>No</v>
      </c>
      <c r="U166" s="1516">
        <f t="shared" si="102"/>
        <v>1</v>
      </c>
      <c r="V166" s="1541">
        <f t="shared" si="95"/>
        <v>11930.861368399093</v>
      </c>
      <c r="W166" s="1542">
        <f t="shared" si="103"/>
        <v>-6.7261896581714442E-2</v>
      </c>
      <c r="X166" s="527">
        <f t="shared" si="104"/>
        <v>6707.3666210394558</v>
      </c>
      <c r="Y166" s="1511">
        <f t="shared" si="105"/>
        <v>4471.5777473596381</v>
      </c>
      <c r="Z166" s="1511">
        <f t="shared" si="106"/>
        <v>751.91700000000026</v>
      </c>
      <c r="AA166" s="1511">
        <f t="shared" si="107"/>
        <v>0</v>
      </c>
      <c r="AB166" s="1511">
        <f t="shared" si="108"/>
        <v>0</v>
      </c>
      <c r="AC166" s="1511">
        <f t="shared" si="109"/>
        <v>11930.861368399093</v>
      </c>
      <c r="AD166" s="1537">
        <f t="shared" si="110"/>
        <v>-6980.5750484836235</v>
      </c>
      <c r="AE166" s="1506">
        <f t="shared" si="111"/>
        <v>0.56218628428665274</v>
      </c>
      <c r="AF166" s="1506">
        <f t="shared" si="112"/>
        <v>0.37479085619110192</v>
      </c>
      <c r="AG166" s="1506">
        <f t="shared" si="113"/>
        <v>6.3022859522245372E-2</v>
      </c>
      <c r="AH166" s="1506">
        <f t="shared" si="126"/>
        <v>0</v>
      </c>
      <c r="AI166" s="1506">
        <f t="shared" si="114"/>
        <v>0</v>
      </c>
      <c r="AJ166" s="1543">
        <f t="shared" si="115"/>
        <v>1</v>
      </c>
      <c r="AK166" s="1557">
        <f t="shared" si="116"/>
        <v>6707.3666210394567</v>
      </c>
      <c r="AL166" s="1558">
        <f t="shared" si="117"/>
        <v>0</v>
      </c>
      <c r="AM166" s="1558">
        <f t="shared" si="118"/>
        <v>0</v>
      </c>
      <c r="AN166" s="1558">
        <f t="shared" si="119"/>
        <v>6707.3666210394567</v>
      </c>
      <c r="AO166" s="1545">
        <f t="shared" si="120"/>
        <v>0</v>
      </c>
    </row>
    <row r="167" spans="1:41">
      <c r="A167" s="873">
        <f>'Input data'!A147</f>
        <v>2047</v>
      </c>
      <c r="B167" s="1553">
        <f>'Input data'!B147</f>
        <v>74.373096484110363</v>
      </c>
      <c r="C167" s="1552">
        <f>'Input data'!C147</f>
        <v>0</v>
      </c>
      <c r="D167" s="1554">
        <f>'Input data'!D147</f>
        <v>8384607.3220464904</v>
      </c>
      <c r="E167" s="1510">
        <f>'Input data'!J147*C167</f>
        <v>0</v>
      </c>
      <c r="F167" s="1511">
        <f>'Input data'!L147</f>
        <v>8384.6073220464896</v>
      </c>
      <c r="G167" s="1511">
        <f t="shared" si="132"/>
        <v>13687.941669523079</v>
      </c>
      <c r="H167" s="1511">
        <f t="shared" si="121"/>
        <v>-5819.387967157023</v>
      </c>
      <c r="I167" s="1513">
        <f t="shared" si="96"/>
        <v>8384.6073220464896</v>
      </c>
      <c r="J167" s="1456">
        <f t="shared" si="131"/>
        <v>0.4</v>
      </c>
      <c r="K167" s="1514">
        <f t="shared" si="123"/>
        <v>2837.7893091381629</v>
      </c>
      <c r="L167" s="1514">
        <f t="shared" si="97"/>
        <v>0</v>
      </c>
      <c r="M167" s="1513">
        <f t="shared" si="124"/>
        <v>2837.7893091381629</v>
      </c>
      <c r="N167" s="1456">
        <f t="shared" si="130"/>
        <v>0.5</v>
      </c>
      <c r="O167" s="530">
        <f t="shared" si="98"/>
        <v>751.91700000000026</v>
      </c>
      <c r="P167" s="1483">
        <f t="shared" si="127"/>
        <v>3589.7063091381633</v>
      </c>
      <c r="Q167" s="1366">
        <f t="shared" si="99"/>
        <v>4278.847393227893</v>
      </c>
      <c r="R167" s="1366">
        <f t="shared" si="125"/>
        <v>-9409.0942762951854</v>
      </c>
      <c r="S167" s="1516">
        <f t="shared" si="100"/>
        <v>12.513474593997982</v>
      </c>
      <c r="T167" s="135" t="str">
        <f t="shared" si="101"/>
        <v>No</v>
      </c>
      <c r="U167" s="1516">
        <f t="shared" si="102"/>
        <v>1</v>
      </c>
      <c r="V167" s="1541">
        <f t="shared" si="95"/>
        <v>9136.524322046489</v>
      </c>
      <c r="W167" s="1542">
        <f t="shared" si="103"/>
        <v>-8.9678260545715593E-2</v>
      </c>
      <c r="X167" s="527">
        <f t="shared" si="104"/>
        <v>5030.7643932278934</v>
      </c>
      <c r="Y167" s="1511">
        <f t="shared" si="105"/>
        <v>3353.8429288185962</v>
      </c>
      <c r="Z167" s="1511">
        <f t="shared" si="106"/>
        <v>751.91700000000026</v>
      </c>
      <c r="AA167" s="1511">
        <f t="shared" si="107"/>
        <v>0</v>
      </c>
      <c r="AB167" s="1511">
        <f t="shared" si="108"/>
        <v>0</v>
      </c>
      <c r="AC167" s="1511">
        <f t="shared" si="109"/>
        <v>9136.524322046489</v>
      </c>
      <c r="AD167" s="1537">
        <f t="shared" si="110"/>
        <v>-8657.1772762951859</v>
      </c>
      <c r="AE167" s="1506">
        <f t="shared" si="111"/>
        <v>0.5506212445676556</v>
      </c>
      <c r="AF167" s="1506">
        <f t="shared" si="112"/>
        <v>0.36708082971177047</v>
      </c>
      <c r="AG167" s="1506">
        <f t="shared" si="113"/>
        <v>8.2297925720574067E-2</v>
      </c>
      <c r="AH167" s="1506">
        <f t="shared" si="126"/>
        <v>0</v>
      </c>
      <c r="AI167" s="1506">
        <f t="shared" si="114"/>
        <v>0</v>
      </c>
      <c r="AJ167" s="1543">
        <f t="shared" si="115"/>
        <v>1.0000000000000002</v>
      </c>
      <c r="AK167" s="1557">
        <f t="shared" si="116"/>
        <v>5030.7643932278934</v>
      </c>
      <c r="AL167" s="1558">
        <f t="shared" si="117"/>
        <v>0</v>
      </c>
      <c r="AM167" s="1558">
        <f t="shared" si="118"/>
        <v>0</v>
      </c>
      <c r="AN167" s="1558">
        <f t="shared" si="119"/>
        <v>5030.7643932278934</v>
      </c>
      <c r="AO167" s="1545">
        <f t="shared" si="120"/>
        <v>0</v>
      </c>
    </row>
    <row r="168" spans="1:41">
      <c r="A168" s="873">
        <f>'Input data'!A148</f>
        <v>2048</v>
      </c>
      <c r="B168" s="1553">
        <f>'Input data'!B148</f>
        <v>74.752759240528661</v>
      </c>
      <c r="C168" s="1552">
        <f>'Input data'!C148</f>
        <v>0</v>
      </c>
      <c r="D168" s="1554">
        <f>'Input data'!D148</f>
        <v>5590270.2756938878</v>
      </c>
      <c r="E168" s="1510">
        <f>'Input data'!J148*C168</f>
        <v>0</v>
      </c>
      <c r="F168" s="1511">
        <f>'Input data'!L148</f>
        <v>5590.2702756938879</v>
      </c>
      <c r="G168" s="1511">
        <f t="shared" si="132"/>
        <v>13687.941669523079</v>
      </c>
      <c r="H168" s="1511">
        <f t="shared" si="121"/>
        <v>-8441.7398874339269</v>
      </c>
      <c r="I168" s="1513">
        <f t="shared" si="96"/>
        <v>5590.2702756938879</v>
      </c>
      <c r="J168" s="1456">
        <f t="shared" si="131"/>
        <v>0.4</v>
      </c>
      <c r="K168" s="1514">
        <f t="shared" si="123"/>
        <v>1892.0396166728203</v>
      </c>
      <c r="L168" s="1514">
        <f t="shared" si="97"/>
        <v>0</v>
      </c>
      <c r="M168" s="1513">
        <f t="shared" si="124"/>
        <v>1892.0396166728203</v>
      </c>
      <c r="N168" s="1456">
        <f t="shared" si="130"/>
        <v>0.5</v>
      </c>
      <c r="O168" s="530">
        <f t="shared" si="98"/>
        <v>751.91700000000026</v>
      </c>
      <c r="P168" s="1483">
        <f t="shared" si="127"/>
        <v>2643.9566166728205</v>
      </c>
      <c r="Q168" s="1366">
        <f t="shared" si="99"/>
        <v>2602.2451654163328</v>
      </c>
      <c r="R168" s="1366">
        <f t="shared" si="125"/>
        <v>-11085.696504106747</v>
      </c>
      <c r="S168" s="1516">
        <f t="shared" si="100"/>
        <v>14.743244938080597</v>
      </c>
      <c r="T168" s="135" t="str">
        <f t="shared" si="101"/>
        <v>No</v>
      </c>
      <c r="U168" s="1516">
        <f t="shared" si="102"/>
        <v>1</v>
      </c>
      <c r="V168" s="1541">
        <f t="shared" si="95"/>
        <v>6342.1872756938883</v>
      </c>
      <c r="W168" s="1542">
        <f t="shared" si="103"/>
        <v>-0.13450458795691578</v>
      </c>
      <c r="X168" s="527">
        <f t="shared" si="104"/>
        <v>3354.1621654163328</v>
      </c>
      <c r="Y168" s="1511">
        <f t="shared" si="105"/>
        <v>2236.1081102775552</v>
      </c>
      <c r="Z168" s="1511">
        <f t="shared" si="106"/>
        <v>751.91700000000026</v>
      </c>
      <c r="AA168" s="1511">
        <f t="shared" si="107"/>
        <v>0</v>
      </c>
      <c r="AB168" s="1511">
        <f t="shared" si="108"/>
        <v>0</v>
      </c>
      <c r="AC168" s="1511">
        <f t="shared" si="109"/>
        <v>6342.1872756938883</v>
      </c>
      <c r="AD168" s="1537">
        <f t="shared" si="110"/>
        <v>-10333.779504106747</v>
      </c>
      <c r="AE168" s="1506">
        <f t="shared" si="111"/>
        <v>0.52886520369257928</v>
      </c>
      <c r="AF168" s="1506">
        <f t="shared" si="112"/>
        <v>0.35257680246171952</v>
      </c>
      <c r="AG168" s="1506">
        <f t="shared" si="113"/>
        <v>0.11855799384570116</v>
      </c>
      <c r="AH168" s="1506">
        <f t="shared" si="126"/>
        <v>0</v>
      </c>
      <c r="AI168" s="1506">
        <f t="shared" si="114"/>
        <v>0</v>
      </c>
      <c r="AJ168" s="1543">
        <f t="shared" si="115"/>
        <v>1</v>
      </c>
      <c r="AK168" s="1557">
        <f t="shared" si="116"/>
        <v>3354.1621654163328</v>
      </c>
      <c r="AL168" s="1558">
        <f t="shared" si="117"/>
        <v>0</v>
      </c>
      <c r="AM168" s="1558">
        <f t="shared" si="118"/>
        <v>0</v>
      </c>
      <c r="AN168" s="1558">
        <f t="shared" si="119"/>
        <v>3354.1621654163328</v>
      </c>
      <c r="AO168" s="1545">
        <f t="shared" si="120"/>
        <v>0</v>
      </c>
    </row>
    <row r="169" spans="1:41">
      <c r="A169" s="127">
        <f>'Input data'!A149</f>
        <v>2049</v>
      </c>
      <c r="B169" s="662">
        <f>'Input data'!B149</f>
        <v>75.134360114565098</v>
      </c>
      <c r="C169" s="236">
        <f>'Input data'!C149</f>
        <v>0</v>
      </c>
      <c r="D169" s="237">
        <f>'Input data'!D149</f>
        <v>2795933.2293412867</v>
      </c>
      <c r="E169" s="527">
        <f>'Input data'!J149*C169</f>
        <v>0</v>
      </c>
      <c r="F169" s="528">
        <f>'Input data'!L149</f>
        <v>2795.9332293412867</v>
      </c>
      <c r="G169" s="528">
        <f t="shared" si="132"/>
        <v>13687.941669523079</v>
      </c>
      <c r="H169" s="1511">
        <f t="shared" si="121"/>
        <v>-11064.091807710829</v>
      </c>
      <c r="I169" s="1513">
        <f t="shared" si="96"/>
        <v>2795.9332293412867</v>
      </c>
      <c r="J169" s="649">
        <f t="shared" si="131"/>
        <v>0.4</v>
      </c>
      <c r="K169" s="1514">
        <f t="shared" si="123"/>
        <v>946.28992420747863</v>
      </c>
      <c r="L169" s="1514">
        <f t="shared" si="97"/>
        <v>0</v>
      </c>
      <c r="M169" s="1513">
        <f t="shared" si="124"/>
        <v>946.28992420747863</v>
      </c>
      <c r="N169" s="649">
        <f t="shared" si="130"/>
        <v>0.5</v>
      </c>
      <c r="O169" s="530">
        <f t="shared" si="98"/>
        <v>751.91700000000026</v>
      </c>
      <c r="P169" s="1483">
        <f t="shared" si="127"/>
        <v>1698.206924207479</v>
      </c>
      <c r="Q169" s="1366">
        <f t="shared" si="99"/>
        <v>925.6429376047713</v>
      </c>
      <c r="R169" s="1366">
        <f t="shared" si="125"/>
        <v>-12762.298731918308</v>
      </c>
      <c r="S169" s="1516">
        <f t="shared" si="100"/>
        <v>16.973015282163189</v>
      </c>
      <c r="T169" s="135" t="str">
        <f t="shared" si="101"/>
        <v>No</v>
      </c>
      <c r="U169" s="1516">
        <f t="shared" si="102"/>
        <v>1</v>
      </c>
      <c r="V169" s="1541">
        <f t="shared" si="95"/>
        <v>3547.8502293412871</v>
      </c>
      <c r="W169" s="1542">
        <f t="shared" si="103"/>
        <v>-0.2689323879802199</v>
      </c>
      <c r="X169" s="527">
        <f t="shared" si="104"/>
        <v>1677.5599376047719</v>
      </c>
      <c r="Y169" s="1511">
        <f t="shared" si="105"/>
        <v>1118.3732917365148</v>
      </c>
      <c r="Z169" s="1511">
        <f t="shared" si="106"/>
        <v>751.91700000000026</v>
      </c>
      <c r="AA169" s="1511">
        <f t="shared" si="107"/>
        <v>0</v>
      </c>
      <c r="AB169" s="1511">
        <f t="shared" si="108"/>
        <v>0</v>
      </c>
      <c r="AC169" s="1511">
        <f t="shared" si="109"/>
        <v>3547.8502293412871</v>
      </c>
      <c r="AD169" s="1537">
        <f t="shared" si="110"/>
        <v>-12010.381731918307</v>
      </c>
      <c r="AE169" s="1506">
        <f t="shared" si="111"/>
        <v>0.47283843149045124</v>
      </c>
      <c r="AF169" s="1506">
        <f t="shared" si="112"/>
        <v>0.31522562099363421</v>
      </c>
      <c r="AG169" s="1506">
        <f t="shared" si="113"/>
        <v>0.21193594751591449</v>
      </c>
      <c r="AH169" s="1506">
        <f t="shared" si="126"/>
        <v>0</v>
      </c>
      <c r="AI169" s="1506">
        <f t="shared" si="114"/>
        <v>0</v>
      </c>
      <c r="AJ169" s="1543">
        <f t="shared" si="115"/>
        <v>0.99999999999999989</v>
      </c>
      <c r="AK169" s="1557">
        <f t="shared" si="116"/>
        <v>1677.5599376047717</v>
      </c>
      <c r="AL169" s="1558">
        <f t="shared" si="117"/>
        <v>0</v>
      </c>
      <c r="AM169" s="1558">
        <f t="shared" si="118"/>
        <v>0</v>
      </c>
      <c r="AN169" s="1558">
        <f t="shared" si="119"/>
        <v>1677.5599376047717</v>
      </c>
      <c r="AO169" s="1545">
        <f t="shared" si="120"/>
        <v>0</v>
      </c>
    </row>
    <row r="170" spans="1:41" ht="15.75" thickBot="1">
      <c r="A170" s="172">
        <f>'Input data'!A150</f>
        <v>2050</v>
      </c>
      <c r="B170" s="664">
        <f>'Input data'!B150</f>
        <v>75.517908999999989</v>
      </c>
      <c r="C170" s="239">
        <f>'Input data'!C150</f>
        <v>0</v>
      </c>
      <c r="D170" s="240">
        <f>'Input data'!D150</f>
        <v>1596.1829886855978</v>
      </c>
      <c r="E170" s="670">
        <f>'Input data'!J150*C170</f>
        <v>0</v>
      </c>
      <c r="F170" s="667">
        <f>'Input data'!L150</f>
        <v>1.5961829886855978</v>
      </c>
      <c r="G170" s="667">
        <f t="shared" si="132"/>
        <v>13687.941669523079</v>
      </c>
      <c r="H170" s="667">
        <f t="shared" si="121"/>
        <v>-13686.443727987731</v>
      </c>
      <c r="I170" s="659">
        <f t="shared" si="96"/>
        <v>1.5961829886855978</v>
      </c>
      <c r="J170" s="650">
        <f t="shared" si="131"/>
        <v>0.4</v>
      </c>
      <c r="K170" s="1520">
        <f t="shared" si="123"/>
        <v>0.54023174213656699</v>
      </c>
      <c r="L170" s="1520">
        <f t="shared" si="97"/>
        <v>0</v>
      </c>
      <c r="M170" s="1522">
        <f t="shared" si="124"/>
        <v>0.54023174213656699</v>
      </c>
      <c r="N170" s="650">
        <f t="shared" si="130"/>
        <v>0.5</v>
      </c>
      <c r="O170" s="659">
        <f t="shared" si="98"/>
        <v>751.91700000000026</v>
      </c>
      <c r="P170" s="1484">
        <f t="shared" si="127"/>
        <v>752.45723174213686</v>
      </c>
      <c r="Q170" s="1487">
        <f t="shared" si="99"/>
        <v>-750.95929020678898</v>
      </c>
      <c r="R170" s="1487">
        <f t="shared" si="125"/>
        <v>-14438.900959729868</v>
      </c>
      <c r="S170" s="1525">
        <f t="shared" si="100"/>
        <v>19.202785626245799</v>
      </c>
      <c r="T170" s="1105" t="str">
        <f t="shared" si="101"/>
        <v>No</v>
      </c>
      <c r="U170" s="1525">
        <f t="shared" si="102"/>
        <v>1</v>
      </c>
      <c r="V170" s="1546">
        <f t="shared" si="95"/>
        <v>753.5131829886858</v>
      </c>
      <c r="W170" s="1547">
        <f t="shared" si="103"/>
        <v>-471.07192930252825</v>
      </c>
      <c r="X170" s="670">
        <f t="shared" si="104"/>
        <v>0.95770979321135863</v>
      </c>
      <c r="Y170" s="1520">
        <f t="shared" si="105"/>
        <v>0.6384731954742392</v>
      </c>
      <c r="Z170" s="1520">
        <f t="shared" si="106"/>
        <v>751.91700000000026</v>
      </c>
      <c r="AA170" s="1520">
        <f t="shared" si="107"/>
        <v>0</v>
      </c>
      <c r="AB170" s="1520">
        <f t="shared" si="108"/>
        <v>0</v>
      </c>
      <c r="AC170" s="1520">
        <f t="shared" si="109"/>
        <v>753.5131829886858</v>
      </c>
      <c r="AD170" s="1548">
        <f t="shared" si="110"/>
        <v>-13686.983959729869</v>
      </c>
      <c r="AE170" s="1523">
        <f t="shared" si="111"/>
        <v>1.2709927508006704E-3</v>
      </c>
      <c r="AF170" s="1523">
        <f t="shared" si="112"/>
        <v>8.4732850053378039E-4</v>
      </c>
      <c r="AG170" s="1523">
        <f t="shared" si="113"/>
        <v>0.99788167874866562</v>
      </c>
      <c r="AH170" s="1523">
        <f t="shared" si="126"/>
        <v>0</v>
      </c>
      <c r="AI170" s="1523">
        <f>AB170/AC170</f>
        <v>0</v>
      </c>
      <c r="AJ170" s="1549">
        <f t="shared" si="115"/>
        <v>1</v>
      </c>
      <c r="AK170" s="1641">
        <f t="shared" si="116"/>
        <v>0.95770979321135852</v>
      </c>
      <c r="AL170" s="1642">
        <f t="shared" si="117"/>
        <v>0</v>
      </c>
      <c r="AM170" s="1642">
        <f t="shared" si="118"/>
        <v>0</v>
      </c>
      <c r="AN170" s="1642">
        <f t="shared" si="119"/>
        <v>0.95770979321135852</v>
      </c>
      <c r="AO170" s="1550">
        <f t="shared" si="120"/>
        <v>0</v>
      </c>
    </row>
    <row r="172" spans="1:41" ht="23.25">
      <c r="A172" s="686" t="s">
        <v>653</v>
      </c>
    </row>
    <row r="173" spans="1:41" ht="24" thickBot="1">
      <c r="A173" s="686"/>
    </row>
    <row r="174" spans="1:41" ht="21.6" customHeight="1" thickBot="1">
      <c r="A174" s="1874" t="s">
        <v>602</v>
      </c>
      <c r="B174" s="1875"/>
      <c r="C174" s="1875"/>
      <c r="D174" s="1876"/>
      <c r="E174" s="1923" t="s">
        <v>603</v>
      </c>
      <c r="F174" s="1924"/>
      <c r="G174" s="1924"/>
      <c r="H174" s="1924"/>
      <c r="I174" s="1925"/>
      <c r="J174" s="1824" t="s">
        <v>604</v>
      </c>
      <c r="K174" s="1824"/>
      <c r="L174" s="1825"/>
      <c r="M174" s="1826" t="s">
        <v>764</v>
      </c>
      <c r="N174" s="1809" t="s">
        <v>607</v>
      </c>
      <c r="O174" s="1898"/>
      <c r="P174" s="1896" t="s">
        <v>594</v>
      </c>
      <c r="Q174" s="1815" t="s">
        <v>772</v>
      </c>
      <c r="R174" s="1815" t="s">
        <v>775</v>
      </c>
      <c r="S174" s="1815" t="s">
        <v>774</v>
      </c>
      <c r="T174" s="1839" t="s">
        <v>776</v>
      </c>
      <c r="U174" s="1837" t="s">
        <v>777</v>
      </c>
      <c r="V174" s="1813" t="s">
        <v>767</v>
      </c>
      <c r="W174" s="1835" t="s">
        <v>768</v>
      </c>
      <c r="X174" s="1930" t="s">
        <v>592</v>
      </c>
      <c r="Y174" s="1847"/>
      <c r="Z174" s="1847"/>
      <c r="AA174" s="1847"/>
      <c r="AB174" s="1847"/>
      <c r="AC174" s="1847"/>
      <c r="AD174" s="1847"/>
      <c r="AE174" s="1847"/>
      <c r="AF174" s="1847"/>
      <c r="AG174" s="1847"/>
      <c r="AH174" s="1847"/>
      <c r="AI174" s="1847"/>
      <c r="AJ174" s="1847"/>
      <c r="AK174" s="1914" t="s">
        <v>730</v>
      </c>
      <c r="AL174" s="1915"/>
      <c r="AM174" s="1915"/>
      <c r="AN174" s="1915"/>
      <c r="AO174" s="1916"/>
    </row>
    <row r="175" spans="1:41" ht="43.15" customHeight="1">
      <c r="A175" s="1869" t="s">
        <v>217</v>
      </c>
      <c r="B175" s="703" t="s">
        <v>218</v>
      </c>
      <c r="C175" s="703" t="s">
        <v>390</v>
      </c>
      <c r="D175" s="1564" t="s">
        <v>630</v>
      </c>
      <c r="E175" s="704" t="s">
        <v>786</v>
      </c>
      <c r="F175" s="704" t="s">
        <v>787</v>
      </c>
      <c r="G175" s="704" t="s">
        <v>771</v>
      </c>
      <c r="H175" s="704" t="s">
        <v>597</v>
      </c>
      <c r="I175" s="705" t="s">
        <v>626</v>
      </c>
      <c r="J175" s="1463" t="s">
        <v>326</v>
      </c>
      <c r="K175" s="1463" t="s">
        <v>765</v>
      </c>
      <c r="L175" s="706" t="s">
        <v>766</v>
      </c>
      <c r="M175" s="1827"/>
      <c r="N175" s="508" t="s">
        <v>605</v>
      </c>
      <c r="O175" s="559" t="s">
        <v>606</v>
      </c>
      <c r="P175" s="1897"/>
      <c r="Q175" s="1816"/>
      <c r="R175" s="1816"/>
      <c r="S175" s="1816"/>
      <c r="T175" s="1840"/>
      <c r="U175" s="1838"/>
      <c r="V175" s="1814"/>
      <c r="W175" s="1836"/>
      <c r="X175" s="1466" t="s">
        <v>473</v>
      </c>
      <c r="Y175" s="1467" t="s">
        <v>489</v>
      </c>
      <c r="Z175" s="1638" t="s">
        <v>814</v>
      </c>
      <c r="AA175" s="1467" t="s">
        <v>377</v>
      </c>
      <c r="AB175" s="1467" t="s">
        <v>477</v>
      </c>
      <c r="AC175" s="1467" t="s">
        <v>225</v>
      </c>
      <c r="AD175" s="713" t="s">
        <v>617</v>
      </c>
      <c r="AE175" s="1092" t="s">
        <v>473</v>
      </c>
      <c r="AF175" s="1467" t="s">
        <v>489</v>
      </c>
      <c r="AG175" s="1638" t="s">
        <v>814</v>
      </c>
      <c r="AH175" s="1467" t="s">
        <v>377</v>
      </c>
      <c r="AI175" s="1467" t="s">
        <v>477</v>
      </c>
      <c r="AJ175" s="718" t="s">
        <v>225</v>
      </c>
      <c r="AK175" s="189" t="s">
        <v>731</v>
      </c>
      <c r="AL175" s="712" t="s">
        <v>493</v>
      </c>
      <c r="AM175" s="712" t="s">
        <v>732</v>
      </c>
      <c r="AN175" s="712" t="s">
        <v>225</v>
      </c>
      <c r="AO175" s="1185" t="s">
        <v>617</v>
      </c>
    </row>
    <row r="176" spans="1:41" ht="36.6" customHeight="1" thickBot="1">
      <c r="A176" s="1870"/>
      <c r="B176" s="458" t="s">
        <v>232</v>
      </c>
      <c r="C176" s="459" t="s">
        <v>482</v>
      </c>
      <c r="D176" s="477" t="s">
        <v>480</v>
      </c>
      <c r="E176" s="1563" t="s">
        <v>228</v>
      </c>
      <c r="F176" s="1560" t="s">
        <v>228</v>
      </c>
      <c r="G176" s="1560" t="s">
        <v>228</v>
      </c>
      <c r="H176" s="1561" t="str">
        <f>G176</f>
        <v>Gg</v>
      </c>
      <c r="I176" s="1562" t="s">
        <v>228</v>
      </c>
      <c r="J176" s="707" t="s">
        <v>229</v>
      </c>
      <c r="K176" s="1114" t="s">
        <v>228</v>
      </c>
      <c r="L176" s="1114" t="s">
        <v>228</v>
      </c>
      <c r="M176" s="1114" t="s">
        <v>228</v>
      </c>
      <c r="N176" s="688" t="s">
        <v>229</v>
      </c>
      <c r="O176" s="690" t="s">
        <v>228</v>
      </c>
      <c r="P176" s="1115" t="s">
        <v>228</v>
      </c>
      <c r="Q176" s="1116" t="s">
        <v>228</v>
      </c>
      <c r="R176" s="1116" t="s">
        <v>228</v>
      </c>
      <c r="S176" s="1117" t="s">
        <v>28</v>
      </c>
      <c r="T176" s="1840"/>
      <c r="U176" s="1117" t="s">
        <v>28</v>
      </c>
      <c r="V176" s="1116" t="s">
        <v>228</v>
      </c>
      <c r="W176" s="1498" t="s">
        <v>28</v>
      </c>
      <c r="X176" s="191" t="s">
        <v>228</v>
      </c>
      <c r="Y176" s="1095" t="s">
        <v>228</v>
      </c>
      <c r="Z176" s="1095" t="s">
        <v>228</v>
      </c>
      <c r="AA176" s="1095" t="s">
        <v>228</v>
      </c>
      <c r="AB176" s="1095" t="s">
        <v>228</v>
      </c>
      <c r="AC176" s="1095" t="s">
        <v>228</v>
      </c>
      <c r="AD176" s="1096" t="s">
        <v>769</v>
      </c>
      <c r="AE176" s="1093" t="s">
        <v>229</v>
      </c>
      <c r="AF176" s="711" t="s">
        <v>229</v>
      </c>
      <c r="AG176" s="711" t="s">
        <v>229</v>
      </c>
      <c r="AH176" s="711" t="s">
        <v>229</v>
      </c>
      <c r="AI176" s="711" t="s">
        <v>229</v>
      </c>
      <c r="AJ176" s="1178" t="s">
        <v>229</v>
      </c>
      <c r="AK176" s="191" t="s">
        <v>228</v>
      </c>
      <c r="AL176" s="1095" t="s">
        <v>228</v>
      </c>
      <c r="AM176" s="1095" t="s">
        <v>228</v>
      </c>
      <c r="AN176" s="1095" t="s">
        <v>228</v>
      </c>
      <c r="AO176" s="1096" t="s">
        <v>590</v>
      </c>
    </row>
    <row r="177" spans="1:41">
      <c r="A177" s="100">
        <f>'Input data'!A117</f>
        <v>2017</v>
      </c>
      <c r="B177" s="1508">
        <f>'Input data'!B117</f>
        <v>56.521948041648095</v>
      </c>
      <c r="C177" s="1509">
        <f>'Input data'!C117</f>
        <v>3107.1496601967842</v>
      </c>
      <c r="D177" s="1509">
        <f>'Input data'!E117</f>
        <v>49995051</v>
      </c>
      <c r="E177" s="1510">
        <f>'Input data'!J117*C177</f>
        <v>37506.923384615395</v>
      </c>
      <c r="F177" s="1511">
        <f>'Input data'!L117</f>
        <v>87501.974384615402</v>
      </c>
      <c r="G177" s="1512">
        <f>F177*B11</f>
        <v>68439.708347615408</v>
      </c>
      <c r="H177" s="1515">
        <f t="shared" ref="H177" si="133">E177*$B$12+I177*$E$80-G177</f>
        <v>0</v>
      </c>
      <c r="I177" s="1513">
        <f>D177/1000</f>
        <v>49995.050999999999</v>
      </c>
      <c r="J177" s="1506">
        <f>H17</f>
        <v>6.154773859516615E-2</v>
      </c>
      <c r="K177" s="1503">
        <f>(I177)*J177-(I177)*$J$137</f>
        <v>0</v>
      </c>
      <c r="L177" s="1503">
        <f>(E177)*$C$12*$G$12-(E177)*$C$12*$G$12</f>
        <v>0</v>
      </c>
      <c r="M177" s="1505">
        <f>L177+K177</f>
        <v>0</v>
      </c>
      <c r="N177" s="1455">
        <v>0</v>
      </c>
      <c r="O177" s="1505">
        <f>N177*$E$177*($C$85)*$B$12</f>
        <v>0</v>
      </c>
      <c r="P177" s="1482">
        <f>O177+M177</f>
        <v>0</v>
      </c>
      <c r="Q177" s="1486">
        <f>E177*$B$12+(1-$J$137)*I177-P177</f>
        <v>68439.708347615408</v>
      </c>
      <c r="R177" s="1486">
        <f>Q177-G177</f>
        <v>0</v>
      </c>
      <c r="S177" s="1507">
        <f>R177/(Q177-I177*(1-J177))</f>
        <v>0</v>
      </c>
      <c r="T177" s="1491" t="str">
        <f>IF(AND(S177&gt;=0,S177&lt;=1),"Yes","No")</f>
        <v>Yes</v>
      </c>
      <c r="U177" s="1119">
        <f>IF(S177&lt;=0,0,IF(S177&gt;=1,1,S177))</f>
        <v>0</v>
      </c>
      <c r="V177" s="1495">
        <f>AC177</f>
        <v>87501.974384615402</v>
      </c>
      <c r="W177" s="1492">
        <f t="shared" ref="W177:W210" si="134">(1-V177/F177)</f>
        <v>0</v>
      </c>
      <c r="X177" s="527">
        <f>(E177*$B$12-O177-L177)*(1-U177)+I177*(1-J177)</f>
        <v>68439.708347615408</v>
      </c>
      <c r="Y177" s="1503">
        <f>I177*J177+E177*$G$12*$C$12</f>
        <v>6080.5670370000007</v>
      </c>
      <c r="Z177" s="1533">
        <f>($C$12*$H$12*E177+O177)</f>
        <v>1694.9190000000001</v>
      </c>
      <c r="AA177" s="1533">
        <f>$F$137*$D$11</f>
        <v>0</v>
      </c>
      <c r="AB177" s="1533">
        <f>E177*$E$12</f>
        <v>11286.78</v>
      </c>
      <c r="AC177" s="1533">
        <f>SUM(X177:AB177)</f>
        <v>87501.974384615402</v>
      </c>
      <c r="AD177" s="1489">
        <f>X177-G177</f>
        <v>0</v>
      </c>
      <c r="AE177" s="708">
        <f>X177/AC177</f>
        <v>0.7821504466492184</v>
      </c>
      <c r="AF177" s="647">
        <f>Y177/AC177</f>
        <v>6.9490626694579893E-2</v>
      </c>
      <c r="AG177" s="647">
        <f>Z177/AC177</f>
        <v>1.9370065783315637E-2</v>
      </c>
      <c r="AH177" s="647">
        <f>AA177/AC177</f>
        <v>0</v>
      </c>
      <c r="AI177" s="647">
        <f>AB177/AC177</f>
        <v>0.12898886087288611</v>
      </c>
      <c r="AJ177" s="647">
        <f>SUM(AE177:AI177)</f>
        <v>1</v>
      </c>
      <c r="AK177" s="1499">
        <f>I177*(1-$J$177)-K177</f>
        <v>46917.968670000002</v>
      </c>
      <c r="AL177" s="1500">
        <f>(E177*$C$86*$B$12-L177)*(1-U177)</f>
        <v>20017.905677615392</v>
      </c>
      <c r="AM177" s="1500">
        <f>(E177*($C$85)*$B$12-O177)*(1-U177)</f>
        <v>1503.8340000000005</v>
      </c>
      <c r="AN177" s="1500">
        <f>SUM(AK177:AM177)</f>
        <v>68439.708347615393</v>
      </c>
      <c r="AO177" s="1186">
        <f>AN177-X177</f>
        <v>0</v>
      </c>
    </row>
    <row r="178" spans="1:41">
      <c r="A178" s="100">
        <f>'Input data'!A118</f>
        <v>2018</v>
      </c>
      <c r="B178" s="1508">
        <f>'Input data'!B118</f>
        <v>57.436000617299655</v>
      </c>
      <c r="C178" s="1509">
        <f>'Input data'!C118</f>
        <v>3150.6223338999603</v>
      </c>
      <c r="D178" s="1509">
        <f>'Input data'!E118</f>
        <v>50343843.445756853</v>
      </c>
      <c r="E178" s="1510">
        <f>'Input data'!J118*C178</f>
        <v>38031.689302008039</v>
      </c>
      <c r="F178" s="1511">
        <f>'Input data'!L118</f>
        <v>88375.532747764897</v>
      </c>
      <c r="G178" s="1512">
        <f>G177*0.94</f>
        <v>64333.325846758482</v>
      </c>
      <c r="H178" s="1511">
        <f>E178*$B$12+I178*$E$80-G178</f>
        <v>4734.8219799348735</v>
      </c>
      <c r="I178" s="1513">
        <f t="shared" ref="I178:I210" si="135">D178/1000</f>
        <v>50343.843445756851</v>
      </c>
      <c r="J178" s="1456">
        <f>($J$190-$J$177)/($A$190-$A$177)+J177</f>
        <v>8.7582527933999524E-2</v>
      </c>
      <c r="K178" s="1514">
        <f>(I178)*J178-(I178)*$J$137</f>
        <v>1310.6913586174865</v>
      </c>
      <c r="L178" s="1514">
        <f t="shared" ref="L178:L210" si="136">(E178)*$C$12*$G$12-(E178)*$C$12*$G$12</f>
        <v>0</v>
      </c>
      <c r="M178" s="1513">
        <f>L178+K178</f>
        <v>1310.6913586174865</v>
      </c>
      <c r="N178" s="1456">
        <v>0.05</v>
      </c>
      <c r="O178" s="1513">
        <f t="shared" ref="O178:O210" si="137">N178*$E$177*($C$85)*$B$12</f>
        <v>75.191700000000026</v>
      </c>
      <c r="P178" s="1483">
        <f>O178+M178</f>
        <v>1385.8830586174865</v>
      </c>
      <c r="Q178" s="1366">
        <f t="shared" ref="Q178:Q210" si="138">E178*$B$12+(1-$J$137)*I178-P178</f>
        <v>67682.264768075867</v>
      </c>
      <c r="R178" s="1366">
        <f>Q178-G178</f>
        <v>3348.9389213173854</v>
      </c>
      <c r="S178" s="1516">
        <f t="shared" ref="S178:S210" si="139">R178/(Q178-I178*(1-J178))</f>
        <v>0.15399075358769243</v>
      </c>
      <c r="T178" s="135" t="str">
        <f t="shared" ref="T178:T210" si="140">IF(AND(S178&gt;=0,S178&lt;=1),"Yes","No")</f>
        <v>Yes</v>
      </c>
      <c r="U178" s="1528">
        <f t="shared" ref="U178:U210" si="141">IF(S178&lt;=0,0,IF(S178&gt;=1,1,S178))</f>
        <v>0.15399075358769243</v>
      </c>
      <c r="V178" s="1496">
        <f t="shared" ref="V178:V210" si="142">AC178</f>
        <v>85026.593826447512</v>
      </c>
      <c r="W178" s="1493">
        <f t="shared" si="134"/>
        <v>3.7894412822106371E-2</v>
      </c>
      <c r="X178" s="527">
        <f t="shared" ref="X178:X210" si="143">(E178*$B$12-O178-L178)*(1-U178)+I178*(1-J178)</f>
        <v>64333.325846758482</v>
      </c>
      <c r="Y178" s="1511">
        <f t="shared" ref="Y178:Y210" si="144">I178*J178+E178*$G$12*$C$12</f>
        <v>7454.7480611260207</v>
      </c>
      <c r="Z178" s="1533">
        <f t="shared" ref="Z178:Z210" si="145">($C$12*$H$12*E178+O178)</f>
        <v>1793.8246078249765</v>
      </c>
      <c r="AA178" s="1533">
        <f t="shared" ref="AA178:AA210" si="146">$F$137*$D$11</f>
        <v>0</v>
      </c>
      <c r="AB178" s="1533">
        <f t="shared" ref="AB178:AB210" si="147">E178*$E$12</f>
        <v>11444.695310738029</v>
      </c>
      <c r="AC178" s="1533">
        <f t="shared" ref="AC178:AC210" si="148">SUM(X178:AB178)</f>
        <v>85026.593826447512</v>
      </c>
      <c r="AD178" s="1489">
        <f t="shared" ref="AD178:AD210" si="149">X178-G178</f>
        <v>0</v>
      </c>
      <c r="AE178" s="649">
        <f t="shared" ref="AE178:AE210" si="150">X178/AC178</f>
        <v>0.75662593256496657</v>
      </c>
      <c r="AF178" s="417">
        <f t="shared" ref="AF178:AF210" si="151">Y178/AC178</f>
        <v>8.7675487463867122E-2</v>
      </c>
      <c r="AG178" s="417">
        <f t="shared" ref="AG178:AG210" si="152">Z178/AC178</f>
        <v>2.1097218259577132E-2</v>
      </c>
      <c r="AH178" s="417">
        <f>AA178/AC178</f>
        <v>0</v>
      </c>
      <c r="AI178" s="417">
        <f t="shared" ref="AI178:AI209" si="153">AB178/AC178</f>
        <v>0.13460136171158907</v>
      </c>
      <c r="AJ178" s="417">
        <f t="shared" ref="AJ178:AJ210" si="154">SUM(AE178:AI178)</f>
        <v>0.99999999999999989</v>
      </c>
      <c r="AK178" s="1499">
        <f t="shared" ref="AK178:AK210" si="155">I178*(1-$J$177)-K178</f>
        <v>45934.602370863955</v>
      </c>
      <c r="AL178" s="1500">
        <f t="shared" ref="AL178:AL210" si="156">(E178*$C$86*$B$12-L178)*(1-U178)</f>
        <v>17172.278503770438</v>
      </c>
      <c r="AM178" s="1500">
        <f t="shared" ref="AM178:AM210" si="157">(E178*($C$85)*$B$12-O178)*(1-U178)</f>
        <v>1226.4449721240894</v>
      </c>
      <c r="AN178" s="1500">
        <f t="shared" ref="AN178:AN210" si="158">SUM(AK178:AM178)</f>
        <v>64333.325846758482</v>
      </c>
      <c r="AO178" s="1186">
        <f t="shared" ref="AO178:AO210" si="159">AN178-X178</f>
        <v>0</v>
      </c>
    </row>
    <row r="179" spans="1:41">
      <c r="A179" s="100">
        <f>'Input data'!A119</f>
        <v>2019</v>
      </c>
      <c r="B179" s="1508">
        <f>'Input data'!B119</f>
        <v>58.364834921819444</v>
      </c>
      <c r="C179" s="1509">
        <f>'Input data'!C119</f>
        <v>3168.3184457469288</v>
      </c>
      <c r="D179" s="1509">
        <f>'Input data'!E119</f>
        <v>48412890.850439847</v>
      </c>
      <c r="E179" s="1510">
        <f>'Input data'!J119*C179</f>
        <v>38245.302028730643</v>
      </c>
      <c r="F179" s="1511">
        <f>'Input data'!L119</f>
        <v>86658.1928791705</v>
      </c>
      <c r="G179" s="1512">
        <f>G177*0.89</f>
        <v>60911.340429377713</v>
      </c>
      <c r="H179" s="1511">
        <f t="shared" ref="H179:H210" si="160">E179*$B$12+I179*$E$80-G179</f>
        <v>6467.2730710352625</v>
      </c>
      <c r="I179" s="1513">
        <f t="shared" si="135"/>
        <v>48412.89085043985</v>
      </c>
      <c r="J179" s="1456">
        <f t="shared" ref="J179:J189" si="161">($J$190-$J$177)/($A$190-$A$177)+J178</f>
        <v>0.11361731727283289</v>
      </c>
      <c r="K179" s="1514">
        <f t="shared" ref="K179:K210" si="162">(I179)*J179-(I179)*$J$137</f>
        <v>2520.8388291502702</v>
      </c>
      <c r="L179" s="1514">
        <f t="shared" si="136"/>
        <v>0</v>
      </c>
      <c r="M179" s="1513">
        <f t="shared" ref="M179:M210" si="163">L179+K179</f>
        <v>2520.8388291502702</v>
      </c>
      <c r="N179" s="1456">
        <v>0.1</v>
      </c>
      <c r="O179" s="1513">
        <f t="shared" si="137"/>
        <v>150.38340000000005</v>
      </c>
      <c r="P179" s="1483">
        <f>O179+M179</f>
        <v>2671.2222291502703</v>
      </c>
      <c r="Q179" s="1366">
        <f t="shared" si="138"/>
        <v>64707.391271262706</v>
      </c>
      <c r="R179" s="1366">
        <f t="shared" ref="R179:R210" si="164">Q179-G179</f>
        <v>3796.0508418849931</v>
      </c>
      <c r="S179" s="1516">
        <f t="shared" si="139"/>
        <v>0.17417037474685518</v>
      </c>
      <c r="T179" s="135" t="str">
        <f t="shared" si="140"/>
        <v>Yes</v>
      </c>
      <c r="U179" s="1528">
        <f t="shared" si="141"/>
        <v>0.17417037474685518</v>
      </c>
      <c r="V179" s="1496">
        <f t="shared" si="142"/>
        <v>82862.142037285492</v>
      </c>
      <c r="W179" s="1493">
        <f t="shared" si="134"/>
        <v>4.3804869635095334E-2</v>
      </c>
      <c r="X179" s="527">
        <f t="shared" si="143"/>
        <v>60911.340429377713</v>
      </c>
      <c r="Y179" s="1511">
        <f t="shared" si="144"/>
        <v>8563.155476176491</v>
      </c>
      <c r="Z179" s="1533">
        <f t="shared" si="145"/>
        <v>1878.6693594882986</v>
      </c>
      <c r="AA179" s="1533">
        <f t="shared" si="146"/>
        <v>0</v>
      </c>
      <c r="AB179" s="1533">
        <f t="shared" si="147"/>
        <v>11508.976772243002</v>
      </c>
      <c r="AC179" s="1533">
        <f t="shared" si="148"/>
        <v>82862.142037285492</v>
      </c>
      <c r="AD179" s="1489">
        <f t="shared" si="149"/>
        <v>0</v>
      </c>
      <c r="AE179" s="649">
        <f t="shared" si="150"/>
        <v>0.73509251549361865</v>
      </c>
      <c r="AF179" s="417">
        <f t="shared" si="151"/>
        <v>0.10334219301648426</v>
      </c>
      <c r="AG179" s="417">
        <f t="shared" si="152"/>
        <v>2.2672227790623049E-2</v>
      </c>
      <c r="AH179" s="417">
        <f t="shared" ref="AH179:AH210" si="165">AA179/AC179</f>
        <v>0</v>
      </c>
      <c r="AI179" s="417">
        <f t="shared" si="153"/>
        <v>0.13889306369927423</v>
      </c>
      <c r="AJ179" s="417">
        <f t="shared" si="154"/>
        <v>1.0000000000000002</v>
      </c>
      <c r="AK179" s="1499">
        <f t="shared" si="155"/>
        <v>42912.348070590393</v>
      </c>
      <c r="AL179" s="1500">
        <f t="shared" si="156"/>
        <v>16856.823929070655</v>
      </c>
      <c r="AM179" s="1500">
        <f t="shared" si="157"/>
        <v>1142.168429716658</v>
      </c>
      <c r="AN179" s="1500">
        <f t="shared" si="158"/>
        <v>60911.340429377706</v>
      </c>
      <c r="AO179" s="1186">
        <f t="shared" si="159"/>
        <v>0</v>
      </c>
    </row>
    <row r="180" spans="1:41">
      <c r="A180" s="100">
        <f>'Input data'!A120</f>
        <v>2020</v>
      </c>
      <c r="B180" s="1508">
        <f>'Input data'!B120</f>
        <v>59.308690000000006</v>
      </c>
      <c r="C180" s="1509">
        <f>'Input data'!C120</f>
        <v>2944.9182124750064</v>
      </c>
      <c r="D180" s="1509">
        <f>'Input data'!E120</f>
        <v>45517474.780710384</v>
      </c>
      <c r="E180" s="1510">
        <f>'Input data'!J120*C180</f>
        <v>35548.600437309862</v>
      </c>
      <c r="F180" s="1511">
        <f>'Input data'!L120</f>
        <v>81066.07521802024</v>
      </c>
      <c r="G180" s="1512">
        <f>G177*0.81</f>
        <v>55436.163761568481</v>
      </c>
      <c r="H180" s="1511">
        <f t="shared" si="160"/>
        <v>7677.8534075289572</v>
      </c>
      <c r="I180" s="1513">
        <f t="shared" si="135"/>
        <v>45517.474780710385</v>
      </c>
      <c r="J180" s="1456">
        <f t="shared" si="161"/>
        <v>0.13965210661166627</v>
      </c>
      <c r="K180" s="1514">
        <f t="shared" si="162"/>
        <v>3555.1136014543667</v>
      </c>
      <c r="L180" s="1514">
        <f t="shared" si="136"/>
        <v>0</v>
      </c>
      <c r="M180" s="1513">
        <f t="shared" si="163"/>
        <v>3555.1136014543667</v>
      </c>
      <c r="N180" s="1456">
        <f>($N$142-$N$137)/($A$102-$A$97)+N179</f>
        <v>0.2</v>
      </c>
      <c r="O180" s="1513">
        <f t="shared" si="137"/>
        <v>300.7668000000001</v>
      </c>
      <c r="P180" s="1483">
        <f t="shared" ref="P180:P210" si="166">O180+M180</f>
        <v>3855.8804014543666</v>
      </c>
      <c r="Q180" s="1366">
        <f t="shared" si="138"/>
        <v>59258.136767643075</v>
      </c>
      <c r="R180" s="1366">
        <f t="shared" si="164"/>
        <v>3821.9730060745933</v>
      </c>
      <c r="S180" s="1516">
        <f t="shared" si="139"/>
        <v>0.1901737097750329</v>
      </c>
      <c r="T180" s="135" t="str">
        <f t="shared" si="140"/>
        <v>Yes</v>
      </c>
      <c r="U180" s="1528">
        <f t="shared" si="141"/>
        <v>0.1901737097750329</v>
      </c>
      <c r="V180" s="1496">
        <f t="shared" si="142"/>
        <v>77244.102211945661</v>
      </c>
      <c r="W180" s="1493">
        <f t="shared" si="134"/>
        <v>4.7146392566751349E-2</v>
      </c>
      <c r="X180" s="527">
        <f t="shared" si="143"/>
        <v>55436.163761568474</v>
      </c>
      <c r="Y180" s="1511">
        <f t="shared" si="144"/>
        <v>9203.2770862680991</v>
      </c>
      <c r="Z180" s="1533">
        <f t="shared" si="145"/>
        <v>1907.190171140033</v>
      </c>
      <c r="AA180" s="1533">
        <f t="shared" si="146"/>
        <v>0</v>
      </c>
      <c r="AB180" s="1533">
        <f t="shared" si="147"/>
        <v>10697.471192969046</v>
      </c>
      <c r="AC180" s="1533">
        <f t="shared" si="148"/>
        <v>77244.102211945661</v>
      </c>
      <c r="AD180" s="1489">
        <f t="shared" si="149"/>
        <v>0</v>
      </c>
      <c r="AE180" s="649">
        <f t="shared" si="150"/>
        <v>0.71767503503970265</v>
      </c>
      <c r="AF180" s="417">
        <f t="shared" si="151"/>
        <v>0.1191453693256186</v>
      </c>
      <c r="AG180" s="417">
        <f t="shared" si="152"/>
        <v>2.4690430939400439E-2</v>
      </c>
      <c r="AH180" s="417">
        <f t="shared" si="165"/>
        <v>0</v>
      </c>
      <c r="AI180" s="417">
        <f t="shared" si="153"/>
        <v>0.13848916469527819</v>
      </c>
      <c r="AJ180" s="417">
        <f t="shared" si="154"/>
        <v>0.99999999999999989</v>
      </c>
      <c r="AK180" s="1499">
        <f t="shared" si="155"/>
        <v>39160.863539940787</v>
      </c>
      <c r="AL180" s="1500">
        <f t="shared" si="156"/>
        <v>15364.611233459033</v>
      </c>
      <c r="AM180" s="1500">
        <f t="shared" si="157"/>
        <v>910.6889881686584</v>
      </c>
      <c r="AN180" s="1500">
        <f t="shared" si="158"/>
        <v>55436.163761568481</v>
      </c>
      <c r="AO180" s="1186">
        <f t="shared" si="159"/>
        <v>0</v>
      </c>
    </row>
    <row r="181" spans="1:41">
      <c r="A181" s="100">
        <f>'Input data'!A121</f>
        <v>2021</v>
      </c>
      <c r="B181" s="1508">
        <f>'Input data'!B121</f>
        <v>59.991580449204264</v>
      </c>
      <c r="C181" s="1509">
        <f>'Input data'!C121</f>
        <v>3018.4380966643439</v>
      </c>
      <c r="D181" s="1509">
        <f>'Input data'!E121</f>
        <v>45871162.972715415</v>
      </c>
      <c r="E181" s="1510">
        <f>'Input data'!J121*C181</f>
        <v>36436.071259478318</v>
      </c>
      <c r="F181" s="1511">
        <f>'Input data'!L121</f>
        <v>82307.234232193732</v>
      </c>
      <c r="G181" s="1512">
        <f>G177*0.65</f>
        <v>44485.810425950018</v>
      </c>
      <c r="H181" s="1511">
        <f t="shared" si="160"/>
        <v>19469.363303088037</v>
      </c>
      <c r="I181" s="1513">
        <f t="shared" si="135"/>
        <v>45871.162972715414</v>
      </c>
      <c r="J181" s="1456">
        <f t="shared" si="161"/>
        <v>0.16568689595049965</v>
      </c>
      <c r="K181" s="1514">
        <f t="shared" si="162"/>
        <v>4776.9842588877582</v>
      </c>
      <c r="L181" s="1514">
        <f t="shared" si="136"/>
        <v>0</v>
      </c>
      <c r="M181" s="1513">
        <f t="shared" si="163"/>
        <v>4776.9842588877582</v>
      </c>
      <c r="N181" s="1456">
        <v>0.4</v>
      </c>
      <c r="O181" s="1513">
        <f t="shared" si="137"/>
        <v>601.53360000000021</v>
      </c>
      <c r="P181" s="1483">
        <f t="shared" si="166"/>
        <v>5378.5178588877588</v>
      </c>
      <c r="Q181" s="1366">
        <f t="shared" si="138"/>
        <v>58576.655870150295</v>
      </c>
      <c r="R181" s="1366">
        <f t="shared" si="164"/>
        <v>14090.845444200277</v>
      </c>
      <c r="S181" s="1516">
        <f t="shared" si="139"/>
        <v>0.69393398185139921</v>
      </c>
      <c r="T181" s="135" t="str">
        <f t="shared" si="140"/>
        <v>Yes</v>
      </c>
      <c r="U181" s="1528">
        <f t="shared" si="141"/>
        <v>0.69393398185139921</v>
      </c>
      <c r="V181" s="1496">
        <f t="shared" si="142"/>
        <v>68216.388787993448</v>
      </c>
      <c r="W181" s="1493">
        <f t="shared" si="134"/>
        <v>0.17119814042650427</v>
      </c>
      <c r="X181" s="527">
        <f t="shared" si="143"/>
        <v>44485.810425950018</v>
      </c>
      <c r="Y181" s="1511">
        <f t="shared" si="144"/>
        <v>10517.983465901121</v>
      </c>
      <c r="Z181" s="1533">
        <f t="shared" si="145"/>
        <v>2248.0613311541611</v>
      </c>
      <c r="AA181" s="1533">
        <f t="shared" si="146"/>
        <v>0</v>
      </c>
      <c r="AB181" s="1533">
        <f t="shared" si="147"/>
        <v>10964.533564988158</v>
      </c>
      <c r="AC181" s="1533">
        <f t="shared" si="148"/>
        <v>68216.388787993448</v>
      </c>
      <c r="AD181" s="1005">
        <f t="shared" si="149"/>
        <v>0</v>
      </c>
      <c r="AE181" s="649">
        <f t="shared" si="150"/>
        <v>0.6521279008803208</v>
      </c>
      <c r="AF181" s="417">
        <f t="shared" si="151"/>
        <v>0.15418557992844614</v>
      </c>
      <c r="AG181" s="417">
        <f t="shared" si="152"/>
        <v>3.2954856906026009E-2</v>
      </c>
      <c r="AH181" s="417">
        <f t="shared" si="165"/>
        <v>0</v>
      </c>
      <c r="AI181" s="417">
        <f t="shared" si="153"/>
        <v>0.16073166228520722</v>
      </c>
      <c r="AJ181" s="417">
        <f t="shared" si="154"/>
        <v>1.0000000000000002</v>
      </c>
      <c r="AK181" s="1499">
        <f t="shared" si="155"/>
        <v>38270.9123661267</v>
      </c>
      <c r="AL181" s="1500">
        <f t="shared" si="156"/>
        <v>5951.8757102033078</v>
      </c>
      <c r="AM181" s="1500">
        <f t="shared" si="157"/>
        <v>263.0223496200087</v>
      </c>
      <c r="AN181" s="1500">
        <f t="shared" si="158"/>
        <v>44485.810425950011</v>
      </c>
      <c r="AO181" s="1186">
        <f t="shared" si="159"/>
        <v>0</v>
      </c>
    </row>
    <row r="182" spans="1:41">
      <c r="A182" s="100">
        <f>'Input data'!A122</f>
        <v>2022</v>
      </c>
      <c r="B182" s="1508">
        <f>'Input data'!B122</f>
        <v>60.682333816399378</v>
      </c>
      <c r="C182" s="1509">
        <f>'Input data'!C122</f>
        <v>3086.0582602351519</v>
      </c>
      <c r="D182" s="1509">
        <f>'Input data'!E122</f>
        <v>45764081.347342722</v>
      </c>
      <c r="E182" s="1510">
        <f>'Input data'!J122*C182</f>
        <v>37252.325567017797</v>
      </c>
      <c r="F182" s="1511">
        <f>'Input data'!L122</f>
        <v>83016.406914360516</v>
      </c>
      <c r="G182" s="1512">
        <f>G177*(1-E4)</f>
        <v>34219.854173807704</v>
      </c>
      <c r="H182" s="1511">
        <f t="shared" si="160"/>
        <v>30103.201094928605</v>
      </c>
      <c r="I182" s="1513">
        <f t="shared" si="135"/>
        <v>45764.081347342719</v>
      </c>
      <c r="J182" s="1456">
        <f t="shared" si="161"/>
        <v>0.19172168528933303</v>
      </c>
      <c r="K182" s="1514">
        <f t="shared" si="162"/>
        <v>5957.2910858165087</v>
      </c>
      <c r="L182" s="1514">
        <f t="shared" si="136"/>
        <v>0</v>
      </c>
      <c r="M182" s="1513">
        <f t="shared" si="163"/>
        <v>5957.2910858165087</v>
      </c>
      <c r="N182" s="1456">
        <f>$E$26</f>
        <v>0.5</v>
      </c>
      <c r="O182" s="1513">
        <f t="shared" si="137"/>
        <v>751.91700000000026</v>
      </c>
      <c r="P182" s="1483">
        <f t="shared" si="166"/>
        <v>6709.2080858165091</v>
      </c>
      <c r="Q182" s="1366">
        <f t="shared" si="138"/>
        <v>57613.847182919802</v>
      </c>
      <c r="R182" s="1366">
        <f t="shared" si="164"/>
        <v>23393.993009112099</v>
      </c>
      <c r="S182" s="1516">
        <f t="shared" si="139"/>
        <v>1.1343239083165013</v>
      </c>
      <c r="T182" s="135" t="str">
        <f t="shared" si="140"/>
        <v>No</v>
      </c>
      <c r="U182" s="1528">
        <f t="shared" si="141"/>
        <v>1</v>
      </c>
      <c r="V182" s="1496">
        <f t="shared" si="142"/>
        <v>62392.67427715275</v>
      </c>
      <c r="W182" s="1493">
        <f>(1-V182/F182)</f>
        <v>0.24842959848266077</v>
      </c>
      <c r="X182" s="527">
        <f t="shared" si="143"/>
        <v>36990.114545712036</v>
      </c>
      <c r="Y182" s="1511">
        <f t="shared" si="144"/>
        <v>11757.063788642328</v>
      </c>
      <c r="Z182" s="1533">
        <f t="shared" si="145"/>
        <v>2435.3308526974706</v>
      </c>
      <c r="AA182" s="1533">
        <f t="shared" si="146"/>
        <v>0</v>
      </c>
      <c r="AB182" s="1533">
        <f t="shared" si="147"/>
        <v>11210.165090100914</v>
      </c>
      <c r="AC182" s="1533">
        <f t="shared" si="148"/>
        <v>62392.67427715275</v>
      </c>
      <c r="AD182" s="1005">
        <f t="shared" si="149"/>
        <v>2770.2603719043327</v>
      </c>
      <c r="AE182" s="649">
        <f t="shared" si="150"/>
        <v>0.59285989860603328</v>
      </c>
      <c r="AF182" s="417">
        <f t="shared" si="151"/>
        <v>0.18843660613771104</v>
      </c>
      <c r="AG182" s="417">
        <f t="shared" si="152"/>
        <v>3.9032320395172605E-2</v>
      </c>
      <c r="AH182" s="417">
        <f t="shared" si="165"/>
        <v>0</v>
      </c>
      <c r="AI182" s="417">
        <f t="shared" si="153"/>
        <v>0.17967117486108311</v>
      </c>
      <c r="AJ182" s="417">
        <f t="shared" si="154"/>
        <v>1</v>
      </c>
      <c r="AK182" s="1499">
        <f t="shared" si="155"/>
        <v>36990.114545712044</v>
      </c>
      <c r="AL182" s="1500">
        <f t="shared" si="156"/>
        <v>0</v>
      </c>
      <c r="AM182" s="1500">
        <f t="shared" si="157"/>
        <v>0</v>
      </c>
      <c r="AN182" s="1500">
        <f t="shared" si="158"/>
        <v>36990.114545712044</v>
      </c>
      <c r="AO182" s="1186">
        <f t="shared" si="159"/>
        <v>0</v>
      </c>
    </row>
    <row r="183" spans="1:41">
      <c r="A183" s="100">
        <f>'Input data'!A123</f>
        <v>2023</v>
      </c>
      <c r="B183" s="1508">
        <f>'Input data'!B123</f>
        <v>61.381040636574369</v>
      </c>
      <c r="C183" s="1509">
        <f>'Input data'!C123</f>
        <v>3153.9083559128044</v>
      </c>
      <c r="D183" s="1509">
        <f>'Input data'!E123</f>
        <v>45569695.474175937</v>
      </c>
      <c r="E183" s="1510">
        <f>'Input data'!J123*C183</f>
        <v>38071.355423487395</v>
      </c>
      <c r="F183" s="1511">
        <f>'Input data'!L123</f>
        <v>83641.050897663343</v>
      </c>
      <c r="G183" s="1512">
        <f>($G$147-$G$142)/($A$147-$A$142)+G182</f>
        <v>32166.662923379241</v>
      </c>
      <c r="H183" s="1511">
        <f t="shared" si="160"/>
        <v>32443.935646020014</v>
      </c>
      <c r="I183" s="1513">
        <f t="shared" si="135"/>
        <v>45569.69547417594</v>
      </c>
      <c r="J183" s="1456">
        <f t="shared" si="161"/>
        <v>0.21775647462816641</v>
      </c>
      <c r="K183" s="1514">
        <f t="shared" si="162"/>
        <v>7118.384531429756</v>
      </c>
      <c r="L183" s="1514">
        <f t="shared" si="136"/>
        <v>0</v>
      </c>
      <c r="M183" s="1513">
        <f t="shared" si="163"/>
        <v>7118.384531429756</v>
      </c>
      <c r="N183" s="1456">
        <f>($N$147-$N$142)/($A$107-$A$102)+N182</f>
        <v>0.5</v>
      </c>
      <c r="O183" s="1513">
        <f t="shared" si="137"/>
        <v>751.91700000000026</v>
      </c>
      <c r="P183" s="1483">
        <f t="shared" si="166"/>
        <v>7870.3015314297563</v>
      </c>
      <c r="Q183" s="1366">
        <f t="shared" si="138"/>
        <v>56740.297037969496</v>
      </c>
      <c r="R183" s="1366">
        <f t="shared" si="164"/>
        <v>24573.634114590255</v>
      </c>
      <c r="S183" s="1516">
        <f t="shared" si="139"/>
        <v>1.164975166869022</v>
      </c>
      <c r="T183" s="135" t="str">
        <f t="shared" si="140"/>
        <v>No</v>
      </c>
      <c r="U183" s="1528">
        <f t="shared" si="141"/>
        <v>1</v>
      </c>
      <c r="V183" s="1496">
        <f t="shared" si="142"/>
        <v>62547.353097534127</v>
      </c>
      <c r="W183" s="1493">
        <f t="shared" si="134"/>
        <v>0.25219312256056914</v>
      </c>
      <c r="X183" s="527">
        <f t="shared" si="143"/>
        <v>35646.599237840281</v>
      </c>
      <c r="Y183" s="1511">
        <f t="shared" si="144"/>
        <v>12971.779611845708</v>
      </c>
      <c r="Z183" s="1533">
        <f t="shared" si="145"/>
        <v>2472.3423999006995</v>
      </c>
      <c r="AA183" s="1533">
        <f t="shared" si="146"/>
        <v>0</v>
      </c>
      <c r="AB183" s="1533">
        <f t="shared" si="147"/>
        <v>11456.631847947434</v>
      </c>
      <c r="AC183" s="1533">
        <f t="shared" si="148"/>
        <v>62547.353097534127</v>
      </c>
      <c r="AD183" s="1005">
        <f t="shared" si="149"/>
        <v>3479.9363144610397</v>
      </c>
      <c r="AE183" s="649">
        <f t="shared" si="150"/>
        <v>0.56991379287072685</v>
      </c>
      <c r="AF183" s="417">
        <f t="shared" si="151"/>
        <v>0.20739134382901822</v>
      </c>
      <c r="AG183" s="417">
        <f t="shared" si="152"/>
        <v>3.9527530382387509E-2</v>
      </c>
      <c r="AH183" s="417">
        <f t="shared" si="165"/>
        <v>0</v>
      </c>
      <c r="AI183" s="417">
        <f t="shared" si="153"/>
        <v>0.18316733291786733</v>
      </c>
      <c r="AJ183" s="417">
        <f t="shared" si="154"/>
        <v>1</v>
      </c>
      <c r="AK183" s="1499">
        <f t="shared" si="155"/>
        <v>35646.599237840273</v>
      </c>
      <c r="AL183" s="1500">
        <f t="shared" si="156"/>
        <v>0</v>
      </c>
      <c r="AM183" s="1500">
        <f t="shared" si="157"/>
        <v>0</v>
      </c>
      <c r="AN183" s="1500">
        <f t="shared" si="158"/>
        <v>35646.599237840273</v>
      </c>
      <c r="AO183" s="1186">
        <f t="shared" si="159"/>
        <v>0</v>
      </c>
    </row>
    <row r="184" spans="1:41">
      <c r="A184" s="100">
        <f>'Input data'!A124</f>
        <v>2024</v>
      </c>
      <c r="B184" s="1508">
        <f>'Input data'!B124</f>
        <v>62.087792487153699</v>
      </c>
      <c r="C184" s="1509">
        <f>'Input data'!C124</f>
        <v>3232.6126442228219</v>
      </c>
      <c r="D184" s="1509">
        <f>'Input data'!E124</f>
        <v>46327457.455900244</v>
      </c>
      <c r="E184" s="1510">
        <f>'Input data'!J124*C184</f>
        <v>39021.40805516448</v>
      </c>
      <c r="F184" s="1511">
        <f>'Input data'!L124</f>
        <v>85348.865511064723</v>
      </c>
      <c r="G184" s="1512">
        <f t="shared" ref="G184:G186" si="167">($G$147-$G$142)/($A$147-$A$142)+G183</f>
        <v>30113.471672950778</v>
      </c>
      <c r="H184" s="1511">
        <f t="shared" si="160"/>
        <v>35753.397305987804</v>
      </c>
      <c r="I184" s="1513">
        <f t="shared" si="135"/>
        <v>46327.457455900243</v>
      </c>
      <c r="J184" s="1456">
        <f t="shared" si="161"/>
        <v>0.24379126396699979</v>
      </c>
      <c r="K184" s="1514">
        <f t="shared" si="162"/>
        <v>8442.8791682768988</v>
      </c>
      <c r="L184" s="1514">
        <f t="shared" si="136"/>
        <v>0</v>
      </c>
      <c r="M184" s="1513">
        <f t="shared" si="163"/>
        <v>8442.8791682768988</v>
      </c>
      <c r="N184" s="1456">
        <f>($N$147-$N$142)/($A$107-$A$102)+N183</f>
        <v>0.5</v>
      </c>
      <c r="O184" s="1513">
        <f t="shared" si="137"/>
        <v>751.91700000000026</v>
      </c>
      <c r="P184" s="1483">
        <f t="shared" si="166"/>
        <v>9194.7961682768982</v>
      </c>
      <c r="Q184" s="1366">
        <f t="shared" si="138"/>
        <v>56672.072810661688</v>
      </c>
      <c r="R184" s="1366">
        <f t="shared" si="164"/>
        <v>26558.60113771091</v>
      </c>
      <c r="S184" s="1516">
        <f t="shared" si="139"/>
        <v>1.2273576259261261</v>
      </c>
      <c r="T184" s="135" t="str">
        <f t="shared" si="140"/>
        <v>No</v>
      </c>
      <c r="U184" s="1528">
        <f t="shared" si="141"/>
        <v>1</v>
      </c>
      <c r="V184" s="1496">
        <f t="shared" si="142"/>
        <v>63710.020746751965</v>
      </c>
      <c r="W184" s="1493">
        <f t="shared" si="134"/>
        <v>0.25353406439254278</v>
      </c>
      <c r="X184" s="527">
        <f t="shared" si="143"/>
        <v>35033.228046348915</v>
      </c>
      <c r="Y184" s="1511">
        <f t="shared" si="144"/>
        <v>14418.991233854049</v>
      </c>
      <c r="Z184" s="1533">
        <f t="shared" si="145"/>
        <v>2515.2748004049222</v>
      </c>
      <c r="AA184" s="1533">
        <f t="shared" si="146"/>
        <v>0</v>
      </c>
      <c r="AB184" s="1533">
        <f t="shared" si="147"/>
        <v>11742.526666144084</v>
      </c>
      <c r="AC184" s="1533">
        <f t="shared" si="148"/>
        <v>63710.020746751965</v>
      </c>
      <c r="AD184" s="1005">
        <f t="shared" si="149"/>
        <v>4919.7563733981369</v>
      </c>
      <c r="AE184" s="649">
        <f t="shared" si="150"/>
        <v>0.54988567945388656</v>
      </c>
      <c r="AF184" s="417">
        <f t="shared" si="151"/>
        <v>0.22632218707273222</v>
      </c>
      <c r="AG184" s="417">
        <f t="shared" si="152"/>
        <v>3.9480049934423458E-2</v>
      </c>
      <c r="AH184" s="417">
        <f t="shared" si="165"/>
        <v>0</v>
      </c>
      <c r="AI184" s="417">
        <f t="shared" si="153"/>
        <v>0.18431208353895781</v>
      </c>
      <c r="AJ184" s="417">
        <f t="shared" si="154"/>
        <v>1</v>
      </c>
      <c r="AK184" s="1499">
        <f t="shared" si="155"/>
        <v>35033.228046348915</v>
      </c>
      <c r="AL184" s="1500">
        <f t="shared" si="156"/>
        <v>0</v>
      </c>
      <c r="AM184" s="1500">
        <f t="shared" si="157"/>
        <v>0</v>
      </c>
      <c r="AN184" s="1500">
        <f t="shared" si="158"/>
        <v>35033.228046348915</v>
      </c>
      <c r="AO184" s="1186">
        <f t="shared" si="159"/>
        <v>0</v>
      </c>
    </row>
    <row r="185" spans="1:41">
      <c r="A185" s="100">
        <f>'Input data'!A125</f>
        <v>2025</v>
      </c>
      <c r="B185" s="1508">
        <f>'Input data'!B125</f>
        <v>62.802682000000026</v>
      </c>
      <c r="C185" s="1509">
        <f>'Input data'!C125</f>
        <v>3311.8439930677405</v>
      </c>
      <c r="D185" s="1509">
        <f>'Input data'!E125</f>
        <v>46801820.784301206</v>
      </c>
      <c r="E185" s="1510">
        <f>'Input data'!J125*C185</f>
        <v>39977.822922737316</v>
      </c>
      <c r="F185" s="1511">
        <f>'Input data'!L125</f>
        <v>86779.643707038515</v>
      </c>
      <c r="G185" s="1512">
        <f t="shared" si="167"/>
        <v>28060.280422522315</v>
      </c>
      <c r="H185" s="1511">
        <f t="shared" si="160"/>
        <v>38800.553555119644</v>
      </c>
      <c r="I185" s="1513">
        <f t="shared" si="135"/>
        <v>46801.820784301206</v>
      </c>
      <c r="J185" s="1456">
        <f t="shared" si="161"/>
        <v>0.26982605330583315</v>
      </c>
      <c r="K185" s="1514">
        <f t="shared" si="162"/>
        <v>9747.8043583449235</v>
      </c>
      <c r="L185" s="1514">
        <f t="shared" si="136"/>
        <v>0</v>
      </c>
      <c r="M185" s="1513">
        <f t="shared" si="163"/>
        <v>9747.8043583449235</v>
      </c>
      <c r="N185" s="1456">
        <f>($N$147-$N$142)/($A$107-$A$102)+N184</f>
        <v>0.5</v>
      </c>
      <c r="O185" s="1513">
        <f t="shared" si="137"/>
        <v>751.91700000000026</v>
      </c>
      <c r="P185" s="1483">
        <f t="shared" si="166"/>
        <v>10499.721358344923</v>
      </c>
      <c r="Q185" s="1366">
        <f t="shared" si="138"/>
        <v>56361.112619297041</v>
      </c>
      <c r="R185" s="1366">
        <f t="shared" si="164"/>
        <v>28300.832196774725</v>
      </c>
      <c r="S185" s="1516">
        <f t="shared" si="139"/>
        <v>1.2755222774459622</v>
      </c>
      <c r="T185" s="135" t="str">
        <f t="shared" si="140"/>
        <v>No</v>
      </c>
      <c r="U185" s="1528">
        <f t="shared" si="141"/>
        <v>1</v>
      </c>
      <c r="V185" s="1496">
        <f t="shared" si="142"/>
        <v>64592.001282287783</v>
      </c>
      <c r="W185" s="1493">
        <f t="shared" si="134"/>
        <v>0.25567796175396307</v>
      </c>
      <c r="X185" s="527">
        <f t="shared" si="143"/>
        <v>34173.470194546295</v>
      </c>
      <c r="Y185" s="1511">
        <f t="shared" si="144"/>
        <v>15829.700338874749</v>
      </c>
      <c r="Z185" s="1533">
        <f t="shared" si="145"/>
        <v>2558.4947071487691</v>
      </c>
      <c r="AA185" s="1533">
        <f t="shared" si="146"/>
        <v>0</v>
      </c>
      <c r="AB185" s="1533">
        <f t="shared" si="147"/>
        <v>12030.33604171797</v>
      </c>
      <c r="AC185" s="1533">
        <f t="shared" si="148"/>
        <v>64592.001282287783</v>
      </c>
      <c r="AD185" s="1005">
        <f t="shared" si="149"/>
        <v>6113.1897720239795</v>
      </c>
      <c r="AE185" s="649">
        <f t="shared" si="150"/>
        <v>0.52906659518408883</v>
      </c>
      <c r="AF185" s="417">
        <f t="shared" si="151"/>
        <v>0.24507214553848355</v>
      </c>
      <c r="AG185" s="417">
        <f t="shared" si="152"/>
        <v>3.9610085712739038E-2</v>
      </c>
      <c r="AH185" s="417">
        <f t="shared" si="165"/>
        <v>0</v>
      </c>
      <c r="AI185" s="417">
        <f t="shared" si="153"/>
        <v>0.18625117356468859</v>
      </c>
      <c r="AJ185" s="417">
        <f t="shared" si="154"/>
        <v>1</v>
      </c>
      <c r="AK185" s="1499">
        <f t="shared" si="155"/>
        <v>34173.470194546295</v>
      </c>
      <c r="AL185" s="1500">
        <f t="shared" si="156"/>
        <v>0</v>
      </c>
      <c r="AM185" s="1500">
        <f t="shared" si="157"/>
        <v>0</v>
      </c>
      <c r="AN185" s="1500">
        <f t="shared" si="158"/>
        <v>34173.470194546295</v>
      </c>
      <c r="AO185" s="1186">
        <f t="shared" si="159"/>
        <v>0</v>
      </c>
    </row>
    <row r="186" spans="1:41">
      <c r="A186" s="100">
        <f>'Input data'!A126</f>
        <v>2026</v>
      </c>
      <c r="B186" s="1508">
        <f>'Input data'!B126</f>
        <v>63.421065342005143</v>
      </c>
      <c r="C186" s="1509">
        <f>'Input data'!C126</f>
        <v>3393.1756913606432</v>
      </c>
      <c r="D186" s="1509">
        <f>'Input data'!E126</f>
        <v>46479674.028888769</v>
      </c>
      <c r="E186" s="1510">
        <f>'Input data'!J126*C186</f>
        <v>40959.591459892159</v>
      </c>
      <c r="F186" s="1511">
        <f>'Input data'!L126</f>
        <v>87439.265488780919</v>
      </c>
      <c r="G186" s="1512">
        <f t="shared" si="167"/>
        <v>26007.089172093853</v>
      </c>
      <c r="H186" s="1511">
        <f t="shared" si="160"/>
        <v>41114.771230982733</v>
      </c>
      <c r="I186" s="1513">
        <f t="shared" si="135"/>
        <v>46479.674028888767</v>
      </c>
      <c r="J186" s="1456">
        <f t="shared" si="161"/>
        <v>0.2958608426446665</v>
      </c>
      <c r="K186" s="1514">
        <f t="shared" si="162"/>
        <v>10890.796696917872</v>
      </c>
      <c r="L186" s="1514">
        <f t="shared" si="136"/>
        <v>0</v>
      </c>
      <c r="M186" s="1513">
        <f t="shared" si="163"/>
        <v>10890.796696917872</v>
      </c>
      <c r="N186" s="1456">
        <f>($N$147-$N$142)/($A$107-$A$102)+N185</f>
        <v>0.5</v>
      </c>
      <c r="O186" s="1513">
        <f t="shared" si="137"/>
        <v>751.91700000000026</v>
      </c>
      <c r="P186" s="1483">
        <f t="shared" si="166"/>
        <v>11642.713696917872</v>
      </c>
      <c r="Q186" s="1366">
        <f t="shared" si="138"/>
        <v>55479.146706158717</v>
      </c>
      <c r="R186" s="1366">
        <f t="shared" si="164"/>
        <v>29472.057534064865</v>
      </c>
      <c r="S186" s="1516">
        <f t="shared" si="139"/>
        <v>1.2954187867924141</v>
      </c>
      <c r="T186" s="135" t="str">
        <f t="shared" si="140"/>
        <v>No</v>
      </c>
      <c r="U186" s="1528">
        <f t="shared" si="141"/>
        <v>1</v>
      </c>
      <c r="V186" s="1496">
        <f t="shared" si="142"/>
        <v>64688.277287474535</v>
      </c>
      <c r="W186" s="1493">
        <f t="shared" si="134"/>
        <v>0.26019189518724284</v>
      </c>
      <c r="X186" s="527">
        <f t="shared" si="143"/>
        <v>32728.158504852316</v>
      </c>
      <c r="Y186" s="1511">
        <f t="shared" si="144"/>
        <v>17031.483472706295</v>
      </c>
      <c r="Z186" s="1533">
        <f t="shared" si="145"/>
        <v>2602.8603334669356</v>
      </c>
      <c r="AA186" s="1533">
        <f t="shared" si="146"/>
        <v>0</v>
      </c>
      <c r="AB186" s="1533">
        <f t="shared" si="147"/>
        <v>12325.774976448984</v>
      </c>
      <c r="AC186" s="1533">
        <f t="shared" si="148"/>
        <v>64688.277287474535</v>
      </c>
      <c r="AD186" s="1005">
        <f t="shared" si="149"/>
        <v>6721.0693327584631</v>
      </c>
      <c r="AE186" s="1456">
        <f t="shared" si="150"/>
        <v>0.50593646758296662</v>
      </c>
      <c r="AF186" s="1506">
        <f t="shared" si="151"/>
        <v>0.26328546974621736</v>
      </c>
      <c r="AG186" s="1506">
        <f t="shared" si="152"/>
        <v>4.0236970941424692E-2</v>
      </c>
      <c r="AH186" s="1506">
        <f t="shared" si="165"/>
        <v>0</v>
      </c>
      <c r="AI186" s="1506">
        <f t="shared" si="153"/>
        <v>0.19054109172939127</v>
      </c>
      <c r="AJ186" s="1506">
        <f t="shared" si="154"/>
        <v>0.99999999999999989</v>
      </c>
      <c r="AK186" s="1557">
        <f t="shared" si="155"/>
        <v>32728.158504852312</v>
      </c>
      <c r="AL186" s="1558">
        <f t="shared" si="156"/>
        <v>0</v>
      </c>
      <c r="AM186" s="1558">
        <f t="shared" si="157"/>
        <v>0</v>
      </c>
      <c r="AN186" s="1558">
        <f t="shared" si="158"/>
        <v>32728.158504852312</v>
      </c>
      <c r="AO186" s="1545">
        <f t="shared" si="159"/>
        <v>0</v>
      </c>
    </row>
    <row r="187" spans="1:41">
      <c r="A187" s="100">
        <f>'Input data'!A127</f>
        <v>2027</v>
      </c>
      <c r="B187" s="1508">
        <f>'Input data'!B127</f>
        <v>64.045537563425796</v>
      </c>
      <c r="C187" s="1509">
        <f>'Input data'!C127</f>
        <v>3472.5774012476563</v>
      </c>
      <c r="D187" s="1509">
        <f>'Input data'!E127</f>
        <v>45641833.264745638</v>
      </c>
      <c r="E187" s="1510">
        <f>'Input data'!J127*C187</f>
        <v>41918.062784106085</v>
      </c>
      <c r="F187" s="1511">
        <f>'Input data'!L127</f>
        <v>87559.896048851719</v>
      </c>
      <c r="G187" s="1512">
        <f>G177*(1-E5)</f>
        <v>23953.89792166539</v>
      </c>
      <c r="H187" s="1511">
        <f t="shared" si="160"/>
        <v>42931.666591504014</v>
      </c>
      <c r="I187" s="1513">
        <f t="shared" si="135"/>
        <v>45641.833264745641</v>
      </c>
      <c r="J187" s="1456">
        <f t="shared" si="161"/>
        <v>0.32189563198349985</v>
      </c>
      <c r="K187" s="1514">
        <f t="shared" si="162"/>
        <v>11882.7551408581</v>
      </c>
      <c r="L187" s="1514">
        <f t="shared" si="136"/>
        <v>0</v>
      </c>
      <c r="M187" s="1513">
        <f t="shared" si="163"/>
        <v>11882.7551408581</v>
      </c>
      <c r="N187" s="1456">
        <f>$C$27</f>
        <v>0.5</v>
      </c>
      <c r="O187" s="1513">
        <f t="shared" si="137"/>
        <v>751.91700000000026</v>
      </c>
      <c r="P187" s="1483">
        <f t="shared" si="166"/>
        <v>12634.6721408581</v>
      </c>
      <c r="Q187" s="1366">
        <f t="shared" si="138"/>
        <v>54250.892372311304</v>
      </c>
      <c r="R187" s="1366">
        <f t="shared" si="164"/>
        <v>30296.994450645914</v>
      </c>
      <c r="S187" s="1516">
        <f t="shared" si="139"/>
        <v>1.3002462909953691</v>
      </c>
      <c r="T187" s="135" t="str">
        <f t="shared" si="140"/>
        <v>No</v>
      </c>
      <c r="U187" s="1528">
        <f t="shared" si="141"/>
        <v>1</v>
      </c>
      <c r="V187" s="1496">
        <f t="shared" si="142"/>
        <v>64258.930177645256</v>
      </c>
      <c r="W187" s="1493">
        <f t="shared" si="134"/>
        <v>0.26611459038514973</v>
      </c>
      <c r="X187" s="527">
        <f t="shared" si="143"/>
        <v>30949.926501104819</v>
      </c>
      <c r="Y187" s="1511">
        <f t="shared" si="144"/>
        <v>18048.627314353078</v>
      </c>
      <c r="Z187" s="1533">
        <f t="shared" si="145"/>
        <v>2646.1731704518984</v>
      </c>
      <c r="AA187" s="1533">
        <f t="shared" si="146"/>
        <v>0</v>
      </c>
      <c r="AB187" s="1533">
        <f t="shared" si="147"/>
        <v>12614.203191735462</v>
      </c>
      <c r="AC187" s="1533">
        <f t="shared" si="148"/>
        <v>64258.930177645256</v>
      </c>
      <c r="AD187" s="1005">
        <f t="shared" si="149"/>
        <v>6996.0285794394294</v>
      </c>
      <c r="AE187" s="1456">
        <f t="shared" si="150"/>
        <v>0.48164397408333831</v>
      </c>
      <c r="AF187" s="1506">
        <f t="shared" si="151"/>
        <v>0.28087344847567869</v>
      </c>
      <c r="AG187" s="1506">
        <f t="shared" si="152"/>
        <v>4.1179851004934154E-2</v>
      </c>
      <c r="AH187" s="1506">
        <f t="shared" si="165"/>
        <v>0</v>
      </c>
      <c r="AI187" s="1506">
        <f t="shared" si="153"/>
        <v>0.19630272643604887</v>
      </c>
      <c r="AJ187" s="1506">
        <f t="shared" si="154"/>
        <v>1</v>
      </c>
      <c r="AK187" s="1557">
        <f t="shared" si="155"/>
        <v>30949.926501104819</v>
      </c>
      <c r="AL187" s="1558">
        <f t="shared" si="156"/>
        <v>0</v>
      </c>
      <c r="AM187" s="1558">
        <f t="shared" si="157"/>
        <v>0</v>
      </c>
      <c r="AN187" s="1558">
        <f t="shared" si="158"/>
        <v>30949.926501104819</v>
      </c>
      <c r="AO187" s="1545">
        <f t="shared" si="159"/>
        <v>0</v>
      </c>
    </row>
    <row r="188" spans="1:41">
      <c r="A188" s="100">
        <f>'Input data'!A128</f>
        <v>2028</v>
      </c>
      <c r="B188" s="1508">
        <f>'Input data'!B128</f>
        <v>64.676158618096451</v>
      </c>
      <c r="C188" s="1509">
        <f>'Input data'!C128</f>
        <v>3555.7273448150845</v>
      </c>
      <c r="D188" s="1509">
        <f>'Input data'!E128</f>
        <v>44757313.865039073</v>
      </c>
      <c r="E188" s="1510">
        <f>'Input data'!J128*C188</f>
        <v>42921.779664168149</v>
      </c>
      <c r="F188" s="1511">
        <f>'Input data'!L128</f>
        <v>87679.093529207224</v>
      </c>
      <c r="G188" s="1512">
        <f>($G$152-$G$147)/($A$152-$A$147)+G187</f>
        <v>21900.706671236927</v>
      </c>
      <c r="H188" s="1511">
        <f t="shared" si="160"/>
        <v>44730.718503003707</v>
      </c>
      <c r="I188" s="1513">
        <f t="shared" si="135"/>
        <v>44757.313865039076</v>
      </c>
      <c r="J188" s="1456">
        <f t="shared" si="161"/>
        <v>0.34793042132233321</v>
      </c>
      <c r="K188" s="1514">
        <f t="shared" si="162"/>
        <v>12817.71961633172</v>
      </c>
      <c r="L188" s="1514">
        <f t="shared" si="136"/>
        <v>0</v>
      </c>
      <c r="M188" s="1513">
        <f t="shared" si="163"/>
        <v>12817.71961633172</v>
      </c>
      <c r="N188" s="1456">
        <f>N187</f>
        <v>0.5</v>
      </c>
      <c r="O188" s="1513">
        <f t="shared" si="137"/>
        <v>751.91700000000026</v>
      </c>
      <c r="P188" s="1483">
        <f t="shared" si="166"/>
        <v>13569.63661633172</v>
      </c>
      <c r="Q188" s="1366">
        <f t="shared" si="138"/>
        <v>53061.788557908912</v>
      </c>
      <c r="R188" s="1366">
        <f t="shared" si="164"/>
        <v>31161.081886671986</v>
      </c>
      <c r="S188" s="1516">
        <f t="shared" si="139"/>
        <v>1.3050720305104722</v>
      </c>
      <c r="T188" s="135" t="str">
        <f t="shared" si="140"/>
        <v>No</v>
      </c>
      <c r="U188" s="1528">
        <f t="shared" si="141"/>
        <v>1</v>
      </c>
      <c r="V188" s="1496">
        <f t="shared" si="142"/>
        <v>63802.187766018447</v>
      </c>
      <c r="W188" s="1493">
        <f t="shared" si="134"/>
        <v>0.27232153985756047</v>
      </c>
      <c r="X188" s="527">
        <f t="shared" si="143"/>
        <v>29184.882794720124</v>
      </c>
      <c r="Y188" s="1511">
        <f t="shared" si="144"/>
        <v>19009.527403083772</v>
      </c>
      <c r="Z188" s="1533">
        <f t="shared" si="145"/>
        <v>2691.530631344991</v>
      </c>
      <c r="AA188" s="1533">
        <f t="shared" si="146"/>
        <v>0</v>
      </c>
      <c r="AB188" s="1533">
        <f t="shared" si="147"/>
        <v>12916.246936869558</v>
      </c>
      <c r="AC188" s="1533">
        <f t="shared" si="148"/>
        <v>63802.187766018447</v>
      </c>
      <c r="AD188" s="1005">
        <f t="shared" si="149"/>
        <v>7284.1761234831974</v>
      </c>
      <c r="AE188" s="1456">
        <f t="shared" si="150"/>
        <v>0.4574276183404517</v>
      </c>
      <c r="AF188" s="1506">
        <f t="shared" si="151"/>
        <v>0.29794475814524335</v>
      </c>
      <c r="AG188" s="1506">
        <f t="shared" si="152"/>
        <v>4.2185553906327354E-2</v>
      </c>
      <c r="AH188" s="1506">
        <f t="shared" si="165"/>
        <v>0</v>
      </c>
      <c r="AI188" s="1506">
        <f t="shared" si="153"/>
        <v>0.20244206960797753</v>
      </c>
      <c r="AJ188" s="1506">
        <f t="shared" si="154"/>
        <v>0.99999999999999989</v>
      </c>
      <c r="AK188" s="1557">
        <f t="shared" si="155"/>
        <v>29184.882794720128</v>
      </c>
      <c r="AL188" s="1558">
        <f t="shared" si="156"/>
        <v>0</v>
      </c>
      <c r="AM188" s="1558">
        <f t="shared" si="157"/>
        <v>0</v>
      </c>
      <c r="AN188" s="1558">
        <f t="shared" si="158"/>
        <v>29184.882794720128</v>
      </c>
      <c r="AO188" s="1545">
        <f t="shared" si="159"/>
        <v>0</v>
      </c>
    </row>
    <row r="189" spans="1:41">
      <c r="A189" s="100">
        <f>'Input data'!A129</f>
        <v>2029</v>
      </c>
      <c r="B189" s="1508">
        <f>'Input data'!B129</f>
        <v>65.31298905018393</v>
      </c>
      <c r="C189" s="1509">
        <f>'Input data'!C129</f>
        <v>3635.303730869829</v>
      </c>
      <c r="D189" s="1509">
        <f>'Input data'!E129</f>
        <v>43023314.860788628</v>
      </c>
      <c r="E189" s="1510">
        <f>'Input data'!J129*C189</f>
        <v>43882.359533626659</v>
      </c>
      <c r="F189" s="1511">
        <f>'Input data'!L129</f>
        <v>86905.674394415284</v>
      </c>
      <c r="G189" s="1512">
        <f t="shared" ref="G189:G191" si="168">($G$152-$G$147)/($A$152-$A$147)+G188</f>
        <v>19847.515420808464</v>
      </c>
      <c r="H189" s="1511">
        <f t="shared" si="160"/>
        <v>45707.822034793317</v>
      </c>
      <c r="I189" s="1513">
        <f t="shared" si="135"/>
        <v>43023.314860788625</v>
      </c>
      <c r="J189" s="1456">
        <f t="shared" si="161"/>
        <v>0.37396521066116656</v>
      </c>
      <c r="K189" s="1514">
        <f t="shared" si="162"/>
        <v>13441.235268707171</v>
      </c>
      <c r="L189" s="1514">
        <f t="shared" si="136"/>
        <v>0</v>
      </c>
      <c r="M189" s="1513">
        <f t="shared" si="163"/>
        <v>13441.235268707171</v>
      </c>
      <c r="N189" s="1456">
        <f t="shared" ref="N189:N210" si="169">N188</f>
        <v>0.5</v>
      </c>
      <c r="O189" s="1513">
        <f t="shared" si="137"/>
        <v>751.91700000000026</v>
      </c>
      <c r="P189" s="1483">
        <f t="shared" si="166"/>
        <v>14193.15226870717</v>
      </c>
      <c r="Q189" s="1366">
        <f t="shared" si="138"/>
        <v>51362.185186894611</v>
      </c>
      <c r="R189" s="1366">
        <f t="shared" si="164"/>
        <v>31514.669766086146</v>
      </c>
      <c r="S189" s="1516">
        <f t="shared" si="139"/>
        <v>1.2900994497849489</v>
      </c>
      <c r="T189" s="135" t="str">
        <f t="shared" si="140"/>
        <v>No</v>
      </c>
      <c r="U189" s="1528">
        <f t="shared" si="141"/>
        <v>1</v>
      </c>
      <c r="V189" s="1496">
        <f t="shared" si="142"/>
        <v>62477.581063052799</v>
      </c>
      <c r="W189" s="1493">
        <f t="shared" si="134"/>
        <v>0.28108743763378785</v>
      </c>
      <c r="X189" s="527">
        <f t="shared" si="143"/>
        <v>26934.091855532108</v>
      </c>
      <c r="Y189" s="1511">
        <f t="shared" si="144"/>
        <v>19603.240788447583</v>
      </c>
      <c r="Z189" s="1533">
        <f t="shared" si="145"/>
        <v>2734.9387524288591</v>
      </c>
      <c r="AA189" s="1533">
        <f t="shared" si="146"/>
        <v>0</v>
      </c>
      <c r="AB189" s="1533">
        <f t="shared" si="147"/>
        <v>13205.309666644245</v>
      </c>
      <c r="AC189" s="1533">
        <f t="shared" si="148"/>
        <v>62477.581063052799</v>
      </c>
      <c r="AD189" s="1005">
        <f t="shared" si="149"/>
        <v>7086.5764347236436</v>
      </c>
      <c r="AE189" s="1456">
        <f t="shared" si="150"/>
        <v>0.43110010658623354</v>
      </c>
      <c r="AF189" s="1506">
        <f t="shared" si="151"/>
        <v>0.31376440084426221</v>
      </c>
      <c r="AG189" s="1506">
        <f t="shared" si="152"/>
        <v>4.3774722162638474E-2</v>
      </c>
      <c r="AH189" s="1506">
        <f t="shared" si="165"/>
        <v>0</v>
      </c>
      <c r="AI189" s="1506">
        <f t="shared" si="153"/>
        <v>0.21136077040686574</v>
      </c>
      <c r="AJ189" s="1506">
        <f t="shared" si="154"/>
        <v>1</v>
      </c>
      <c r="AK189" s="1557">
        <f t="shared" si="155"/>
        <v>26934.091855532111</v>
      </c>
      <c r="AL189" s="1558">
        <f t="shared" si="156"/>
        <v>0</v>
      </c>
      <c r="AM189" s="1558">
        <f t="shared" si="157"/>
        <v>0</v>
      </c>
      <c r="AN189" s="1558">
        <f t="shared" si="158"/>
        <v>26934.091855532111</v>
      </c>
      <c r="AO189" s="1545">
        <f t="shared" si="159"/>
        <v>0</v>
      </c>
    </row>
    <row r="190" spans="1:41">
      <c r="A190" s="100">
        <f>'Input data'!A130</f>
        <v>2030</v>
      </c>
      <c r="B190" s="1508">
        <f>'Input data'!B130</f>
        <v>65.956090000000003</v>
      </c>
      <c r="C190" s="1509">
        <f>'Input data'!C130</f>
        <v>3717.2759118719223</v>
      </c>
      <c r="D190" s="1509">
        <f>'Input data'!E130</f>
        <v>41579903.969008513</v>
      </c>
      <c r="E190" s="1510">
        <f>'Input data'!J130*C190</f>
        <v>44871.859444719004</v>
      </c>
      <c r="F190" s="1511">
        <f>'Input data'!L130</f>
        <v>86451.763413727516</v>
      </c>
      <c r="G190" s="1512">
        <f t="shared" si="168"/>
        <v>17794.324170380001</v>
      </c>
      <c r="H190" s="1511">
        <f t="shared" si="160"/>
        <v>46974.223163660732</v>
      </c>
      <c r="I190" s="1513">
        <f t="shared" si="135"/>
        <v>41579.903969008512</v>
      </c>
      <c r="J190" s="1506">
        <f>$H$19</f>
        <v>0.4</v>
      </c>
      <c r="K190" s="1514">
        <f t="shared" si="162"/>
        <v>14072.812527306756</v>
      </c>
      <c r="L190" s="1514">
        <f t="shared" si="136"/>
        <v>0</v>
      </c>
      <c r="M190" s="1513">
        <f t="shared" si="163"/>
        <v>14072.812527306756</v>
      </c>
      <c r="N190" s="1456">
        <f t="shared" si="169"/>
        <v>0.5</v>
      </c>
      <c r="O190" s="1513">
        <f t="shared" si="137"/>
        <v>751.91700000000026</v>
      </c>
      <c r="P190" s="1483">
        <f t="shared" si="166"/>
        <v>14824.729527306756</v>
      </c>
      <c r="Q190" s="1366">
        <f t="shared" si="138"/>
        <v>49943.817806733976</v>
      </c>
      <c r="R190" s="1366">
        <f t="shared" si="164"/>
        <v>32149.493636353975</v>
      </c>
      <c r="S190" s="1516">
        <f t="shared" si="139"/>
        <v>1.2861919452429416</v>
      </c>
      <c r="T190" s="135" t="str">
        <f t="shared" si="140"/>
        <v>No</v>
      </c>
      <c r="U190" s="1528">
        <f t="shared" si="141"/>
        <v>1</v>
      </c>
      <c r="V190" s="1496">
        <f t="shared" si="142"/>
        <v>61455.887988398666</v>
      </c>
      <c r="W190" s="1493">
        <f t="shared" si="134"/>
        <v>0.28913089147421367</v>
      </c>
      <c r="X190" s="527">
        <f t="shared" si="143"/>
        <v>24947.942381405108</v>
      </c>
      <c r="Y190" s="1511">
        <f t="shared" si="144"/>
        <v>20225.216684398358</v>
      </c>
      <c r="Z190" s="1533">
        <f t="shared" si="145"/>
        <v>2779.6537556460157</v>
      </c>
      <c r="AA190" s="1533">
        <f t="shared" si="146"/>
        <v>0</v>
      </c>
      <c r="AB190" s="1533">
        <f t="shared" si="147"/>
        <v>13503.075166949178</v>
      </c>
      <c r="AC190" s="1533">
        <f t="shared" si="148"/>
        <v>61455.887988398666</v>
      </c>
      <c r="AD190" s="1005">
        <f t="shared" si="149"/>
        <v>7153.6182110251066</v>
      </c>
      <c r="AE190" s="1456">
        <f t="shared" si="150"/>
        <v>0.40594877395823581</v>
      </c>
      <c r="AF190" s="1506">
        <f t="shared" si="151"/>
        <v>0.32910136597841322</v>
      </c>
      <c r="AG190" s="1506">
        <f t="shared" si="152"/>
        <v>4.5230064142442211E-2</v>
      </c>
      <c r="AH190" s="1506">
        <f t="shared" si="165"/>
        <v>0</v>
      </c>
      <c r="AI190" s="1506">
        <f t="shared" si="153"/>
        <v>0.21971979592090868</v>
      </c>
      <c r="AJ190" s="1506">
        <f t="shared" si="154"/>
        <v>1</v>
      </c>
      <c r="AK190" s="1557">
        <f t="shared" si="155"/>
        <v>24947.942381405112</v>
      </c>
      <c r="AL190" s="1558">
        <f t="shared" si="156"/>
        <v>0</v>
      </c>
      <c r="AM190" s="1558">
        <f t="shared" si="157"/>
        <v>0</v>
      </c>
      <c r="AN190" s="1558">
        <f t="shared" si="158"/>
        <v>24947.942381405112</v>
      </c>
      <c r="AO190" s="1545">
        <f t="shared" si="159"/>
        <v>0</v>
      </c>
    </row>
    <row r="191" spans="1:41">
      <c r="A191" s="100">
        <f>'Input data'!A131</f>
        <v>2031</v>
      </c>
      <c r="B191" s="1508">
        <f>'Input data'!B131</f>
        <v>66.518977190687664</v>
      </c>
      <c r="C191" s="1509">
        <f>'Input data'!C131</f>
        <v>3813.477009093895</v>
      </c>
      <c r="D191" s="1509">
        <f>'Input data'!E131</f>
        <v>40172018.684421316</v>
      </c>
      <c r="E191" s="1510">
        <f>'Input data'!J131*C191</f>
        <v>46033.118984046108</v>
      </c>
      <c r="F191" s="1511">
        <f>'Input data'!L131</f>
        <v>86205.137668467418</v>
      </c>
      <c r="G191" s="1512">
        <f t="shared" si="168"/>
        <v>15741.132919951538</v>
      </c>
      <c r="H191" s="1511">
        <f t="shared" si="160"/>
        <v>48372.520276501025</v>
      </c>
      <c r="I191" s="1513">
        <f t="shared" si="135"/>
        <v>40172.018684421317</v>
      </c>
      <c r="J191" s="1506">
        <f>J190</f>
        <v>0.4</v>
      </c>
      <c r="K191" s="1514">
        <f t="shared" si="162"/>
        <v>13596.310568939634</v>
      </c>
      <c r="L191" s="1514">
        <f t="shared" si="136"/>
        <v>0</v>
      </c>
      <c r="M191" s="1513">
        <f t="shared" si="163"/>
        <v>13596.310568939634</v>
      </c>
      <c r="N191" s="1456">
        <f t="shared" si="169"/>
        <v>0.5</v>
      </c>
      <c r="O191" s="1513">
        <f t="shared" si="137"/>
        <v>751.91700000000026</v>
      </c>
      <c r="P191" s="1483">
        <f t="shared" si="166"/>
        <v>14348.227568939634</v>
      </c>
      <c r="Q191" s="1366">
        <f t="shared" si="138"/>
        <v>49765.42562751293</v>
      </c>
      <c r="R191" s="1366">
        <f t="shared" si="164"/>
        <v>34024.292707561392</v>
      </c>
      <c r="S191" s="1516">
        <f t="shared" si="139"/>
        <v>1.3258517817233786</v>
      </c>
      <c r="T191" s="135" t="str">
        <f t="shared" si="140"/>
        <v>No</v>
      </c>
      <c r="U191" s="1528">
        <f t="shared" si="141"/>
        <v>1</v>
      </c>
      <c r="V191" s="1496">
        <f t="shared" si="142"/>
        <v>60542.923251607295</v>
      </c>
      <c r="W191" s="1493">
        <f t="shared" si="134"/>
        <v>0.29768776097259209</v>
      </c>
      <c r="X191" s="527">
        <f t="shared" si="143"/>
        <v>24103.211210652789</v>
      </c>
      <c r="Y191" s="1511">
        <f t="shared" si="144"/>
        <v>19755.05407593066</v>
      </c>
      <c r="Z191" s="1533">
        <f t="shared" si="145"/>
        <v>2832.1304900599107</v>
      </c>
      <c r="AA191" s="1533">
        <f t="shared" si="146"/>
        <v>0</v>
      </c>
      <c r="AB191" s="1533">
        <f t="shared" si="147"/>
        <v>13852.527474963932</v>
      </c>
      <c r="AC191" s="1533">
        <f t="shared" si="148"/>
        <v>60542.923251607295</v>
      </c>
      <c r="AD191" s="1005">
        <f t="shared" si="149"/>
        <v>8362.0782907012508</v>
      </c>
      <c r="AE191" s="1456">
        <f t="shared" si="150"/>
        <v>0.39811773063027472</v>
      </c>
      <c r="AF191" s="1506">
        <f t="shared" si="151"/>
        <v>0.32629831886101079</v>
      </c>
      <c r="AG191" s="1506">
        <f t="shared" si="152"/>
        <v>4.6778885754987447E-2</v>
      </c>
      <c r="AH191" s="1506">
        <f t="shared" si="165"/>
        <v>0</v>
      </c>
      <c r="AI191" s="1506">
        <f t="shared" si="153"/>
        <v>0.228805064753727</v>
      </c>
      <c r="AJ191" s="1506">
        <f t="shared" si="154"/>
        <v>0.99999999999999989</v>
      </c>
      <c r="AK191" s="1557">
        <f t="shared" si="155"/>
        <v>24103.211210652793</v>
      </c>
      <c r="AL191" s="1558">
        <f t="shared" si="156"/>
        <v>0</v>
      </c>
      <c r="AM191" s="1558">
        <f t="shared" si="157"/>
        <v>0</v>
      </c>
      <c r="AN191" s="1558">
        <f t="shared" si="158"/>
        <v>24103.211210652793</v>
      </c>
      <c r="AO191" s="1545">
        <f t="shared" si="159"/>
        <v>0</v>
      </c>
    </row>
    <row r="192" spans="1:41">
      <c r="A192" s="100">
        <f>'Input data'!A132</f>
        <v>2032</v>
      </c>
      <c r="B192" s="1508">
        <f>'Input data'!B132</f>
        <v>67.08666821358311</v>
      </c>
      <c r="C192" s="1509">
        <f>'Input data'!C132</f>
        <v>3916.9054384503629</v>
      </c>
      <c r="D192" s="1509">
        <f>'Input data'!E132</f>
        <v>39638613.148632608</v>
      </c>
      <c r="E192" s="1510">
        <f>'Input data'!J132*C192</f>
        <v>47281.620858725182</v>
      </c>
      <c r="F192" s="1511">
        <f>'Input data'!L132</f>
        <v>86920.234007357794</v>
      </c>
      <c r="G192" s="1512">
        <f>G177*(1-E6)</f>
        <v>13687.941669523079</v>
      </c>
      <c r="H192" s="1511">
        <f t="shared" si="160"/>
        <v>50641.535160321655</v>
      </c>
      <c r="I192" s="1513">
        <f t="shared" si="135"/>
        <v>39638.613148632605</v>
      </c>
      <c r="J192" s="1506">
        <f t="shared" ref="J192:J210" si="170">J191</f>
        <v>0.4</v>
      </c>
      <c r="K192" s="1514">
        <f t="shared" si="162"/>
        <v>13415.778259106088</v>
      </c>
      <c r="L192" s="1514">
        <f t="shared" si="136"/>
        <v>0</v>
      </c>
      <c r="M192" s="1513">
        <f t="shared" si="163"/>
        <v>13415.778259106088</v>
      </c>
      <c r="N192" s="1456">
        <f t="shared" si="169"/>
        <v>0.5</v>
      </c>
      <c r="O192" s="1513">
        <f t="shared" si="137"/>
        <v>751.91700000000026</v>
      </c>
      <c r="P192" s="1483">
        <f t="shared" si="166"/>
        <v>14167.695259106087</v>
      </c>
      <c r="Q192" s="1366">
        <f t="shared" si="138"/>
        <v>50161.781570738647</v>
      </c>
      <c r="R192" s="1366">
        <f t="shared" si="164"/>
        <v>36473.839901215571</v>
      </c>
      <c r="S192" s="1516">
        <f t="shared" si="139"/>
        <v>1.3827049571871139</v>
      </c>
      <c r="T192" s="135" t="str">
        <f t="shared" si="140"/>
        <v>No</v>
      </c>
      <c r="U192" s="1528">
        <f t="shared" si="141"/>
        <v>1</v>
      </c>
      <c r="V192" s="1496">
        <f t="shared" si="142"/>
        <v>60541.620325798714</v>
      </c>
      <c r="W192" s="1493">
        <f t="shared" si="134"/>
        <v>0.3034807025407471</v>
      </c>
      <c r="X192" s="527">
        <f t="shared" si="143"/>
        <v>23783.167889179564</v>
      </c>
      <c r="Y192" s="1511">
        <f t="shared" si="144"/>
        <v>19641.66957103182</v>
      </c>
      <c r="Z192" s="1533">
        <f t="shared" si="145"/>
        <v>2888.549661721353</v>
      </c>
      <c r="AA192" s="1533">
        <f t="shared" si="146"/>
        <v>0</v>
      </c>
      <c r="AB192" s="1533">
        <f t="shared" si="147"/>
        <v>14228.233203865982</v>
      </c>
      <c r="AC192" s="1533">
        <f t="shared" si="148"/>
        <v>60541.620325798714</v>
      </c>
      <c r="AD192" s="1005">
        <f t="shared" si="149"/>
        <v>10095.226219656484</v>
      </c>
      <c r="AE192" s="1456">
        <f t="shared" si="150"/>
        <v>0.39283996300714796</v>
      </c>
      <c r="AF192" s="1506">
        <f t="shared" si="151"/>
        <v>0.32443250552813296</v>
      </c>
      <c r="AG192" s="1506">
        <f t="shared" si="152"/>
        <v>4.7711799687172395E-2</v>
      </c>
      <c r="AH192" s="1506">
        <f t="shared" si="165"/>
        <v>0</v>
      </c>
      <c r="AI192" s="1506">
        <f t="shared" si="153"/>
        <v>0.23501573177754673</v>
      </c>
      <c r="AJ192" s="1506">
        <f t="shared" si="154"/>
        <v>1</v>
      </c>
      <c r="AK192" s="1557">
        <f t="shared" si="155"/>
        <v>23783.16788917956</v>
      </c>
      <c r="AL192" s="1558">
        <f t="shared" si="156"/>
        <v>0</v>
      </c>
      <c r="AM192" s="1558">
        <f t="shared" si="157"/>
        <v>0</v>
      </c>
      <c r="AN192" s="1558">
        <f t="shared" si="158"/>
        <v>23783.16788917956</v>
      </c>
      <c r="AO192" s="1545">
        <f t="shared" si="159"/>
        <v>0</v>
      </c>
    </row>
    <row r="193" spans="1:41">
      <c r="A193" s="100">
        <f>'Input data'!A133</f>
        <v>2033</v>
      </c>
      <c r="B193" s="1508">
        <f>'Input data'!B133</f>
        <v>67.659204065895452</v>
      </c>
      <c r="C193" s="1509">
        <f>'Input data'!C133</f>
        <v>4023.8304695138613</v>
      </c>
      <c r="D193" s="1509">
        <f>'Input data'!E133</f>
        <v>38783300.848650038</v>
      </c>
      <c r="E193" s="1510">
        <f>'Input data'!J133*C193</f>
        <v>48572.330797602815</v>
      </c>
      <c r="F193" s="1511">
        <f>'Input data'!L133</f>
        <v>87355.631646252848</v>
      </c>
      <c r="G193" s="1512">
        <f>G192</f>
        <v>13687.941669523079</v>
      </c>
      <c r="H193" s="1511">
        <f t="shared" si="160"/>
        <v>50579.483950642127</v>
      </c>
      <c r="I193" s="1513">
        <f t="shared" si="135"/>
        <v>38783.30084865004</v>
      </c>
      <c r="J193" s="1506">
        <f t="shared" si="170"/>
        <v>0.4</v>
      </c>
      <c r="K193" s="1514">
        <f t="shared" si="162"/>
        <v>13126.29587696962</v>
      </c>
      <c r="L193" s="1514">
        <f t="shared" si="136"/>
        <v>0</v>
      </c>
      <c r="M193" s="1513">
        <f t="shared" si="163"/>
        <v>13126.29587696962</v>
      </c>
      <c r="N193" s="1456">
        <f t="shared" si="169"/>
        <v>0.5</v>
      </c>
      <c r="O193" s="1513">
        <f t="shared" si="137"/>
        <v>751.91700000000026</v>
      </c>
      <c r="P193" s="1483">
        <f t="shared" si="166"/>
        <v>13878.212876969619</v>
      </c>
      <c r="Q193" s="1366">
        <f t="shared" si="138"/>
        <v>50389.212743195589</v>
      </c>
      <c r="R193" s="1366">
        <f t="shared" si="164"/>
        <v>36701.271073672513</v>
      </c>
      <c r="S193" s="1516">
        <f t="shared" si="139"/>
        <v>1.3533300189690385</v>
      </c>
      <c r="T193" s="135" t="str">
        <f t="shared" si="140"/>
        <v>No</v>
      </c>
      <c r="U193" s="1528">
        <f t="shared" si="141"/>
        <v>1</v>
      </c>
      <c r="V193" s="1496">
        <f t="shared" si="142"/>
        <v>60236.399412247294</v>
      </c>
      <c r="W193" s="1493">
        <f t="shared" si="134"/>
        <v>0.31044629548126956</v>
      </c>
      <c r="X193" s="527">
        <f t="shared" si="143"/>
        <v>23269.980509190023</v>
      </c>
      <c r="Y193" s="1511">
        <f t="shared" si="144"/>
        <v>19402.902303780367</v>
      </c>
      <c r="Z193" s="1533">
        <f t="shared" si="145"/>
        <v>2946.8761945712818</v>
      </c>
      <c r="AA193" s="1533">
        <f t="shared" si="146"/>
        <v>0</v>
      </c>
      <c r="AB193" s="1533">
        <f t="shared" si="147"/>
        <v>14616.640404705622</v>
      </c>
      <c r="AC193" s="1533">
        <f t="shared" si="148"/>
        <v>60236.399412247294</v>
      </c>
      <c r="AD193" s="1005">
        <f t="shared" si="149"/>
        <v>9582.0388396669441</v>
      </c>
      <c r="AE193" s="1456">
        <f t="shared" si="150"/>
        <v>0.38631094713902769</v>
      </c>
      <c r="AF193" s="1506">
        <f t="shared" si="151"/>
        <v>0.32211258463492026</v>
      </c>
      <c r="AG193" s="1506">
        <f t="shared" si="152"/>
        <v>4.8921851626678094E-2</v>
      </c>
      <c r="AH193" s="1506">
        <f t="shared" si="165"/>
        <v>0</v>
      </c>
      <c r="AI193" s="1506">
        <f t="shared" si="153"/>
        <v>0.24265461659937396</v>
      </c>
      <c r="AJ193" s="1506">
        <f t="shared" si="154"/>
        <v>1</v>
      </c>
      <c r="AK193" s="1557">
        <f t="shared" si="155"/>
        <v>23269.98050919002</v>
      </c>
      <c r="AL193" s="1558">
        <f t="shared" si="156"/>
        <v>0</v>
      </c>
      <c r="AM193" s="1558">
        <f t="shared" si="157"/>
        <v>0</v>
      </c>
      <c r="AN193" s="1558">
        <f t="shared" si="158"/>
        <v>23269.98050919002</v>
      </c>
      <c r="AO193" s="1545">
        <f t="shared" si="159"/>
        <v>0</v>
      </c>
    </row>
    <row r="194" spans="1:41">
      <c r="A194" s="100">
        <f>'Input data'!A134</f>
        <v>2034</v>
      </c>
      <c r="B194" s="1508">
        <f>'Input data'!B134</f>
        <v>68.236626094715163</v>
      </c>
      <c r="C194" s="1509">
        <f>'Input data'!C134</f>
        <v>4047.8499716455863</v>
      </c>
      <c r="D194" s="1509">
        <f>'Input data'!E134</f>
        <v>38249557.30478432</v>
      </c>
      <c r="E194" s="1510">
        <f>'Input data'!J134*C194</f>
        <v>48862.27422637675</v>
      </c>
      <c r="F194" s="1511">
        <f>'Input data'!L134</f>
        <v>87111.831531161064</v>
      </c>
      <c r="G194" s="1512">
        <f t="shared" ref="G194:G210" si="171">G193</f>
        <v>13687.941669523079</v>
      </c>
      <c r="H194" s="1511">
        <f t="shared" si="160"/>
        <v>50244.962718643277</v>
      </c>
      <c r="I194" s="1513">
        <f t="shared" si="135"/>
        <v>38249.557304784321</v>
      </c>
      <c r="J194" s="1506">
        <f t="shared" si="170"/>
        <v>0.4</v>
      </c>
      <c r="K194" s="1514">
        <f t="shared" si="162"/>
        <v>12945.649167538035</v>
      </c>
      <c r="L194" s="1514">
        <f t="shared" si="136"/>
        <v>0</v>
      </c>
      <c r="M194" s="1513">
        <f t="shared" si="163"/>
        <v>12945.649167538035</v>
      </c>
      <c r="N194" s="1456">
        <f t="shared" si="169"/>
        <v>0.5</v>
      </c>
      <c r="O194" s="1513">
        <f t="shared" si="137"/>
        <v>751.91700000000026</v>
      </c>
      <c r="P194" s="1483">
        <f t="shared" si="166"/>
        <v>13697.566167538034</v>
      </c>
      <c r="Q194" s="1366">
        <f t="shared" si="138"/>
        <v>50235.33822062832</v>
      </c>
      <c r="R194" s="1366">
        <f t="shared" si="164"/>
        <v>36547.396551105237</v>
      </c>
      <c r="S194" s="1516">
        <f t="shared" si="139"/>
        <v>1.3394388032758531</v>
      </c>
      <c r="T194" s="135" t="str">
        <f t="shared" si="140"/>
        <v>No</v>
      </c>
      <c r="U194" s="1528">
        <f t="shared" si="141"/>
        <v>1</v>
      </c>
      <c r="V194" s="1496">
        <f t="shared" si="142"/>
        <v>59826.227693403351</v>
      </c>
      <c r="W194" s="1493">
        <f t="shared" si="134"/>
        <v>0.31322500466537995</v>
      </c>
      <c r="X194" s="527">
        <f t="shared" si="143"/>
        <v>22949.734382870593</v>
      </c>
      <c r="Y194" s="1511">
        <f t="shared" si="144"/>
        <v>19212.62301706522</v>
      </c>
      <c r="Z194" s="1533">
        <f t="shared" si="145"/>
        <v>2959.9785922623614</v>
      </c>
      <c r="AA194" s="1533">
        <f t="shared" si="146"/>
        <v>0</v>
      </c>
      <c r="AB194" s="1533">
        <f t="shared" si="147"/>
        <v>14703.891701205175</v>
      </c>
      <c r="AC194" s="1533">
        <f t="shared" si="148"/>
        <v>59826.227693403351</v>
      </c>
      <c r="AD194" s="1005">
        <f t="shared" si="149"/>
        <v>9261.7927133475132</v>
      </c>
      <c r="AE194" s="1456">
        <f t="shared" si="150"/>
        <v>0.38360657637454737</v>
      </c>
      <c r="AF194" s="1506">
        <f t="shared" si="151"/>
        <v>0.32114047229462322</v>
      </c>
      <c r="AG194" s="1506">
        <f t="shared" si="152"/>
        <v>4.9476269963595568E-2</v>
      </c>
      <c r="AH194" s="1506">
        <f t="shared" si="165"/>
        <v>0</v>
      </c>
      <c r="AI194" s="1506">
        <f t="shared" si="153"/>
        <v>0.24577668136723382</v>
      </c>
      <c r="AJ194" s="1506">
        <f t="shared" si="154"/>
        <v>1</v>
      </c>
      <c r="AK194" s="1557">
        <f t="shared" si="155"/>
        <v>22949.734382870589</v>
      </c>
      <c r="AL194" s="1558">
        <f t="shared" si="156"/>
        <v>0</v>
      </c>
      <c r="AM194" s="1558">
        <f t="shared" si="157"/>
        <v>0</v>
      </c>
      <c r="AN194" s="1558">
        <f t="shared" si="158"/>
        <v>22949.734382870589</v>
      </c>
      <c r="AO194" s="1545">
        <f t="shared" si="159"/>
        <v>0</v>
      </c>
    </row>
    <row r="195" spans="1:41">
      <c r="A195" s="100">
        <f>'Input data'!A135</f>
        <v>2035</v>
      </c>
      <c r="B195" s="1508">
        <f>'Input data'!B135</f>
        <v>68.818976000000006</v>
      </c>
      <c r="C195" s="1509">
        <f>'Input data'!C135</f>
        <v>0</v>
      </c>
      <c r="D195" s="1509">
        <f>'Input data'!E135</f>
        <v>38181094.662935674</v>
      </c>
      <c r="E195" s="1510">
        <f>'Input data'!J135*C195</f>
        <v>0</v>
      </c>
      <c r="F195" s="1511">
        <f>'Input data'!L135</f>
        <v>38181.094662935677</v>
      </c>
      <c r="G195" s="1512">
        <f t="shared" si="171"/>
        <v>13687.941669523079</v>
      </c>
      <c r="H195" s="1511">
        <f t="shared" si="160"/>
        <v>22143.192959820935</v>
      </c>
      <c r="I195" s="1513">
        <f t="shared" si="135"/>
        <v>38181.094662935677</v>
      </c>
      <c r="J195" s="1506">
        <f t="shared" si="170"/>
        <v>0.4</v>
      </c>
      <c r="K195" s="1514">
        <f t="shared" si="162"/>
        <v>12922.477831582613</v>
      </c>
      <c r="L195" s="1514">
        <f t="shared" si="136"/>
        <v>0</v>
      </c>
      <c r="M195" s="1513">
        <f t="shared" si="163"/>
        <v>12922.477831582613</v>
      </c>
      <c r="N195" s="1456">
        <f t="shared" si="169"/>
        <v>0.5</v>
      </c>
      <c r="O195" s="1513">
        <f t="shared" si="137"/>
        <v>751.91700000000026</v>
      </c>
      <c r="P195" s="1483">
        <f t="shared" si="166"/>
        <v>13674.394831582613</v>
      </c>
      <c r="Q195" s="1366">
        <f t="shared" si="138"/>
        <v>22156.739797761402</v>
      </c>
      <c r="R195" s="1366">
        <f t="shared" si="164"/>
        <v>8468.7981282383225</v>
      </c>
      <c r="S195" s="1516">
        <f t="shared" si="139"/>
        <v>-11.262942755966773</v>
      </c>
      <c r="T195" s="135" t="str">
        <f t="shared" si="140"/>
        <v>No</v>
      </c>
      <c r="U195" s="1528">
        <f t="shared" si="141"/>
        <v>0</v>
      </c>
      <c r="V195" s="1496">
        <f t="shared" si="142"/>
        <v>38181.094662935677</v>
      </c>
      <c r="W195" s="1493">
        <f t="shared" si="134"/>
        <v>0</v>
      </c>
      <c r="X195" s="527">
        <f t="shared" si="143"/>
        <v>22156.739797761405</v>
      </c>
      <c r="Y195" s="1511">
        <f t="shared" si="144"/>
        <v>15272.437865174272</v>
      </c>
      <c r="Z195" s="1533">
        <f t="shared" si="145"/>
        <v>751.91700000000026</v>
      </c>
      <c r="AA195" s="1533">
        <f t="shared" si="146"/>
        <v>0</v>
      </c>
      <c r="AB195" s="1533">
        <f t="shared" si="147"/>
        <v>0</v>
      </c>
      <c r="AC195" s="1533">
        <f t="shared" si="148"/>
        <v>38181.094662935677</v>
      </c>
      <c r="AD195" s="1005">
        <f t="shared" si="149"/>
        <v>8468.7981282383262</v>
      </c>
      <c r="AE195" s="1456">
        <f t="shared" si="150"/>
        <v>0.58030656253735113</v>
      </c>
      <c r="AF195" s="1506">
        <f t="shared" si="151"/>
        <v>0.4</v>
      </c>
      <c r="AG195" s="1506">
        <f t="shared" si="152"/>
        <v>1.9693437462648868E-2</v>
      </c>
      <c r="AH195" s="1506">
        <f t="shared" si="165"/>
        <v>0</v>
      </c>
      <c r="AI195" s="1506">
        <f t="shared" si="153"/>
        <v>0</v>
      </c>
      <c r="AJ195" s="1506">
        <f t="shared" si="154"/>
        <v>1</v>
      </c>
      <c r="AK195" s="1557">
        <f t="shared" si="155"/>
        <v>22908.656797761403</v>
      </c>
      <c r="AL195" s="1558">
        <f t="shared" si="156"/>
        <v>0</v>
      </c>
      <c r="AM195" s="1558">
        <f t="shared" si="157"/>
        <v>-751.91700000000026</v>
      </c>
      <c r="AN195" s="1558">
        <f t="shared" si="158"/>
        <v>22156.739797761402</v>
      </c>
      <c r="AO195" s="1545">
        <f t="shared" si="159"/>
        <v>0</v>
      </c>
    </row>
    <row r="196" spans="1:41">
      <c r="A196" s="100">
        <f>'Input data'!A136</f>
        <v>2036</v>
      </c>
      <c r="B196" s="1508">
        <f>'Input data'!B136</f>
        <v>69.322810489383542</v>
      </c>
      <c r="C196" s="1509">
        <f>'Input data'!C136</f>
        <v>0</v>
      </c>
      <c r="D196" s="1509">
        <f>'Input data'!E136</f>
        <v>32537026.437175773</v>
      </c>
      <c r="E196" s="1510">
        <f>'Input data'!J136*C196</f>
        <v>0</v>
      </c>
      <c r="F196" s="1511">
        <f>'Input data'!L136</f>
        <v>32537.026437175773</v>
      </c>
      <c r="G196" s="1512">
        <f t="shared" si="171"/>
        <v>13687.941669523079</v>
      </c>
      <c r="H196" s="1511">
        <f t="shared" si="160"/>
        <v>16846.50436983339</v>
      </c>
      <c r="I196" s="1513">
        <f t="shared" si="135"/>
        <v>32537.026437175773</v>
      </c>
      <c r="J196" s="1506">
        <f t="shared" si="170"/>
        <v>0.4</v>
      </c>
      <c r="K196" s="1514">
        <f t="shared" si="162"/>
        <v>11012.230177051004</v>
      </c>
      <c r="L196" s="1514">
        <f t="shared" si="136"/>
        <v>0</v>
      </c>
      <c r="M196" s="1513">
        <f t="shared" si="163"/>
        <v>11012.230177051004</v>
      </c>
      <c r="N196" s="1456">
        <f t="shared" si="169"/>
        <v>0.5</v>
      </c>
      <c r="O196" s="1513">
        <f t="shared" si="137"/>
        <v>751.91700000000026</v>
      </c>
      <c r="P196" s="1483">
        <f t="shared" si="166"/>
        <v>11764.147177051003</v>
      </c>
      <c r="Q196" s="1366">
        <f t="shared" si="138"/>
        <v>18770.298862305466</v>
      </c>
      <c r="R196" s="1366">
        <f t="shared" si="164"/>
        <v>5082.3571927823868</v>
      </c>
      <c r="S196" s="1516">
        <f t="shared" si="139"/>
        <v>-6.7591997425013703</v>
      </c>
      <c r="T196" s="135" t="str">
        <f t="shared" si="140"/>
        <v>No</v>
      </c>
      <c r="U196" s="1528">
        <f t="shared" si="141"/>
        <v>0</v>
      </c>
      <c r="V196" s="1496">
        <f t="shared" si="142"/>
        <v>32537.026437175773</v>
      </c>
      <c r="W196" s="1493">
        <f t="shared" si="134"/>
        <v>0</v>
      </c>
      <c r="X196" s="527">
        <f t="shared" si="143"/>
        <v>18770.298862305463</v>
      </c>
      <c r="Y196" s="1511">
        <f t="shared" si="144"/>
        <v>13014.810574870309</v>
      </c>
      <c r="Z196" s="1533">
        <f t="shared" si="145"/>
        <v>751.91700000000026</v>
      </c>
      <c r="AA196" s="1533">
        <f t="shared" si="146"/>
        <v>0</v>
      </c>
      <c r="AB196" s="1533">
        <f t="shared" si="147"/>
        <v>0</v>
      </c>
      <c r="AC196" s="1533">
        <f t="shared" si="148"/>
        <v>32537.026437175773</v>
      </c>
      <c r="AD196" s="1005">
        <f t="shared" si="149"/>
        <v>5082.3571927823832</v>
      </c>
      <c r="AE196" s="1456">
        <f t="shared" si="150"/>
        <v>0.57689042047367656</v>
      </c>
      <c r="AF196" s="1506">
        <f t="shared" si="151"/>
        <v>0.4</v>
      </c>
      <c r="AG196" s="1506">
        <f t="shared" si="152"/>
        <v>2.3109579526323393E-2</v>
      </c>
      <c r="AH196" s="1506">
        <f t="shared" si="165"/>
        <v>0</v>
      </c>
      <c r="AI196" s="1506">
        <f t="shared" si="153"/>
        <v>0</v>
      </c>
      <c r="AJ196" s="1506">
        <f t="shared" si="154"/>
        <v>1</v>
      </c>
      <c r="AK196" s="1557">
        <f t="shared" si="155"/>
        <v>19522.215862305464</v>
      </c>
      <c r="AL196" s="1558">
        <f t="shared" si="156"/>
        <v>0</v>
      </c>
      <c r="AM196" s="1558">
        <f t="shared" si="157"/>
        <v>-751.91700000000026</v>
      </c>
      <c r="AN196" s="1558">
        <f t="shared" si="158"/>
        <v>18770.298862305463</v>
      </c>
      <c r="AO196" s="1545">
        <f t="shared" si="159"/>
        <v>0</v>
      </c>
    </row>
    <row r="197" spans="1:41">
      <c r="A197" s="100">
        <f>'Input data'!A137</f>
        <v>2037</v>
      </c>
      <c r="B197" s="1508">
        <f>'Input data'!B137</f>
        <v>69.830333629884052</v>
      </c>
      <c r="C197" s="1509">
        <f>'Input data'!C137</f>
        <v>0</v>
      </c>
      <c r="D197" s="1509">
        <f>'Input data'!E137</f>
        <v>27502394.556130182</v>
      </c>
      <c r="E197" s="1510">
        <f>'Input data'!J137*C197</f>
        <v>0</v>
      </c>
      <c r="F197" s="1511">
        <f>'Input data'!L137</f>
        <v>27502.394556130181</v>
      </c>
      <c r="G197" s="1512">
        <f t="shared" si="171"/>
        <v>13687.941669523079</v>
      </c>
      <c r="H197" s="1511">
        <f t="shared" si="160"/>
        <v>12121.742695725279</v>
      </c>
      <c r="I197" s="1513">
        <f t="shared" si="135"/>
        <v>27502.394556130181</v>
      </c>
      <c r="J197" s="1506">
        <f t="shared" si="170"/>
        <v>0.4</v>
      </c>
      <c r="K197" s="1514">
        <f t="shared" si="162"/>
        <v>9308.2476315702534</v>
      </c>
      <c r="L197" s="1514">
        <f t="shared" si="136"/>
        <v>0</v>
      </c>
      <c r="M197" s="1513">
        <f t="shared" si="163"/>
        <v>9308.2476315702534</v>
      </c>
      <c r="N197" s="1456">
        <f t="shared" si="169"/>
        <v>0.5</v>
      </c>
      <c r="O197" s="1513">
        <f t="shared" si="137"/>
        <v>751.91700000000026</v>
      </c>
      <c r="P197" s="1483">
        <f t="shared" si="166"/>
        <v>10060.164631570253</v>
      </c>
      <c r="Q197" s="1366">
        <f t="shared" si="138"/>
        <v>15749.519733678106</v>
      </c>
      <c r="R197" s="1366">
        <f t="shared" si="164"/>
        <v>2061.5780641550264</v>
      </c>
      <c r="S197" s="1516">
        <f t="shared" si="139"/>
        <v>-2.7417628064733512</v>
      </c>
      <c r="T197" s="135" t="str">
        <f t="shared" si="140"/>
        <v>No</v>
      </c>
      <c r="U197" s="1528">
        <f t="shared" si="141"/>
        <v>0</v>
      </c>
      <c r="V197" s="1496">
        <f t="shared" si="142"/>
        <v>27502.394556130181</v>
      </c>
      <c r="W197" s="1493">
        <f t="shared" si="134"/>
        <v>0</v>
      </c>
      <c r="X197" s="527">
        <f t="shared" si="143"/>
        <v>15749.519733678108</v>
      </c>
      <c r="Y197" s="1511">
        <f t="shared" si="144"/>
        <v>11000.957822452074</v>
      </c>
      <c r="Z197" s="1533">
        <f t="shared" si="145"/>
        <v>751.91700000000026</v>
      </c>
      <c r="AA197" s="1533">
        <f t="shared" si="146"/>
        <v>0</v>
      </c>
      <c r="AB197" s="1533">
        <f t="shared" si="147"/>
        <v>0</v>
      </c>
      <c r="AC197" s="1533">
        <f t="shared" si="148"/>
        <v>27502.394556130181</v>
      </c>
      <c r="AD197" s="1005">
        <f t="shared" si="149"/>
        <v>2061.5780641550282</v>
      </c>
      <c r="AE197" s="1456">
        <f t="shared" si="150"/>
        <v>0.57265994426538391</v>
      </c>
      <c r="AF197" s="1506">
        <f t="shared" si="151"/>
        <v>0.40000000000000008</v>
      </c>
      <c r="AG197" s="1506">
        <f t="shared" si="152"/>
        <v>2.7340055734616054E-2</v>
      </c>
      <c r="AH197" s="1506">
        <f t="shared" si="165"/>
        <v>0</v>
      </c>
      <c r="AI197" s="1506">
        <f t="shared" si="153"/>
        <v>0</v>
      </c>
      <c r="AJ197" s="1506">
        <f t="shared" si="154"/>
        <v>1</v>
      </c>
      <c r="AK197" s="1557">
        <f t="shared" si="155"/>
        <v>16501.436733678107</v>
      </c>
      <c r="AL197" s="1558">
        <f t="shared" si="156"/>
        <v>0</v>
      </c>
      <c r="AM197" s="1558">
        <f t="shared" si="157"/>
        <v>-751.91700000000026</v>
      </c>
      <c r="AN197" s="1558">
        <f t="shared" si="158"/>
        <v>15749.519733678108</v>
      </c>
      <c r="AO197" s="1545">
        <f t="shared" si="159"/>
        <v>0</v>
      </c>
    </row>
    <row r="198" spans="1:41">
      <c r="A198" s="100">
        <f>'Input data'!A138</f>
        <v>2038</v>
      </c>
      <c r="B198" s="1508">
        <f>'Input data'!B138</f>
        <v>70.341572426693446</v>
      </c>
      <c r="C198" s="1509">
        <f>'Input data'!C138</f>
        <v>0</v>
      </c>
      <c r="D198" s="1509">
        <f>'Input data'!E138</f>
        <v>25672806.243326273</v>
      </c>
      <c r="E198" s="1510">
        <f>'Input data'!J138*C198</f>
        <v>0</v>
      </c>
      <c r="F198" s="1511">
        <f>'Input data'!L138</f>
        <v>25672.806243326271</v>
      </c>
      <c r="G198" s="1512">
        <f t="shared" si="171"/>
        <v>13687.941669523079</v>
      </c>
      <c r="H198" s="1511">
        <f t="shared" si="160"/>
        <v>10404.761406134596</v>
      </c>
      <c r="I198" s="1513">
        <f t="shared" si="135"/>
        <v>25672.806243326271</v>
      </c>
      <c r="J198" s="1506">
        <f t="shared" si="170"/>
        <v>0.4</v>
      </c>
      <c r="K198" s="1514">
        <f t="shared" si="162"/>
        <v>8689.0193296619145</v>
      </c>
      <c r="L198" s="1514">
        <f t="shared" si="136"/>
        <v>0</v>
      </c>
      <c r="M198" s="1513">
        <f t="shared" si="163"/>
        <v>8689.0193296619145</v>
      </c>
      <c r="N198" s="1456">
        <f t="shared" si="169"/>
        <v>0.5</v>
      </c>
      <c r="O198" s="1513">
        <f t="shared" si="137"/>
        <v>751.91700000000026</v>
      </c>
      <c r="P198" s="1483">
        <f t="shared" si="166"/>
        <v>9440.936329661914</v>
      </c>
      <c r="Q198" s="1366">
        <f t="shared" si="138"/>
        <v>14651.766745995761</v>
      </c>
      <c r="R198" s="1366">
        <f t="shared" si="164"/>
        <v>963.82507647268176</v>
      </c>
      <c r="S198" s="1516">
        <f t="shared" si="139"/>
        <v>-1.2818237604319096</v>
      </c>
      <c r="T198" s="135" t="str">
        <f t="shared" si="140"/>
        <v>No</v>
      </c>
      <c r="U198" s="1528">
        <f t="shared" si="141"/>
        <v>0</v>
      </c>
      <c r="V198" s="1496">
        <f t="shared" si="142"/>
        <v>25672.806243326275</v>
      </c>
      <c r="W198" s="1493">
        <f t="shared" si="134"/>
        <v>-2.2204460492503131E-16</v>
      </c>
      <c r="X198" s="527">
        <f t="shared" si="143"/>
        <v>14651.766745995763</v>
      </c>
      <c r="Y198" s="1511">
        <f t="shared" si="144"/>
        <v>10269.122497330509</v>
      </c>
      <c r="Z198" s="1533">
        <f t="shared" si="145"/>
        <v>751.91700000000026</v>
      </c>
      <c r="AA198" s="1533">
        <f t="shared" si="146"/>
        <v>0</v>
      </c>
      <c r="AB198" s="1533">
        <f t="shared" si="147"/>
        <v>0</v>
      </c>
      <c r="AC198" s="1533">
        <f t="shared" si="148"/>
        <v>25672.806243326275</v>
      </c>
      <c r="AD198" s="1005">
        <f t="shared" si="149"/>
        <v>963.82507647268358</v>
      </c>
      <c r="AE198" s="1456">
        <f t="shared" si="150"/>
        <v>0.57071153839306266</v>
      </c>
      <c r="AF198" s="1506">
        <f t="shared" si="151"/>
        <v>0.39999999999999997</v>
      </c>
      <c r="AG198" s="1506">
        <f t="shared" si="152"/>
        <v>2.9288461606937238E-2</v>
      </c>
      <c r="AH198" s="1506">
        <f t="shared" si="165"/>
        <v>0</v>
      </c>
      <c r="AI198" s="1506">
        <f t="shared" si="153"/>
        <v>0</v>
      </c>
      <c r="AJ198" s="1506">
        <f t="shared" si="154"/>
        <v>0.99999999999999989</v>
      </c>
      <c r="AK198" s="1557">
        <f t="shared" si="155"/>
        <v>15403.683745995761</v>
      </c>
      <c r="AL198" s="1558">
        <f t="shared" si="156"/>
        <v>0</v>
      </c>
      <c r="AM198" s="1558">
        <f t="shared" si="157"/>
        <v>-751.91700000000026</v>
      </c>
      <c r="AN198" s="1558">
        <f t="shared" si="158"/>
        <v>14651.766745995761</v>
      </c>
      <c r="AO198" s="1545">
        <f t="shared" si="159"/>
        <v>0</v>
      </c>
    </row>
    <row r="199" spans="1:41">
      <c r="A199" s="100">
        <f>'Input data'!A139</f>
        <v>2039</v>
      </c>
      <c r="B199" s="1508">
        <f>'Input data'!B139</f>
        <v>70.856554082712819</v>
      </c>
      <c r="C199" s="1509">
        <f>'Input data'!C139</f>
        <v>0</v>
      </c>
      <c r="D199" s="1509">
        <f>'Input data'!E139</f>
        <v>23843217.930522356</v>
      </c>
      <c r="E199" s="1510">
        <f>'Input data'!J139*C199</f>
        <v>0</v>
      </c>
      <c r="F199" s="1511">
        <f>'Input data'!L139</f>
        <v>23843.217930522354</v>
      </c>
      <c r="G199" s="1512">
        <f t="shared" si="171"/>
        <v>13687.941669523079</v>
      </c>
      <c r="H199" s="1511">
        <f t="shared" si="160"/>
        <v>8687.780116543905</v>
      </c>
      <c r="I199" s="1513">
        <f t="shared" si="135"/>
        <v>23843.217930522354</v>
      </c>
      <c r="J199" s="1506">
        <f t="shared" si="170"/>
        <v>0.4</v>
      </c>
      <c r="K199" s="1514">
        <f t="shared" si="162"/>
        <v>8069.7910277535739</v>
      </c>
      <c r="L199" s="1514">
        <f t="shared" si="136"/>
        <v>0</v>
      </c>
      <c r="M199" s="1513">
        <f t="shared" si="163"/>
        <v>8069.7910277535739</v>
      </c>
      <c r="N199" s="1456">
        <f t="shared" si="169"/>
        <v>0.5</v>
      </c>
      <c r="O199" s="1513">
        <f t="shared" si="137"/>
        <v>751.91700000000026</v>
      </c>
      <c r="P199" s="1483">
        <f t="shared" si="166"/>
        <v>8821.7080277535733</v>
      </c>
      <c r="Q199" s="1366">
        <f t="shared" si="138"/>
        <v>13554.013758313411</v>
      </c>
      <c r="R199" s="1366">
        <f t="shared" si="164"/>
        <v>-133.92791120966831</v>
      </c>
      <c r="S199" s="1516">
        <f t="shared" si="139"/>
        <v>0.17811528560953946</v>
      </c>
      <c r="T199" s="135" t="str">
        <f t="shared" si="140"/>
        <v>Yes</v>
      </c>
      <c r="U199" s="1528">
        <f t="shared" si="141"/>
        <v>0.17811528560953946</v>
      </c>
      <c r="V199" s="1496">
        <f t="shared" si="142"/>
        <v>23977.145841732025</v>
      </c>
      <c r="W199" s="1493">
        <f t="shared" si="134"/>
        <v>-5.6170233229393407E-3</v>
      </c>
      <c r="X199" s="527">
        <f t="shared" si="143"/>
        <v>13687.941669523079</v>
      </c>
      <c r="Y199" s="1511">
        <f t="shared" si="144"/>
        <v>9537.2871722089421</v>
      </c>
      <c r="Z199" s="1533">
        <f t="shared" si="145"/>
        <v>751.91700000000026</v>
      </c>
      <c r="AA199" s="1533">
        <f t="shared" si="146"/>
        <v>0</v>
      </c>
      <c r="AB199" s="1533">
        <f t="shared" si="147"/>
        <v>0</v>
      </c>
      <c r="AC199" s="1533">
        <f t="shared" si="148"/>
        <v>23977.145841732025</v>
      </c>
      <c r="AD199" s="1005">
        <f t="shared" si="149"/>
        <v>0</v>
      </c>
      <c r="AE199" s="1456">
        <f t="shared" si="150"/>
        <v>0.57087452192492949</v>
      </c>
      <c r="AF199" s="1506">
        <f t="shared" si="151"/>
        <v>0.39776574055821823</v>
      </c>
      <c r="AG199" s="1506">
        <f t="shared" si="152"/>
        <v>3.1359737516852192E-2</v>
      </c>
      <c r="AH199" s="1506">
        <f t="shared" si="165"/>
        <v>0</v>
      </c>
      <c r="AI199" s="1506">
        <f t="shared" si="153"/>
        <v>0</v>
      </c>
      <c r="AJ199" s="1506">
        <f t="shared" si="154"/>
        <v>0.99999999999999989</v>
      </c>
      <c r="AK199" s="1557">
        <f t="shared" si="155"/>
        <v>14305.93075831341</v>
      </c>
      <c r="AL199" s="1558">
        <f t="shared" si="156"/>
        <v>0</v>
      </c>
      <c r="AM199" s="1558">
        <f t="shared" si="157"/>
        <v>-617.98908879033206</v>
      </c>
      <c r="AN199" s="1558">
        <f t="shared" si="158"/>
        <v>13687.941669523079</v>
      </c>
      <c r="AO199" s="1545">
        <f t="shared" si="159"/>
        <v>0</v>
      </c>
    </row>
    <row r="200" spans="1:41">
      <c r="A200" s="100">
        <f>'Input data'!A140</f>
        <v>2040</v>
      </c>
      <c r="B200" s="1508">
        <f>'Input data'!B140</f>
        <v>71.375305999999995</v>
      </c>
      <c r="C200" s="1509">
        <f>'Input data'!C140</f>
        <v>0</v>
      </c>
      <c r="D200" s="1509">
        <f>'Input data'!E140</f>
        <v>22013629.617718432</v>
      </c>
      <c r="E200" s="1510">
        <f>'Input data'!J140*C200</f>
        <v>0</v>
      </c>
      <c r="F200" s="1511">
        <f>'Input data'!L140</f>
        <v>22013.62961771843</v>
      </c>
      <c r="G200" s="1512">
        <f t="shared" si="171"/>
        <v>13687.941669523079</v>
      </c>
      <c r="H200" s="1511">
        <f t="shared" si="160"/>
        <v>6970.7988269532107</v>
      </c>
      <c r="I200" s="1513">
        <f t="shared" si="135"/>
        <v>22013.62961771843</v>
      </c>
      <c r="J200" s="1506">
        <f t="shared" si="170"/>
        <v>0.4</v>
      </c>
      <c r="K200" s="1514">
        <f t="shared" si="162"/>
        <v>7450.5627258452305</v>
      </c>
      <c r="L200" s="1514">
        <f t="shared" si="136"/>
        <v>0</v>
      </c>
      <c r="M200" s="1513">
        <f t="shared" si="163"/>
        <v>7450.5627258452305</v>
      </c>
      <c r="N200" s="1456">
        <f t="shared" si="169"/>
        <v>0.5</v>
      </c>
      <c r="O200" s="1513">
        <f t="shared" si="137"/>
        <v>751.91700000000026</v>
      </c>
      <c r="P200" s="1483">
        <f t="shared" si="166"/>
        <v>8202.4797258452309</v>
      </c>
      <c r="Q200" s="1366">
        <f t="shared" si="138"/>
        <v>12456.260770631059</v>
      </c>
      <c r="R200" s="1366">
        <f t="shared" si="164"/>
        <v>-1231.6808988920202</v>
      </c>
      <c r="S200" s="1516">
        <f t="shared" si="139"/>
        <v>1.6380543316509948</v>
      </c>
      <c r="T200" s="135" t="str">
        <f t="shared" si="140"/>
        <v>No</v>
      </c>
      <c r="U200" s="1528">
        <f t="shared" si="141"/>
        <v>1</v>
      </c>
      <c r="V200" s="1496">
        <f t="shared" si="142"/>
        <v>22765.546617718432</v>
      </c>
      <c r="W200" s="1493">
        <f t="shared" si="134"/>
        <v>-3.4156884305657442E-2</v>
      </c>
      <c r="X200" s="527">
        <f t="shared" si="143"/>
        <v>13208.177770631059</v>
      </c>
      <c r="Y200" s="1511">
        <f t="shared" si="144"/>
        <v>8805.4518470873718</v>
      </c>
      <c r="Z200" s="1533">
        <f t="shared" si="145"/>
        <v>751.91700000000026</v>
      </c>
      <c r="AA200" s="1533">
        <f t="shared" si="146"/>
        <v>0</v>
      </c>
      <c r="AB200" s="1533">
        <f t="shared" si="147"/>
        <v>0</v>
      </c>
      <c r="AC200" s="1533">
        <f t="shared" si="148"/>
        <v>22765.546617718432</v>
      </c>
      <c r="AD200" s="1005">
        <f t="shared" si="149"/>
        <v>-479.76389889202073</v>
      </c>
      <c r="AE200" s="1456">
        <f t="shared" si="150"/>
        <v>0.58018276443892325</v>
      </c>
      <c r="AF200" s="1506">
        <f t="shared" si="151"/>
        <v>0.3867885096259488</v>
      </c>
      <c r="AG200" s="1506">
        <f t="shared" si="152"/>
        <v>3.3028725935127907E-2</v>
      </c>
      <c r="AH200" s="1506">
        <f t="shared" si="165"/>
        <v>0</v>
      </c>
      <c r="AI200" s="1506">
        <f t="shared" si="153"/>
        <v>0</v>
      </c>
      <c r="AJ200" s="1506">
        <f t="shared" si="154"/>
        <v>1</v>
      </c>
      <c r="AK200" s="1557">
        <f t="shared" si="155"/>
        <v>13208.17777063106</v>
      </c>
      <c r="AL200" s="1558">
        <f t="shared" si="156"/>
        <v>0</v>
      </c>
      <c r="AM200" s="1558">
        <f t="shared" si="157"/>
        <v>0</v>
      </c>
      <c r="AN200" s="1558">
        <f t="shared" si="158"/>
        <v>13208.17777063106</v>
      </c>
      <c r="AO200" s="1545">
        <f t="shared" si="159"/>
        <v>0</v>
      </c>
    </row>
    <row r="201" spans="1:41">
      <c r="A201" s="100">
        <f>'Input data'!A141</f>
        <v>2041</v>
      </c>
      <c r="B201" s="1508">
        <f>'Input data'!B141</f>
        <v>71.818612994947316</v>
      </c>
      <c r="C201" s="1509">
        <f>'Input data'!C141</f>
        <v>0</v>
      </c>
      <c r="D201" s="1509">
        <f>'Input data'!E141</f>
        <v>20405559.977125086</v>
      </c>
      <c r="E201" s="1510">
        <f>'Input data'!J141*C201</f>
        <v>0</v>
      </c>
      <c r="F201" s="1511">
        <f>'Input data'!L141</f>
        <v>20405.559977125085</v>
      </c>
      <c r="G201" s="1512">
        <f t="shared" si="171"/>
        <v>13687.941669523079</v>
      </c>
      <c r="H201" s="1511">
        <f t="shared" si="160"/>
        <v>5461.7022362419266</v>
      </c>
      <c r="I201" s="1513">
        <f t="shared" si="135"/>
        <v>20405.559977125085</v>
      </c>
      <c r="J201" s="1506">
        <f t="shared" si="170"/>
        <v>0.4</v>
      </c>
      <c r="K201" s="1514">
        <f t="shared" si="162"/>
        <v>6906.3079194899547</v>
      </c>
      <c r="L201" s="1514">
        <f t="shared" si="136"/>
        <v>0</v>
      </c>
      <c r="M201" s="1513">
        <f t="shared" si="163"/>
        <v>6906.3079194899547</v>
      </c>
      <c r="N201" s="1456">
        <f t="shared" si="169"/>
        <v>0.5</v>
      </c>
      <c r="O201" s="1513">
        <f t="shared" si="137"/>
        <v>751.91700000000026</v>
      </c>
      <c r="P201" s="1483">
        <f t="shared" si="166"/>
        <v>7658.224919489955</v>
      </c>
      <c r="Q201" s="1366">
        <f t="shared" si="138"/>
        <v>11491.41898627505</v>
      </c>
      <c r="R201" s="1366">
        <f t="shared" si="164"/>
        <v>-2196.5226832480294</v>
      </c>
      <c r="S201" s="1516">
        <f t="shared" si="139"/>
        <v>2.9212302464873456</v>
      </c>
      <c r="T201" s="135" t="str">
        <f t="shared" si="140"/>
        <v>No</v>
      </c>
      <c r="U201" s="1528">
        <f t="shared" si="141"/>
        <v>1</v>
      </c>
      <c r="V201" s="1496">
        <f t="shared" si="142"/>
        <v>21157.476977125087</v>
      </c>
      <c r="W201" s="1493">
        <f t="shared" si="134"/>
        <v>-3.6848633452985835E-2</v>
      </c>
      <c r="X201" s="527">
        <f t="shared" si="143"/>
        <v>12243.335986275051</v>
      </c>
      <c r="Y201" s="1511">
        <f t="shared" si="144"/>
        <v>8162.2239908500342</v>
      </c>
      <c r="Z201" s="1533">
        <f t="shared" si="145"/>
        <v>751.91700000000026</v>
      </c>
      <c r="AA201" s="1533">
        <f t="shared" si="146"/>
        <v>0</v>
      </c>
      <c r="AB201" s="1533">
        <f t="shared" si="147"/>
        <v>0</v>
      </c>
      <c r="AC201" s="1533">
        <f t="shared" si="148"/>
        <v>21157.476977125087</v>
      </c>
      <c r="AD201" s="1005">
        <f t="shared" si="149"/>
        <v>-1444.6056832480281</v>
      </c>
      <c r="AE201" s="1456">
        <f t="shared" si="150"/>
        <v>0.57867655956862096</v>
      </c>
      <c r="AF201" s="1506">
        <f t="shared" si="151"/>
        <v>0.38578437304574731</v>
      </c>
      <c r="AG201" s="1506">
        <f t="shared" si="152"/>
        <v>3.5539067385631722E-2</v>
      </c>
      <c r="AH201" s="1506">
        <f t="shared" si="165"/>
        <v>0</v>
      </c>
      <c r="AI201" s="1506">
        <f t="shared" si="153"/>
        <v>0</v>
      </c>
      <c r="AJ201" s="1506">
        <f t="shared" si="154"/>
        <v>1</v>
      </c>
      <c r="AK201" s="1557">
        <f t="shared" si="155"/>
        <v>12243.335986275051</v>
      </c>
      <c r="AL201" s="1558">
        <f t="shared" si="156"/>
        <v>0</v>
      </c>
      <c r="AM201" s="1558">
        <f t="shared" si="157"/>
        <v>0</v>
      </c>
      <c r="AN201" s="1558">
        <f t="shared" si="158"/>
        <v>12243.335986275051</v>
      </c>
      <c r="AO201" s="1545">
        <f t="shared" si="159"/>
        <v>0</v>
      </c>
    </row>
    <row r="202" spans="1:41">
      <c r="A202" s="100">
        <f>'Input data'!A142</f>
        <v>2042</v>
      </c>
      <c r="B202" s="1508">
        <f>'Input data'!B142</f>
        <v>72.264673338395411</v>
      </c>
      <c r="C202" s="1509">
        <f>'Input data'!C142</f>
        <v>0</v>
      </c>
      <c r="D202" s="1509">
        <f>'Input data'!E142</f>
        <v>18797490.33653174</v>
      </c>
      <c r="E202" s="1510">
        <f>'Input data'!J142*C202</f>
        <v>0</v>
      </c>
      <c r="F202" s="1511">
        <f>'Input data'!L142</f>
        <v>18797.49033653174</v>
      </c>
      <c r="G202" s="1512">
        <f t="shared" si="171"/>
        <v>13687.941669523079</v>
      </c>
      <c r="H202" s="1511">
        <f t="shared" si="160"/>
        <v>3952.6056455306425</v>
      </c>
      <c r="I202" s="1513">
        <f t="shared" si="135"/>
        <v>18797.49033653174</v>
      </c>
      <c r="J202" s="1506">
        <f t="shared" si="170"/>
        <v>0.4</v>
      </c>
      <c r="K202" s="1514">
        <f t="shared" si="162"/>
        <v>6362.0531131346797</v>
      </c>
      <c r="L202" s="1514">
        <f t="shared" si="136"/>
        <v>0</v>
      </c>
      <c r="M202" s="1513">
        <f t="shared" si="163"/>
        <v>6362.0531131346797</v>
      </c>
      <c r="N202" s="1456">
        <f t="shared" si="169"/>
        <v>0.5</v>
      </c>
      <c r="O202" s="1513">
        <f t="shared" si="137"/>
        <v>751.91700000000026</v>
      </c>
      <c r="P202" s="1483">
        <f t="shared" si="166"/>
        <v>7113.9701131346801</v>
      </c>
      <c r="Q202" s="1366">
        <f t="shared" si="138"/>
        <v>10526.577201919041</v>
      </c>
      <c r="R202" s="1366">
        <f t="shared" si="164"/>
        <v>-3161.3644676040385</v>
      </c>
      <c r="S202" s="1516">
        <f t="shared" si="139"/>
        <v>4.2044061613236909</v>
      </c>
      <c r="T202" s="135" t="str">
        <f t="shared" si="140"/>
        <v>No</v>
      </c>
      <c r="U202" s="1528">
        <f t="shared" si="141"/>
        <v>1</v>
      </c>
      <c r="V202" s="1496">
        <f t="shared" si="142"/>
        <v>19549.407336531742</v>
      </c>
      <c r="W202" s="1493">
        <f t="shared" si="134"/>
        <v>-4.0000924939362692E-2</v>
      </c>
      <c r="X202" s="527">
        <f t="shared" si="143"/>
        <v>11278.494201919044</v>
      </c>
      <c r="Y202" s="1511">
        <f t="shared" si="144"/>
        <v>7518.9961346126966</v>
      </c>
      <c r="Z202" s="1533">
        <f t="shared" si="145"/>
        <v>751.91700000000026</v>
      </c>
      <c r="AA202" s="1533">
        <f t="shared" si="146"/>
        <v>0</v>
      </c>
      <c r="AB202" s="1533">
        <f t="shared" si="147"/>
        <v>0</v>
      </c>
      <c r="AC202" s="1533">
        <f t="shared" si="148"/>
        <v>19549.407336531742</v>
      </c>
      <c r="AD202" s="1005">
        <f t="shared" si="149"/>
        <v>-2409.4474676040354</v>
      </c>
      <c r="AE202" s="1456">
        <f t="shared" si="150"/>
        <v>0.57692256382847262</v>
      </c>
      <c r="AF202" s="1506">
        <f t="shared" si="151"/>
        <v>0.3846150425523151</v>
      </c>
      <c r="AG202" s="1506">
        <f t="shared" si="152"/>
        <v>3.8462393619212283E-2</v>
      </c>
      <c r="AH202" s="1506">
        <f t="shared" si="165"/>
        <v>0</v>
      </c>
      <c r="AI202" s="1506">
        <f t="shared" si="153"/>
        <v>0</v>
      </c>
      <c r="AJ202" s="1506">
        <f t="shared" si="154"/>
        <v>1</v>
      </c>
      <c r="AK202" s="1557">
        <f t="shared" si="155"/>
        <v>11278.494201919042</v>
      </c>
      <c r="AL202" s="1558">
        <f t="shared" si="156"/>
        <v>0</v>
      </c>
      <c r="AM202" s="1558">
        <f t="shared" si="157"/>
        <v>0</v>
      </c>
      <c r="AN202" s="1558">
        <f t="shared" si="158"/>
        <v>11278.494201919042</v>
      </c>
      <c r="AO202" s="1545">
        <f t="shared" si="159"/>
        <v>0</v>
      </c>
    </row>
    <row r="203" spans="1:41">
      <c r="A203" s="100">
        <f>'Input data'!A143</f>
        <v>2043</v>
      </c>
      <c r="B203" s="1508">
        <f>'Input data'!B143</f>
        <v>72.713504131197794</v>
      </c>
      <c r="C203" s="1509">
        <f>'Input data'!C143</f>
        <v>0</v>
      </c>
      <c r="D203" s="1509">
        <f>'Input data'!E143</f>
        <v>17189420.695938386</v>
      </c>
      <c r="E203" s="1510">
        <f>'Input data'!J143*C203</f>
        <v>0</v>
      </c>
      <c r="F203" s="1511">
        <f>'Input data'!L143</f>
        <v>17189.420695938385</v>
      </c>
      <c r="G203" s="1512">
        <f t="shared" si="171"/>
        <v>13687.941669523079</v>
      </c>
      <c r="H203" s="1511">
        <f t="shared" si="160"/>
        <v>2443.5090548193511</v>
      </c>
      <c r="I203" s="1513">
        <f t="shared" si="135"/>
        <v>17189.420695938385</v>
      </c>
      <c r="J203" s="1506">
        <f t="shared" si="170"/>
        <v>0.4</v>
      </c>
      <c r="K203" s="1514">
        <f t="shared" si="162"/>
        <v>5817.7983067793994</v>
      </c>
      <c r="L203" s="1514">
        <f t="shared" si="136"/>
        <v>0</v>
      </c>
      <c r="M203" s="1513">
        <f t="shared" si="163"/>
        <v>5817.7983067793994</v>
      </c>
      <c r="N203" s="1456">
        <f t="shared" si="169"/>
        <v>0.5</v>
      </c>
      <c r="O203" s="1513">
        <f t="shared" si="137"/>
        <v>751.91700000000026</v>
      </c>
      <c r="P203" s="1483">
        <f t="shared" si="166"/>
        <v>6569.7153067793997</v>
      </c>
      <c r="Q203" s="1366">
        <f t="shared" si="138"/>
        <v>9561.7354175630317</v>
      </c>
      <c r="R203" s="1366">
        <f t="shared" si="164"/>
        <v>-4126.2062519600477</v>
      </c>
      <c r="S203" s="1516">
        <f t="shared" si="139"/>
        <v>5.4875820761600691</v>
      </c>
      <c r="T203" s="135" t="str">
        <f t="shared" si="140"/>
        <v>No</v>
      </c>
      <c r="U203" s="1528">
        <f t="shared" si="141"/>
        <v>1</v>
      </c>
      <c r="V203" s="1496">
        <f t="shared" si="142"/>
        <v>17941.337695938386</v>
      </c>
      <c r="W203" s="1493">
        <f t="shared" si="134"/>
        <v>-4.3743009918750131E-2</v>
      </c>
      <c r="X203" s="527">
        <f t="shared" si="143"/>
        <v>10313.652417563031</v>
      </c>
      <c r="Y203" s="1511">
        <f t="shared" si="144"/>
        <v>6875.7682783753544</v>
      </c>
      <c r="Z203" s="1533">
        <f t="shared" si="145"/>
        <v>751.91700000000026</v>
      </c>
      <c r="AA203" s="1533">
        <f t="shared" si="146"/>
        <v>0</v>
      </c>
      <c r="AB203" s="1533">
        <f t="shared" si="147"/>
        <v>0</v>
      </c>
      <c r="AC203" s="1533">
        <f t="shared" si="148"/>
        <v>17941.337695938386</v>
      </c>
      <c r="AD203" s="1005">
        <f t="shared" si="149"/>
        <v>-3374.2892519600482</v>
      </c>
      <c r="AE203" s="1456">
        <f t="shared" si="150"/>
        <v>0.57485414924762646</v>
      </c>
      <c r="AF203" s="1506">
        <f t="shared" si="151"/>
        <v>0.38323609949841764</v>
      </c>
      <c r="AG203" s="1506">
        <f t="shared" si="152"/>
        <v>4.1909751253955914E-2</v>
      </c>
      <c r="AH203" s="1506">
        <f t="shared" si="165"/>
        <v>0</v>
      </c>
      <c r="AI203" s="1506">
        <f t="shared" si="153"/>
        <v>0</v>
      </c>
      <c r="AJ203" s="1506">
        <f t="shared" si="154"/>
        <v>1</v>
      </c>
      <c r="AK203" s="1557">
        <f t="shared" si="155"/>
        <v>10313.652417563031</v>
      </c>
      <c r="AL203" s="1558">
        <f t="shared" si="156"/>
        <v>0</v>
      </c>
      <c r="AM203" s="1558">
        <f t="shared" si="157"/>
        <v>0</v>
      </c>
      <c r="AN203" s="1558">
        <f t="shared" si="158"/>
        <v>10313.652417563031</v>
      </c>
      <c r="AO203" s="1545">
        <f t="shared" si="159"/>
        <v>0</v>
      </c>
    </row>
    <row r="204" spans="1:41">
      <c r="A204" s="100">
        <f>'Input data'!A144</f>
        <v>2044</v>
      </c>
      <c r="B204" s="1508">
        <f>'Input data'!B144</f>
        <v>73.165122580420132</v>
      </c>
      <c r="C204" s="1509">
        <f>'Input data'!C144</f>
        <v>0</v>
      </c>
      <c r="D204" s="1509">
        <f>'Input data'!E144</f>
        <v>15581351.055345042</v>
      </c>
      <c r="E204" s="1510">
        <f>'Input data'!J144*C204</f>
        <v>0</v>
      </c>
      <c r="F204" s="1511">
        <f>'Input data'!L144</f>
        <v>15581.351055345041</v>
      </c>
      <c r="G204" s="1512">
        <f t="shared" si="171"/>
        <v>13687.941669523079</v>
      </c>
      <c r="H204" s="1511">
        <f t="shared" si="160"/>
        <v>934.41246410806889</v>
      </c>
      <c r="I204" s="1513">
        <f t="shared" si="135"/>
        <v>15581.351055345041</v>
      </c>
      <c r="J204" s="1506">
        <f t="shared" si="170"/>
        <v>0.4</v>
      </c>
      <c r="K204" s="1514">
        <f t="shared" si="162"/>
        <v>5273.5435004241244</v>
      </c>
      <c r="L204" s="1514">
        <f t="shared" si="136"/>
        <v>0</v>
      </c>
      <c r="M204" s="1513">
        <f t="shared" si="163"/>
        <v>5273.5435004241244</v>
      </c>
      <c r="N204" s="1456">
        <f t="shared" si="169"/>
        <v>0.5</v>
      </c>
      <c r="O204" s="1513">
        <f t="shared" si="137"/>
        <v>751.91700000000026</v>
      </c>
      <c r="P204" s="1483">
        <f t="shared" si="166"/>
        <v>6025.4605004241248</v>
      </c>
      <c r="Q204" s="1366">
        <f t="shared" si="138"/>
        <v>8596.8936332070225</v>
      </c>
      <c r="R204" s="1366">
        <f t="shared" si="164"/>
        <v>-5091.0480363160568</v>
      </c>
      <c r="S204" s="1516">
        <f t="shared" si="139"/>
        <v>6.7707579909964108</v>
      </c>
      <c r="T204" s="135" t="str">
        <f t="shared" si="140"/>
        <v>No</v>
      </c>
      <c r="U204" s="1528">
        <f t="shared" si="141"/>
        <v>1</v>
      </c>
      <c r="V204" s="1496">
        <f t="shared" si="142"/>
        <v>16333.268055345039</v>
      </c>
      <c r="W204" s="1493">
        <f>(1-V204/F204)</f>
        <v>-4.8257496883882922E-2</v>
      </c>
      <c r="X204" s="527">
        <f t="shared" si="143"/>
        <v>9348.8106332070238</v>
      </c>
      <c r="Y204" s="1511">
        <f t="shared" si="144"/>
        <v>6232.5404221380168</v>
      </c>
      <c r="Z204" s="1533">
        <f t="shared" si="145"/>
        <v>751.91700000000026</v>
      </c>
      <c r="AA204" s="1533">
        <f t="shared" si="146"/>
        <v>0</v>
      </c>
      <c r="AB204" s="1533">
        <f t="shared" si="147"/>
        <v>0</v>
      </c>
      <c r="AC204" s="1533">
        <f t="shared" si="148"/>
        <v>16333.268055345039</v>
      </c>
      <c r="AD204" s="1005">
        <f t="shared" si="149"/>
        <v>-4339.1310363160555</v>
      </c>
      <c r="AE204" s="1456">
        <f t="shared" si="150"/>
        <v>0.57237844879106348</v>
      </c>
      <c r="AF204" s="1506">
        <f t="shared" si="151"/>
        <v>0.38158563252737571</v>
      </c>
      <c r="AG204" s="1506">
        <f t="shared" si="152"/>
        <v>4.6035918681560879E-2</v>
      </c>
      <c r="AH204" s="1506">
        <f t="shared" si="165"/>
        <v>0</v>
      </c>
      <c r="AI204" s="1506">
        <f t="shared" si="153"/>
        <v>0</v>
      </c>
      <c r="AJ204" s="1506">
        <f t="shared" si="154"/>
        <v>1</v>
      </c>
      <c r="AK204" s="1557">
        <f t="shared" si="155"/>
        <v>9348.8106332070238</v>
      </c>
      <c r="AL204" s="1558">
        <f t="shared" si="156"/>
        <v>0</v>
      </c>
      <c r="AM204" s="1558">
        <f t="shared" si="157"/>
        <v>0</v>
      </c>
      <c r="AN204" s="1558">
        <f t="shared" si="158"/>
        <v>9348.8106332070238</v>
      </c>
      <c r="AO204" s="1545">
        <f t="shared" si="159"/>
        <v>0</v>
      </c>
    </row>
    <row r="205" spans="1:41">
      <c r="A205" s="100">
        <f>'Input data'!A145</f>
        <v>2045</v>
      </c>
      <c r="B205" s="1508">
        <f>'Input data'!B145</f>
        <v>73.619545999999971</v>
      </c>
      <c r="C205" s="1509">
        <f>'Input data'!C145</f>
        <v>0</v>
      </c>
      <c r="D205" s="1509">
        <f>'Input data'!E145</f>
        <v>13973281.414751694</v>
      </c>
      <c r="E205" s="1510">
        <f>'Input data'!J145*C205</f>
        <v>0</v>
      </c>
      <c r="F205" s="1511">
        <f>'Input data'!L145</f>
        <v>13973.281414751693</v>
      </c>
      <c r="G205" s="1512">
        <f t="shared" si="171"/>
        <v>13687.941669523079</v>
      </c>
      <c r="H205" s="1511">
        <f t="shared" si="160"/>
        <v>-574.68412660321701</v>
      </c>
      <c r="I205" s="1513">
        <f t="shared" si="135"/>
        <v>13973.281414751693</v>
      </c>
      <c r="J205" s="1506">
        <f t="shared" si="170"/>
        <v>0.4</v>
      </c>
      <c r="K205" s="1514">
        <f t="shared" si="162"/>
        <v>4729.2886940688468</v>
      </c>
      <c r="L205" s="1514">
        <f t="shared" si="136"/>
        <v>0</v>
      </c>
      <c r="M205" s="1513">
        <f t="shared" si="163"/>
        <v>4729.2886940688468</v>
      </c>
      <c r="N205" s="1456">
        <f t="shared" si="169"/>
        <v>0.5</v>
      </c>
      <c r="O205" s="1513">
        <f t="shared" si="137"/>
        <v>751.91700000000026</v>
      </c>
      <c r="P205" s="1483">
        <f t="shared" si="166"/>
        <v>5481.2056940688472</v>
      </c>
      <c r="Q205" s="1366">
        <f t="shared" si="138"/>
        <v>7632.0518488510152</v>
      </c>
      <c r="R205" s="1366">
        <f t="shared" si="164"/>
        <v>-6055.8898206720642</v>
      </c>
      <c r="S205" s="1516">
        <f t="shared" si="139"/>
        <v>8.0539339058327819</v>
      </c>
      <c r="T205" s="135" t="str">
        <f t="shared" si="140"/>
        <v>No</v>
      </c>
      <c r="U205" s="1528">
        <f t="shared" si="141"/>
        <v>1</v>
      </c>
      <c r="V205" s="1496">
        <f t="shared" si="142"/>
        <v>14725.198414751691</v>
      </c>
      <c r="W205" s="1493">
        <f t="shared" si="134"/>
        <v>-5.3811053945152398E-2</v>
      </c>
      <c r="X205" s="527">
        <f t="shared" si="143"/>
        <v>8383.9688488510146</v>
      </c>
      <c r="Y205" s="1511">
        <f t="shared" si="144"/>
        <v>5589.3125659006773</v>
      </c>
      <c r="Z205" s="1533">
        <f t="shared" si="145"/>
        <v>751.91700000000026</v>
      </c>
      <c r="AA205" s="1533">
        <f t="shared" si="146"/>
        <v>0</v>
      </c>
      <c r="AB205" s="1533">
        <f t="shared" si="147"/>
        <v>0</v>
      </c>
      <c r="AC205" s="1533">
        <f t="shared" si="148"/>
        <v>14725.198414751691</v>
      </c>
      <c r="AD205" s="1005">
        <f t="shared" si="149"/>
        <v>-5303.9728206720647</v>
      </c>
      <c r="AE205" s="1456">
        <f t="shared" si="150"/>
        <v>0.56936202913584932</v>
      </c>
      <c r="AF205" s="1506">
        <f t="shared" si="151"/>
        <v>0.37957468609056627</v>
      </c>
      <c r="AG205" s="1506">
        <f t="shared" si="152"/>
        <v>5.1063284773584475E-2</v>
      </c>
      <c r="AH205" s="1506">
        <f t="shared" si="165"/>
        <v>0</v>
      </c>
      <c r="AI205" s="1506">
        <f t="shared" si="153"/>
        <v>0</v>
      </c>
      <c r="AJ205" s="1506">
        <f t="shared" si="154"/>
        <v>1.0000000000000002</v>
      </c>
      <c r="AK205" s="1557">
        <f t="shared" si="155"/>
        <v>8383.9688488510146</v>
      </c>
      <c r="AL205" s="1558">
        <f t="shared" si="156"/>
        <v>0</v>
      </c>
      <c r="AM205" s="1558">
        <f t="shared" si="157"/>
        <v>0</v>
      </c>
      <c r="AN205" s="1558">
        <f t="shared" si="158"/>
        <v>8383.9688488510146</v>
      </c>
      <c r="AO205" s="1545">
        <f t="shared" si="159"/>
        <v>0</v>
      </c>
    </row>
    <row r="206" spans="1:41">
      <c r="A206" s="100">
        <f>'Input data'!A146</f>
        <v>2046</v>
      </c>
      <c r="B206" s="1508">
        <f>'Input data'!B146</f>
        <v>73.995362001779526</v>
      </c>
      <c r="C206" s="1509">
        <f>'Input data'!C146</f>
        <v>0</v>
      </c>
      <c r="D206" s="1509">
        <f>'Input data'!E146</f>
        <v>11178944.368399095</v>
      </c>
      <c r="E206" s="1510">
        <f>'Input data'!J146*C206</f>
        <v>0</v>
      </c>
      <c r="F206" s="1511">
        <f>'Input data'!L146</f>
        <v>11178.944368399094</v>
      </c>
      <c r="G206" s="1512">
        <f t="shared" si="171"/>
        <v>13687.941669523079</v>
      </c>
      <c r="H206" s="1511">
        <f t="shared" si="160"/>
        <v>-3197.0360468801173</v>
      </c>
      <c r="I206" s="1513">
        <f t="shared" si="135"/>
        <v>11178.944368399094</v>
      </c>
      <c r="J206" s="1506">
        <f t="shared" si="170"/>
        <v>0.4</v>
      </c>
      <c r="K206" s="1514">
        <f t="shared" si="162"/>
        <v>3783.5390016035058</v>
      </c>
      <c r="L206" s="1514">
        <f t="shared" si="136"/>
        <v>0</v>
      </c>
      <c r="M206" s="1513">
        <f t="shared" si="163"/>
        <v>3783.5390016035058</v>
      </c>
      <c r="N206" s="1456">
        <f t="shared" si="169"/>
        <v>0.5</v>
      </c>
      <c r="O206" s="1513">
        <f t="shared" si="137"/>
        <v>751.91700000000026</v>
      </c>
      <c r="P206" s="1483">
        <f t="shared" si="166"/>
        <v>4535.4560016035057</v>
      </c>
      <c r="Q206" s="1366">
        <f t="shared" si="138"/>
        <v>5955.4496210394564</v>
      </c>
      <c r="R206" s="1366">
        <f t="shared" si="164"/>
        <v>-7732.492048483623</v>
      </c>
      <c r="S206" s="1516">
        <f t="shared" si="139"/>
        <v>10.283704249915388</v>
      </c>
      <c r="T206" s="135" t="str">
        <f t="shared" si="140"/>
        <v>No</v>
      </c>
      <c r="U206" s="1528">
        <f t="shared" si="141"/>
        <v>1</v>
      </c>
      <c r="V206" s="1496">
        <f t="shared" si="142"/>
        <v>11930.861368399093</v>
      </c>
      <c r="W206" s="1493">
        <f t="shared" si="134"/>
        <v>-6.7261896581714442E-2</v>
      </c>
      <c r="X206" s="527">
        <f t="shared" si="143"/>
        <v>6707.3666210394558</v>
      </c>
      <c r="Y206" s="1511">
        <f t="shared" si="144"/>
        <v>4471.5777473596381</v>
      </c>
      <c r="Z206" s="1533">
        <f t="shared" si="145"/>
        <v>751.91700000000026</v>
      </c>
      <c r="AA206" s="1533">
        <f t="shared" si="146"/>
        <v>0</v>
      </c>
      <c r="AB206" s="1533">
        <f t="shared" si="147"/>
        <v>0</v>
      </c>
      <c r="AC206" s="1533">
        <f t="shared" si="148"/>
        <v>11930.861368399093</v>
      </c>
      <c r="AD206" s="1005">
        <f t="shared" si="149"/>
        <v>-6980.5750484836235</v>
      </c>
      <c r="AE206" s="649">
        <f t="shared" si="150"/>
        <v>0.56218628428665274</v>
      </c>
      <c r="AF206" s="417">
        <f t="shared" si="151"/>
        <v>0.37479085619110192</v>
      </c>
      <c r="AG206" s="417">
        <f t="shared" si="152"/>
        <v>6.3022859522245372E-2</v>
      </c>
      <c r="AH206" s="417">
        <f t="shared" si="165"/>
        <v>0</v>
      </c>
      <c r="AI206" s="417">
        <f t="shared" si="153"/>
        <v>0</v>
      </c>
      <c r="AJ206" s="417">
        <f t="shared" si="154"/>
        <v>1</v>
      </c>
      <c r="AK206" s="1499">
        <f t="shared" si="155"/>
        <v>6707.3666210394567</v>
      </c>
      <c r="AL206" s="1500">
        <f t="shared" si="156"/>
        <v>0</v>
      </c>
      <c r="AM206" s="1500">
        <f t="shared" si="157"/>
        <v>0</v>
      </c>
      <c r="AN206" s="1500">
        <f t="shared" si="158"/>
        <v>6707.3666210394567</v>
      </c>
      <c r="AO206" s="1186">
        <f t="shared" si="159"/>
        <v>0</v>
      </c>
    </row>
    <row r="207" spans="1:41">
      <c r="A207" s="100">
        <f>'Input data'!A147</f>
        <v>2047</v>
      </c>
      <c r="B207" s="1508">
        <f>'Input data'!B147</f>
        <v>74.373096484110363</v>
      </c>
      <c r="C207" s="1509">
        <f>'Input data'!C147</f>
        <v>0</v>
      </c>
      <c r="D207" s="1509">
        <f>'Input data'!E147</f>
        <v>8384607.3220464904</v>
      </c>
      <c r="E207" s="1510">
        <f>'Input data'!J147*C207</f>
        <v>0</v>
      </c>
      <c r="F207" s="1511">
        <f>'Input data'!L147</f>
        <v>8384.6073220464896</v>
      </c>
      <c r="G207" s="1512">
        <f t="shared" si="171"/>
        <v>13687.941669523079</v>
      </c>
      <c r="H207" s="1511">
        <f t="shared" si="160"/>
        <v>-5819.387967157023</v>
      </c>
      <c r="I207" s="1513">
        <f t="shared" si="135"/>
        <v>8384.6073220464896</v>
      </c>
      <c r="J207" s="1506">
        <f t="shared" si="170"/>
        <v>0.4</v>
      </c>
      <c r="K207" s="1514">
        <f t="shared" si="162"/>
        <v>2837.7893091381629</v>
      </c>
      <c r="L207" s="1514">
        <f t="shared" si="136"/>
        <v>0</v>
      </c>
      <c r="M207" s="1513">
        <f t="shared" si="163"/>
        <v>2837.7893091381629</v>
      </c>
      <c r="N207" s="1456">
        <f t="shared" si="169"/>
        <v>0.5</v>
      </c>
      <c r="O207" s="1513">
        <f t="shared" si="137"/>
        <v>751.91700000000026</v>
      </c>
      <c r="P207" s="1483">
        <f t="shared" si="166"/>
        <v>3589.7063091381633</v>
      </c>
      <c r="Q207" s="1366">
        <f t="shared" si="138"/>
        <v>4278.847393227893</v>
      </c>
      <c r="R207" s="1366">
        <f t="shared" si="164"/>
        <v>-9409.0942762951854</v>
      </c>
      <c r="S207" s="1516">
        <f t="shared" si="139"/>
        <v>12.513474593997982</v>
      </c>
      <c r="T207" s="135" t="str">
        <f t="shared" si="140"/>
        <v>No</v>
      </c>
      <c r="U207" s="1528">
        <f t="shared" si="141"/>
        <v>1</v>
      </c>
      <c r="V207" s="1496">
        <f t="shared" si="142"/>
        <v>9136.524322046489</v>
      </c>
      <c r="W207" s="1493">
        <f t="shared" si="134"/>
        <v>-8.9678260545715593E-2</v>
      </c>
      <c r="X207" s="527">
        <f t="shared" si="143"/>
        <v>5030.7643932278934</v>
      </c>
      <c r="Y207" s="1511">
        <f t="shared" si="144"/>
        <v>3353.8429288185962</v>
      </c>
      <c r="Z207" s="1533">
        <f t="shared" si="145"/>
        <v>751.91700000000026</v>
      </c>
      <c r="AA207" s="1533">
        <f t="shared" si="146"/>
        <v>0</v>
      </c>
      <c r="AB207" s="1533">
        <f t="shared" si="147"/>
        <v>0</v>
      </c>
      <c r="AC207" s="1533">
        <f t="shared" si="148"/>
        <v>9136.524322046489</v>
      </c>
      <c r="AD207" s="1489">
        <f t="shared" si="149"/>
        <v>-8657.1772762951859</v>
      </c>
      <c r="AE207" s="649">
        <f t="shared" si="150"/>
        <v>0.5506212445676556</v>
      </c>
      <c r="AF207" s="417">
        <f t="shared" si="151"/>
        <v>0.36708082971177047</v>
      </c>
      <c r="AG207" s="417">
        <f t="shared" si="152"/>
        <v>8.2297925720574067E-2</v>
      </c>
      <c r="AH207" s="417">
        <f t="shared" si="165"/>
        <v>0</v>
      </c>
      <c r="AI207" s="417">
        <f t="shared" si="153"/>
        <v>0</v>
      </c>
      <c r="AJ207" s="417">
        <f t="shared" si="154"/>
        <v>1.0000000000000002</v>
      </c>
      <c r="AK207" s="1499">
        <f t="shared" si="155"/>
        <v>5030.7643932278934</v>
      </c>
      <c r="AL207" s="1500">
        <f t="shared" si="156"/>
        <v>0</v>
      </c>
      <c r="AM207" s="1500">
        <f t="shared" si="157"/>
        <v>0</v>
      </c>
      <c r="AN207" s="1500">
        <f t="shared" si="158"/>
        <v>5030.7643932278934</v>
      </c>
      <c r="AO207" s="1186">
        <f t="shared" si="159"/>
        <v>0</v>
      </c>
    </row>
    <row r="208" spans="1:41">
      <c r="A208" s="100">
        <f>'Input data'!A148</f>
        <v>2048</v>
      </c>
      <c r="B208" s="1508">
        <f>'Input data'!B148</f>
        <v>74.752759240528661</v>
      </c>
      <c r="C208" s="1509">
        <f>'Input data'!C148</f>
        <v>0</v>
      </c>
      <c r="D208" s="1509">
        <f>'Input data'!E148</f>
        <v>5590270.2756938878</v>
      </c>
      <c r="E208" s="1510">
        <f>'Input data'!J148*C208</f>
        <v>0</v>
      </c>
      <c r="F208" s="1511">
        <f>'Input data'!L148</f>
        <v>5590.2702756938879</v>
      </c>
      <c r="G208" s="1512">
        <f t="shared" si="171"/>
        <v>13687.941669523079</v>
      </c>
      <c r="H208" s="1511">
        <f t="shared" si="160"/>
        <v>-8441.7398874339269</v>
      </c>
      <c r="I208" s="1513">
        <f t="shared" si="135"/>
        <v>5590.2702756938879</v>
      </c>
      <c r="J208" s="1506">
        <f t="shared" si="170"/>
        <v>0.4</v>
      </c>
      <c r="K208" s="1514">
        <f t="shared" si="162"/>
        <v>1892.0396166728203</v>
      </c>
      <c r="L208" s="1514">
        <f t="shared" si="136"/>
        <v>0</v>
      </c>
      <c r="M208" s="1513">
        <f t="shared" si="163"/>
        <v>1892.0396166728203</v>
      </c>
      <c r="N208" s="1456">
        <f t="shared" si="169"/>
        <v>0.5</v>
      </c>
      <c r="O208" s="1513">
        <f t="shared" si="137"/>
        <v>751.91700000000026</v>
      </c>
      <c r="P208" s="1483">
        <f t="shared" si="166"/>
        <v>2643.9566166728205</v>
      </c>
      <c r="Q208" s="1366">
        <f t="shared" si="138"/>
        <v>2602.2451654163328</v>
      </c>
      <c r="R208" s="1366">
        <f t="shared" si="164"/>
        <v>-11085.696504106747</v>
      </c>
      <c r="S208" s="1516">
        <f t="shared" si="139"/>
        <v>14.743244938080597</v>
      </c>
      <c r="T208" s="135" t="str">
        <f t="shared" si="140"/>
        <v>No</v>
      </c>
      <c r="U208" s="1528">
        <f t="shared" si="141"/>
        <v>1</v>
      </c>
      <c r="V208" s="1496">
        <f t="shared" si="142"/>
        <v>6342.1872756938883</v>
      </c>
      <c r="W208" s="1493">
        <f t="shared" si="134"/>
        <v>-0.13450458795691578</v>
      </c>
      <c r="X208" s="527">
        <f t="shared" si="143"/>
        <v>3354.1621654163328</v>
      </c>
      <c r="Y208" s="1511">
        <f t="shared" si="144"/>
        <v>2236.1081102775552</v>
      </c>
      <c r="Z208" s="1533">
        <f t="shared" si="145"/>
        <v>751.91700000000026</v>
      </c>
      <c r="AA208" s="1533">
        <f t="shared" si="146"/>
        <v>0</v>
      </c>
      <c r="AB208" s="1533">
        <f t="shared" si="147"/>
        <v>0</v>
      </c>
      <c r="AC208" s="1533">
        <f t="shared" si="148"/>
        <v>6342.1872756938883</v>
      </c>
      <c r="AD208" s="1489">
        <f t="shared" si="149"/>
        <v>-10333.779504106747</v>
      </c>
      <c r="AE208" s="649">
        <f t="shared" si="150"/>
        <v>0.52886520369257928</v>
      </c>
      <c r="AF208" s="417">
        <f t="shared" si="151"/>
        <v>0.35257680246171952</v>
      </c>
      <c r="AG208" s="417">
        <f t="shared" si="152"/>
        <v>0.11855799384570116</v>
      </c>
      <c r="AH208" s="417">
        <f t="shared" si="165"/>
        <v>0</v>
      </c>
      <c r="AI208" s="417">
        <f t="shared" si="153"/>
        <v>0</v>
      </c>
      <c r="AJ208" s="417">
        <f t="shared" si="154"/>
        <v>1</v>
      </c>
      <c r="AK208" s="1499">
        <f t="shared" si="155"/>
        <v>3354.1621654163328</v>
      </c>
      <c r="AL208" s="1500">
        <f t="shared" si="156"/>
        <v>0</v>
      </c>
      <c r="AM208" s="1500">
        <f t="shared" si="157"/>
        <v>0</v>
      </c>
      <c r="AN208" s="1500">
        <f t="shared" si="158"/>
        <v>3354.1621654163328</v>
      </c>
      <c r="AO208" s="1186">
        <f t="shared" si="159"/>
        <v>0</v>
      </c>
    </row>
    <row r="209" spans="1:41">
      <c r="A209" s="100">
        <f>'Input data'!A149</f>
        <v>2049</v>
      </c>
      <c r="B209" s="1508">
        <f>'Input data'!B149</f>
        <v>75.134360114565098</v>
      </c>
      <c r="C209" s="1509">
        <f>'Input data'!C149</f>
        <v>0</v>
      </c>
      <c r="D209" s="1509">
        <f>'Input data'!E149</f>
        <v>2795933.2293412867</v>
      </c>
      <c r="E209" s="1510">
        <f>'Input data'!J149*C209</f>
        <v>0</v>
      </c>
      <c r="F209" s="1511">
        <f>'Input data'!L149</f>
        <v>2795.9332293412867</v>
      </c>
      <c r="G209" s="1512">
        <f t="shared" si="171"/>
        <v>13687.941669523079</v>
      </c>
      <c r="H209" s="1511">
        <f t="shared" si="160"/>
        <v>-11064.091807710829</v>
      </c>
      <c r="I209" s="1513">
        <f t="shared" si="135"/>
        <v>2795.9332293412867</v>
      </c>
      <c r="J209" s="1506">
        <f t="shared" si="170"/>
        <v>0.4</v>
      </c>
      <c r="K209" s="1514">
        <f t="shared" si="162"/>
        <v>946.28992420747863</v>
      </c>
      <c r="L209" s="1514">
        <f t="shared" si="136"/>
        <v>0</v>
      </c>
      <c r="M209" s="1513">
        <f t="shared" si="163"/>
        <v>946.28992420747863</v>
      </c>
      <c r="N209" s="1456">
        <f t="shared" si="169"/>
        <v>0.5</v>
      </c>
      <c r="O209" s="1513">
        <f t="shared" si="137"/>
        <v>751.91700000000026</v>
      </c>
      <c r="P209" s="1483">
        <f t="shared" si="166"/>
        <v>1698.206924207479</v>
      </c>
      <c r="Q209" s="1366">
        <f t="shared" si="138"/>
        <v>925.6429376047713</v>
      </c>
      <c r="R209" s="1366">
        <f t="shared" si="164"/>
        <v>-12762.298731918308</v>
      </c>
      <c r="S209" s="1516">
        <f t="shared" si="139"/>
        <v>16.973015282163189</v>
      </c>
      <c r="T209" s="135" t="str">
        <f t="shared" si="140"/>
        <v>No</v>
      </c>
      <c r="U209" s="1528">
        <f t="shared" si="141"/>
        <v>1</v>
      </c>
      <c r="V209" s="1496">
        <f t="shared" si="142"/>
        <v>3547.8502293412871</v>
      </c>
      <c r="W209" s="1493">
        <f t="shared" si="134"/>
        <v>-0.2689323879802199</v>
      </c>
      <c r="X209" s="527">
        <f t="shared" si="143"/>
        <v>1677.5599376047719</v>
      </c>
      <c r="Y209" s="1511">
        <f t="shared" si="144"/>
        <v>1118.3732917365148</v>
      </c>
      <c r="Z209" s="1533">
        <f t="shared" si="145"/>
        <v>751.91700000000026</v>
      </c>
      <c r="AA209" s="1533">
        <f t="shared" si="146"/>
        <v>0</v>
      </c>
      <c r="AB209" s="1533">
        <f t="shared" si="147"/>
        <v>0</v>
      </c>
      <c r="AC209" s="1533">
        <f t="shared" si="148"/>
        <v>3547.8502293412871</v>
      </c>
      <c r="AD209" s="1489">
        <f t="shared" si="149"/>
        <v>-12010.381731918307</v>
      </c>
      <c r="AE209" s="649">
        <f t="shared" si="150"/>
        <v>0.47283843149045124</v>
      </c>
      <c r="AF209" s="417">
        <f t="shared" si="151"/>
        <v>0.31522562099363421</v>
      </c>
      <c r="AG209" s="417">
        <f t="shared" si="152"/>
        <v>0.21193594751591449</v>
      </c>
      <c r="AH209" s="417">
        <f t="shared" si="165"/>
        <v>0</v>
      </c>
      <c r="AI209" s="417">
        <f t="shared" si="153"/>
        <v>0</v>
      </c>
      <c r="AJ209" s="417">
        <f t="shared" si="154"/>
        <v>0.99999999999999989</v>
      </c>
      <c r="AK209" s="1499">
        <f t="shared" si="155"/>
        <v>1677.5599376047717</v>
      </c>
      <c r="AL209" s="1500">
        <f t="shared" si="156"/>
        <v>0</v>
      </c>
      <c r="AM209" s="1500">
        <f t="shared" si="157"/>
        <v>0</v>
      </c>
      <c r="AN209" s="1500">
        <f t="shared" si="158"/>
        <v>1677.5599376047717</v>
      </c>
      <c r="AO209" s="1186">
        <f t="shared" si="159"/>
        <v>0</v>
      </c>
    </row>
    <row r="210" spans="1:41" ht="15.75" thickBot="1">
      <c r="A210" s="161">
        <f>'Input data'!A150</f>
        <v>2050</v>
      </c>
      <c r="B210" s="1517">
        <f>'Input data'!B150</f>
        <v>75.517908999999989</v>
      </c>
      <c r="C210" s="1518">
        <f>'Input data'!C150</f>
        <v>0</v>
      </c>
      <c r="D210" s="1518">
        <f>'Input data'!E150</f>
        <v>1596.1829886855978</v>
      </c>
      <c r="E210" s="1519">
        <f>'Input data'!J150*C210</f>
        <v>0</v>
      </c>
      <c r="F210" s="1520">
        <f>'Input data'!L150</f>
        <v>1.5961829886855978</v>
      </c>
      <c r="G210" s="1521">
        <f t="shared" si="171"/>
        <v>13687.941669523079</v>
      </c>
      <c r="H210" s="1520">
        <f t="shared" si="160"/>
        <v>-13686.443727987731</v>
      </c>
      <c r="I210" s="1522">
        <f t="shared" si="135"/>
        <v>1.5961829886855978</v>
      </c>
      <c r="J210" s="1523">
        <f t="shared" si="170"/>
        <v>0.4</v>
      </c>
      <c r="K210" s="1520">
        <f t="shared" si="162"/>
        <v>0.54023174213656699</v>
      </c>
      <c r="L210" s="1520">
        <f t="shared" si="136"/>
        <v>0</v>
      </c>
      <c r="M210" s="1522">
        <f t="shared" si="163"/>
        <v>0.54023174213656699</v>
      </c>
      <c r="N210" s="1524">
        <f t="shared" si="169"/>
        <v>0.5</v>
      </c>
      <c r="O210" s="1522">
        <f t="shared" si="137"/>
        <v>751.91700000000026</v>
      </c>
      <c r="P210" s="1484">
        <f t="shared" si="166"/>
        <v>752.45723174213686</v>
      </c>
      <c r="Q210" s="1487">
        <f t="shared" si="138"/>
        <v>-750.95929020678898</v>
      </c>
      <c r="R210" s="1487">
        <f t="shared" si="164"/>
        <v>-14438.900959729868</v>
      </c>
      <c r="S210" s="1525">
        <f t="shared" si="139"/>
        <v>19.202785626245799</v>
      </c>
      <c r="T210" s="1105" t="str">
        <f t="shared" si="140"/>
        <v>No</v>
      </c>
      <c r="U210" s="1530">
        <f t="shared" si="141"/>
        <v>1</v>
      </c>
      <c r="V210" s="1497">
        <f t="shared" si="142"/>
        <v>753.5131829886858</v>
      </c>
      <c r="W210" s="1494">
        <f t="shared" si="134"/>
        <v>-471.07192930252825</v>
      </c>
      <c r="X210" s="670">
        <f t="shared" si="143"/>
        <v>0.95770979321135863</v>
      </c>
      <c r="Y210" s="1520">
        <f t="shared" si="144"/>
        <v>0.6384731954742392</v>
      </c>
      <c r="Z210" s="1534">
        <f t="shared" si="145"/>
        <v>751.91700000000026</v>
      </c>
      <c r="AA210" s="1534">
        <f t="shared" si="146"/>
        <v>0</v>
      </c>
      <c r="AB210" s="1534">
        <f t="shared" si="147"/>
        <v>0</v>
      </c>
      <c r="AC210" s="1534">
        <f t="shared" si="148"/>
        <v>753.5131829886858</v>
      </c>
      <c r="AD210" s="1490">
        <f t="shared" si="149"/>
        <v>-13686.983959729869</v>
      </c>
      <c r="AE210" s="650">
        <f t="shared" si="150"/>
        <v>1.2709927508006704E-3</v>
      </c>
      <c r="AF210" s="651">
        <f t="shared" si="151"/>
        <v>8.4732850053378039E-4</v>
      </c>
      <c r="AG210" s="651">
        <f t="shared" si="152"/>
        <v>0.99788167874866562</v>
      </c>
      <c r="AH210" s="651">
        <f t="shared" si="165"/>
        <v>0</v>
      </c>
      <c r="AI210" s="651">
        <f>AB210/AC210</f>
        <v>0</v>
      </c>
      <c r="AJ210" s="651">
        <f t="shared" si="154"/>
        <v>1</v>
      </c>
      <c r="AK210" s="1501">
        <f t="shared" si="155"/>
        <v>0.95770979321135852</v>
      </c>
      <c r="AL210" s="1502">
        <f t="shared" si="156"/>
        <v>0</v>
      </c>
      <c r="AM210" s="1502">
        <f t="shared" si="157"/>
        <v>0</v>
      </c>
      <c r="AN210" s="1502">
        <f t="shared" si="158"/>
        <v>0.95770979321135852</v>
      </c>
      <c r="AO210" s="1187">
        <f t="shared" si="159"/>
        <v>0</v>
      </c>
    </row>
    <row r="211" spans="1:41">
      <c r="I211" s="106"/>
    </row>
    <row r="212" spans="1:41">
      <c r="I212" s="106"/>
    </row>
    <row r="213" spans="1:41">
      <c r="I213" s="104"/>
    </row>
  </sheetData>
  <mergeCells count="78">
    <mergeCell ref="CG94:CM94"/>
    <mergeCell ref="CM95:CM96"/>
    <mergeCell ref="AR94:BB94"/>
    <mergeCell ref="CB94:CC94"/>
    <mergeCell ref="CD94:CE94"/>
    <mergeCell ref="BD94:BD96"/>
    <mergeCell ref="BE94:BL94"/>
    <mergeCell ref="BV94:BX94"/>
    <mergeCell ref="BY94:CA94"/>
    <mergeCell ref="BM94:BT94"/>
    <mergeCell ref="AF94:AF95"/>
    <mergeCell ref="AG94:AQ94"/>
    <mergeCell ref="AC94:AC96"/>
    <mergeCell ref="AD94:AD96"/>
    <mergeCell ref="AE94:AE95"/>
    <mergeCell ref="U134:U135"/>
    <mergeCell ref="V134:V135"/>
    <mergeCell ref="V174:V175"/>
    <mergeCell ref="X174:AJ174"/>
    <mergeCell ref="X134:AJ134"/>
    <mergeCell ref="AB94:AB96"/>
    <mergeCell ref="Y94:Y95"/>
    <mergeCell ref="V94:V95"/>
    <mergeCell ref="W94:X94"/>
    <mergeCell ref="Z94:Z95"/>
    <mergeCell ref="AA94:AA95"/>
    <mergeCell ref="R174:R175"/>
    <mergeCell ref="S174:S175"/>
    <mergeCell ref="T174:T176"/>
    <mergeCell ref="W174:W175"/>
    <mergeCell ref="U174:U175"/>
    <mergeCell ref="P134:P135"/>
    <mergeCell ref="Q134:Q135"/>
    <mergeCell ref="A174:D174"/>
    <mergeCell ref="A175:A176"/>
    <mergeCell ref="E174:I174"/>
    <mergeCell ref="J174:L174"/>
    <mergeCell ref="M174:M175"/>
    <mergeCell ref="N174:O174"/>
    <mergeCell ref="P174:P175"/>
    <mergeCell ref="Q174:Q175"/>
    <mergeCell ref="A4:A6"/>
    <mergeCell ref="B4:B6"/>
    <mergeCell ref="A8:A9"/>
    <mergeCell ref="B8:F8"/>
    <mergeCell ref="G8:I8"/>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5.7109375" customWidth="1"/>
    <col min="8" max="8" width="19.7109375" customWidth="1"/>
    <col min="9" max="9" width="30.28515625" customWidth="1"/>
    <col min="10" max="10" width="25.28515625" customWidth="1"/>
    <col min="11" max="12" width="24.7109375" customWidth="1"/>
    <col min="13" max="13" width="26.7109375" customWidth="1"/>
    <col min="14" max="14" width="25.85546875" customWidth="1"/>
    <col min="15" max="15" width="29.28515625" customWidth="1"/>
    <col min="16" max="16" width="28.42578125" customWidth="1"/>
    <col min="17" max="17" width="30.85546875" customWidth="1"/>
    <col min="18" max="18" width="28.28515625" customWidth="1"/>
    <col min="19" max="19" width="23.140625" customWidth="1"/>
    <col min="20" max="20" width="20.28515625" customWidth="1"/>
    <col min="21" max="21" width="30" customWidth="1"/>
    <col min="22" max="22" width="20" customWidth="1"/>
    <col min="23" max="23" width="27.5703125" customWidth="1"/>
    <col min="24" max="24" width="20.28515625" customWidth="1"/>
    <col min="25" max="25" width="21.85546875" customWidth="1"/>
    <col min="26" max="26" width="17.28515625" customWidth="1"/>
    <col min="27" max="28" width="21.42578125" customWidth="1"/>
    <col min="29" max="29" width="21.140625" customWidth="1"/>
    <col min="30" max="30" width="25.28515625" customWidth="1"/>
    <col min="31" max="31" width="24.42578125" customWidth="1"/>
    <col min="32" max="32" width="29.42578125" customWidth="1"/>
    <col min="33" max="33" width="25.7109375" customWidth="1"/>
    <col min="34" max="34" width="22.7109375" customWidth="1"/>
    <col min="35" max="37" width="29.140625" customWidth="1"/>
    <col min="38" max="38" width="22.570312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8" max="68" width="9.85546875" customWidth="1"/>
    <col min="69" max="69" width="16" customWidth="1"/>
    <col min="71" max="71" width="18.7109375" customWidth="1"/>
    <col min="72" max="72" width="15.140625" customWidth="1"/>
    <col min="73" max="73" width="18.7109375" customWidth="1"/>
    <col min="74" max="74" width="23.5703125" customWidth="1"/>
    <col min="75" max="75" width="20.5703125" customWidth="1"/>
    <col min="76" max="76" width="21.7109375" customWidth="1"/>
    <col min="77" max="77" width="16.140625" customWidth="1"/>
    <col min="78" max="78" width="17.7109375" customWidth="1"/>
    <col min="79" max="79" width="18.5703125" customWidth="1"/>
    <col min="80" max="81" width="21.7109375" customWidth="1"/>
    <col min="82" max="82" width="20.28515625" customWidth="1"/>
    <col min="83" max="83" width="19" customWidth="1"/>
    <col min="85" max="85" width="17.28515625" customWidth="1"/>
    <col min="86" max="86" width="15.85546875" customWidth="1"/>
    <col min="88" max="88" width="11.140625" customWidth="1"/>
    <col min="89" max="89" width="12.28515625" customWidth="1"/>
    <col min="90" max="90" width="13.42578125" customWidth="1"/>
  </cols>
  <sheetData>
    <row r="1" spans="1:11">
      <c r="A1" s="2" t="s">
        <v>542</v>
      </c>
      <c r="J1" s="99"/>
      <c r="K1" s="99"/>
    </row>
    <row r="2" spans="1:11" ht="15.75" thickBot="1">
      <c r="A2" s="2" t="s">
        <v>543</v>
      </c>
      <c r="B2" s="413" t="s">
        <v>555</v>
      </c>
      <c r="J2" s="99"/>
      <c r="K2" s="99"/>
    </row>
    <row r="3" spans="1:11" ht="15.75" thickBot="1">
      <c r="A3" s="2"/>
      <c r="C3" s="728" t="s">
        <v>551</v>
      </c>
      <c r="D3" s="581" t="s">
        <v>558</v>
      </c>
      <c r="E3" s="728" t="s">
        <v>552</v>
      </c>
      <c r="F3" s="581" t="s">
        <v>558</v>
      </c>
      <c r="G3" s="728" t="s">
        <v>553</v>
      </c>
      <c r="H3" s="581" t="s">
        <v>558</v>
      </c>
      <c r="J3" s="99"/>
      <c r="K3" s="99"/>
    </row>
    <row r="4" spans="1:11">
      <c r="A4" s="1817" t="s">
        <v>556</v>
      </c>
      <c r="B4" s="1803" t="s">
        <v>557</v>
      </c>
      <c r="C4" s="579">
        <v>0.5</v>
      </c>
      <c r="D4" s="116">
        <f>2017+10</f>
        <v>2027</v>
      </c>
      <c r="E4" s="579">
        <f>C4</f>
        <v>0.5</v>
      </c>
      <c r="F4" s="116">
        <f>2017+5</f>
        <v>2022</v>
      </c>
      <c r="G4" s="579">
        <f>E4</f>
        <v>0.5</v>
      </c>
      <c r="H4" s="116">
        <f>F4</f>
        <v>2022</v>
      </c>
      <c r="J4" s="99"/>
      <c r="K4" s="99"/>
    </row>
    <row r="5" spans="1:11">
      <c r="A5" s="1818"/>
      <c r="B5" s="1804"/>
      <c r="C5" s="575">
        <v>0.65</v>
      </c>
      <c r="D5" s="130">
        <f>2017+20</f>
        <v>2037</v>
      </c>
      <c r="E5" s="575">
        <f t="shared" ref="E5:E6" si="0">C5</f>
        <v>0.65</v>
      </c>
      <c r="F5" s="130">
        <f>2017+10</f>
        <v>2027</v>
      </c>
      <c r="G5" s="575">
        <f t="shared" ref="G5:H6" si="1">E5</f>
        <v>0.65</v>
      </c>
      <c r="H5" s="130">
        <f t="shared" si="1"/>
        <v>2027</v>
      </c>
      <c r="J5" s="99"/>
      <c r="K5" s="99"/>
    </row>
    <row r="6" spans="1:11" ht="15.75" thickBot="1">
      <c r="A6" s="1819"/>
      <c r="B6" s="1805"/>
      <c r="C6" s="577">
        <v>0.8</v>
      </c>
      <c r="D6" s="140">
        <f>2017+30</f>
        <v>2047</v>
      </c>
      <c r="E6" s="577">
        <f t="shared" si="0"/>
        <v>0.8</v>
      </c>
      <c r="F6" s="140">
        <f>15+2017</f>
        <v>2032</v>
      </c>
      <c r="G6" s="577">
        <f t="shared" si="1"/>
        <v>0.8</v>
      </c>
      <c r="H6" s="140">
        <f t="shared" si="1"/>
        <v>2032</v>
      </c>
      <c r="J6" s="99"/>
      <c r="K6" s="99"/>
    </row>
    <row r="7" spans="1:11" ht="15.75" thickBot="1">
      <c r="A7" s="727"/>
      <c r="B7" s="727"/>
      <c r="C7" s="576"/>
      <c r="D7" s="104"/>
      <c r="E7" s="576"/>
      <c r="F7" s="104"/>
      <c r="G7" s="576"/>
      <c r="H7" s="104"/>
      <c r="J7" s="99"/>
      <c r="K7" s="99"/>
    </row>
    <row r="8" spans="1:11" ht="15.6" customHeight="1">
      <c r="A8" s="1861" t="s">
        <v>574</v>
      </c>
      <c r="B8" s="1718" t="s">
        <v>485</v>
      </c>
      <c r="C8" s="1719"/>
      <c r="D8" s="1719"/>
      <c r="E8" s="1719"/>
      <c r="F8" s="1720"/>
      <c r="G8" s="1718" t="s">
        <v>532</v>
      </c>
      <c r="H8" s="1719"/>
      <c r="I8" s="1720"/>
      <c r="J8" s="327"/>
      <c r="K8" s="99"/>
    </row>
    <row r="9" spans="1:11" ht="32.25" thickBot="1">
      <c r="A9" s="1862"/>
      <c r="B9" s="452" t="s">
        <v>473</v>
      </c>
      <c r="C9" s="287" t="s">
        <v>490</v>
      </c>
      <c r="D9" s="287" t="s">
        <v>377</v>
      </c>
      <c r="E9" s="287" t="s">
        <v>477</v>
      </c>
      <c r="F9" s="453" t="s">
        <v>303</v>
      </c>
      <c r="G9" s="452" t="s">
        <v>493</v>
      </c>
      <c r="H9" s="287" t="s">
        <v>494</v>
      </c>
      <c r="I9" s="453" t="s">
        <v>303</v>
      </c>
      <c r="J9" s="327"/>
      <c r="K9" s="99"/>
    </row>
    <row r="10" spans="1:11" ht="15.75">
      <c r="A10" s="437" t="s">
        <v>573</v>
      </c>
      <c r="B10" s="441">
        <f>'Input data'!B35</f>
        <v>0.46471844811027063</v>
      </c>
      <c r="C10" s="441">
        <f>'Input data'!C35</f>
        <v>0.41381327103365251</v>
      </c>
      <c r="D10" s="441">
        <f>'Input data'!D35</f>
        <v>0.12146828085607692</v>
      </c>
      <c r="E10" s="441">
        <f>'Input data'!E35</f>
        <v>0</v>
      </c>
      <c r="F10" s="441">
        <f>'Input data'!F35</f>
        <v>1</v>
      </c>
      <c r="G10" s="440">
        <f>'Input data'!G35</f>
        <v>0.66241124199764068</v>
      </c>
      <c r="H10" s="440">
        <f>'Input data'!H35</f>
        <v>0.33758875800235938</v>
      </c>
      <c r="I10" s="625">
        <f>'Input data'!I35</f>
        <v>1</v>
      </c>
      <c r="J10" s="158"/>
      <c r="K10" s="99"/>
    </row>
    <row r="11" spans="1:11" ht="15.75">
      <c r="A11" s="438" t="s">
        <v>578</v>
      </c>
      <c r="B11" s="441">
        <f>'Input data'!B36</f>
        <v>0.7821504466492184</v>
      </c>
      <c r="C11" s="441">
        <f>'Input data'!C36</f>
        <v>8.8860692477895534E-2</v>
      </c>
      <c r="D11" s="441">
        <f>'Input data'!D36</f>
        <v>0</v>
      </c>
      <c r="E11" s="441">
        <f>'Input data'!E36</f>
        <v>0.12898886087288614</v>
      </c>
      <c r="F11" s="441">
        <f>'Input data'!F36</f>
        <v>1</v>
      </c>
      <c r="G11" s="441">
        <f>'Input data'!G36</f>
        <v>0.78201761382701329</v>
      </c>
      <c r="H11" s="441">
        <f>'Input data'!H36</f>
        <v>0.21798238617298668</v>
      </c>
      <c r="I11" s="440">
        <f>'Input data'!I36</f>
        <v>1</v>
      </c>
      <c r="J11" s="674"/>
      <c r="K11" s="99"/>
    </row>
    <row r="12" spans="1:11" ht="15.75">
      <c r="A12" s="655" t="s">
        <v>579</v>
      </c>
      <c r="B12" s="441">
        <f>'Input data'!B37</f>
        <v>0.57380711973947707</v>
      </c>
      <c r="C12" s="441">
        <f>'Input data'!C37</f>
        <v>0.12526763815896438</v>
      </c>
      <c r="D12" s="441">
        <f>'Input data'!D37</f>
        <v>0</v>
      </c>
      <c r="E12" s="441">
        <f>'Input data'!E37</f>
        <v>0.30092524210155869</v>
      </c>
      <c r="F12" s="441">
        <f>'Input data'!F37</f>
        <v>1</v>
      </c>
      <c r="G12" s="441">
        <f>'Input data'!G37</f>
        <v>0.63925641437009872</v>
      </c>
      <c r="H12" s="441">
        <f>'Input data'!H37</f>
        <v>0.36074358562990122</v>
      </c>
      <c r="I12" s="440">
        <f>'Input data'!I37</f>
        <v>1</v>
      </c>
      <c r="J12" s="99"/>
      <c r="K12" s="99"/>
    </row>
    <row r="13" spans="1:11" ht="16.5" thickBot="1">
      <c r="A13" s="439" t="s">
        <v>499</v>
      </c>
      <c r="B13" s="626">
        <f>'Input data'!B38</f>
        <v>0.8</v>
      </c>
      <c r="C13" s="626">
        <f>'Input data'!C38</f>
        <v>0.11</v>
      </c>
      <c r="D13" s="626">
        <f>'Input data'!D38</f>
        <v>0.09</v>
      </c>
      <c r="E13" s="626">
        <f>'Input data'!E38</f>
        <v>0</v>
      </c>
      <c r="F13" s="626">
        <f>'Input data'!F38</f>
        <v>1</v>
      </c>
      <c r="G13" s="627">
        <f>'Input data'!G38</f>
        <v>1</v>
      </c>
      <c r="H13" s="627">
        <f>'Input data'!H38</f>
        <v>0</v>
      </c>
      <c r="I13" s="628">
        <f>'Input data'!I38</f>
        <v>1</v>
      </c>
      <c r="J13" s="99"/>
      <c r="K13" s="99">
        <v>0.57999999999999996</v>
      </c>
    </row>
    <row r="14" spans="1:11" ht="15.75">
      <c r="A14" s="470"/>
      <c r="C14" s="624"/>
      <c r="E14" s="624"/>
      <c r="F14" s="624"/>
      <c r="G14" s="436"/>
      <c r="J14" s="99"/>
      <c r="K14" s="99">
        <v>0.21707953063885269</v>
      </c>
    </row>
    <row r="15" spans="1:11" ht="15.6" customHeight="1" thickBot="1">
      <c r="B15" s="413" t="s">
        <v>554</v>
      </c>
      <c r="J15" s="99"/>
      <c r="K15" s="99">
        <v>0.71200000000000008</v>
      </c>
    </row>
    <row r="16" spans="1:11" ht="15.75" thickBot="1">
      <c r="A16" s="632"/>
      <c r="B16" s="631" t="s">
        <v>558</v>
      </c>
      <c r="C16" s="589" t="s">
        <v>87</v>
      </c>
      <c r="D16" s="589" t="s">
        <v>323</v>
      </c>
      <c r="E16" s="589" t="s">
        <v>324</v>
      </c>
      <c r="F16" s="589" t="s">
        <v>325</v>
      </c>
      <c r="G16" s="665" t="s">
        <v>582</v>
      </c>
      <c r="H16" s="666" t="s">
        <v>326</v>
      </c>
      <c r="K16">
        <v>0.8</v>
      </c>
    </row>
    <row r="17" spans="1:11">
      <c r="A17" s="633" t="s">
        <v>575</v>
      </c>
      <c r="B17" s="632">
        <v>2017</v>
      </c>
      <c r="C17" s="114">
        <f>E63/E65</f>
        <v>0.57999999999999996</v>
      </c>
      <c r="D17" s="114">
        <f>J63/J65</f>
        <v>0.437</v>
      </c>
      <c r="E17" s="114">
        <f t="shared" ref="E17:G17" si="2">K63/K65</f>
        <v>0.71200000000000008</v>
      </c>
      <c r="F17" s="114">
        <f t="shared" si="2"/>
        <v>0.8</v>
      </c>
      <c r="G17" s="114">
        <f t="shared" si="2"/>
        <v>0.23600000000000002</v>
      </c>
      <c r="H17" s="585">
        <f>H80</f>
        <v>6.154773859516615E-2</v>
      </c>
      <c r="K17">
        <v>0.23600000000000002</v>
      </c>
    </row>
    <row r="18" spans="1:11">
      <c r="A18" s="634" t="s">
        <v>551</v>
      </c>
      <c r="B18" s="542">
        <v>2030</v>
      </c>
      <c r="C18" s="417">
        <f>C17</f>
        <v>0.57999999999999996</v>
      </c>
      <c r="D18" s="417">
        <f t="shared" ref="D18:F18" si="3">D17</f>
        <v>0.437</v>
      </c>
      <c r="E18" s="417">
        <f t="shared" si="3"/>
        <v>0.71200000000000008</v>
      </c>
      <c r="F18" s="417">
        <f t="shared" si="3"/>
        <v>0.8</v>
      </c>
      <c r="G18" s="417">
        <f>G17</f>
        <v>0.23600000000000002</v>
      </c>
      <c r="H18" s="525">
        <f>H17</f>
        <v>6.154773859516615E-2</v>
      </c>
    </row>
    <row r="19" spans="1:11">
      <c r="A19" s="633" t="s">
        <v>552</v>
      </c>
      <c r="B19" s="542">
        <v>2030</v>
      </c>
      <c r="C19" s="576">
        <v>0.7</v>
      </c>
      <c r="D19" s="576">
        <v>0.6</v>
      </c>
      <c r="E19" s="576">
        <v>0.9</v>
      </c>
      <c r="F19" s="576">
        <v>0.9</v>
      </c>
      <c r="G19" s="417">
        <f>G18</f>
        <v>0.23600000000000002</v>
      </c>
      <c r="H19" s="586">
        <v>0.4</v>
      </c>
    </row>
    <row r="20" spans="1:11" ht="15.75" thickBot="1">
      <c r="A20" s="635" t="s">
        <v>553</v>
      </c>
      <c r="B20" s="543">
        <v>2030</v>
      </c>
      <c r="C20" s="578">
        <f>C19</f>
        <v>0.7</v>
      </c>
      <c r="D20" s="578">
        <f>D19</f>
        <v>0.6</v>
      </c>
      <c r="E20" s="578">
        <f>E19</f>
        <v>0.9</v>
      </c>
      <c r="F20" s="578">
        <f>F19</f>
        <v>0.9</v>
      </c>
      <c r="G20" s="651">
        <f>G19</f>
        <v>0.23600000000000002</v>
      </c>
      <c r="H20" s="587">
        <f>H19</f>
        <v>0.4</v>
      </c>
    </row>
    <row r="21" spans="1:11">
      <c r="A21" s="582"/>
      <c r="B21" s="104"/>
      <c r="C21" s="576"/>
      <c r="D21" s="576"/>
      <c r="E21" s="576"/>
      <c r="F21" s="104"/>
      <c r="G21" s="104"/>
      <c r="J21" s="417"/>
    </row>
    <row r="22" spans="1:11">
      <c r="A22" s="582"/>
      <c r="B22" s="104"/>
      <c r="C22" s="576"/>
      <c r="D22" s="576"/>
      <c r="E22" s="576"/>
      <c r="F22" s="104"/>
      <c r="G22" s="104"/>
    </row>
    <row r="23" spans="1:11">
      <c r="A23" s="583"/>
      <c r="B23" s="58"/>
      <c r="C23" s="58"/>
      <c r="D23" s="58"/>
      <c r="E23" s="576"/>
    </row>
    <row r="24" spans="1:11" ht="15.75" thickBot="1">
      <c r="A24" s="583"/>
      <c r="B24" s="413" t="s">
        <v>559</v>
      </c>
      <c r="C24" s="58"/>
      <c r="D24" s="58"/>
      <c r="E24" s="576"/>
    </row>
    <row r="25" spans="1:11" ht="15.75" thickBot="1">
      <c r="A25" s="584"/>
      <c r="B25" s="588"/>
      <c r="C25" s="592" t="s">
        <v>551</v>
      </c>
      <c r="D25" s="593" t="s">
        <v>558</v>
      </c>
      <c r="E25" s="728" t="s">
        <v>552</v>
      </c>
      <c r="F25" s="581" t="s">
        <v>558</v>
      </c>
      <c r="G25" s="729" t="s">
        <v>553</v>
      </c>
      <c r="H25" s="581" t="s">
        <v>558</v>
      </c>
    </row>
    <row r="26" spans="1:11">
      <c r="A26" s="1818" t="s">
        <v>560</v>
      </c>
      <c r="B26" s="1804" t="s">
        <v>557</v>
      </c>
      <c r="C26" s="575">
        <v>0.25</v>
      </c>
      <c r="D26" s="104">
        <f>2017+5</f>
        <v>2022</v>
      </c>
      <c r="E26" s="1831">
        <v>0.5</v>
      </c>
      <c r="F26" s="1833">
        <f>2017+5</f>
        <v>2022</v>
      </c>
      <c r="G26" s="1859">
        <f>E26</f>
        <v>0.5</v>
      </c>
      <c r="H26" s="1833">
        <f>F26</f>
        <v>2022</v>
      </c>
    </row>
    <row r="27" spans="1:11" ht="15.75" thickBot="1">
      <c r="A27" s="1819"/>
      <c r="B27" s="1805"/>
      <c r="C27" s="577">
        <v>0.5</v>
      </c>
      <c r="D27" s="163">
        <f>2017+10</f>
        <v>2027</v>
      </c>
      <c r="E27" s="1832"/>
      <c r="F27" s="1834"/>
      <c r="G27" s="1860"/>
      <c r="H27" s="1834"/>
    </row>
    <row r="28" spans="1:11" ht="15.75" thickBot="1">
      <c r="A28" s="727"/>
      <c r="B28" s="727"/>
      <c r="C28" s="576"/>
      <c r="D28" s="104"/>
      <c r="E28" s="576"/>
      <c r="F28" s="104"/>
      <c r="G28" s="576"/>
      <c r="H28" s="104"/>
    </row>
    <row r="29" spans="1:11">
      <c r="A29" s="594"/>
      <c r="B29" s="600"/>
      <c r="C29" s="1828" t="s">
        <v>551</v>
      </c>
      <c r="D29" s="1829"/>
      <c r="E29" s="1828" t="s">
        <v>552</v>
      </c>
      <c r="F29" s="1829"/>
      <c r="G29" s="1830" t="s">
        <v>553</v>
      </c>
      <c r="H29" s="1829"/>
    </row>
    <row r="30" spans="1:11" ht="15.75" thickBot="1">
      <c r="A30" s="596"/>
      <c r="B30" s="601"/>
      <c r="C30" s="597" t="s">
        <v>562</v>
      </c>
      <c r="D30" s="598" t="s">
        <v>176</v>
      </c>
      <c r="E30" s="597" t="s">
        <v>562</v>
      </c>
      <c r="F30" s="598" t="s">
        <v>176</v>
      </c>
      <c r="G30" s="599" t="s">
        <v>562</v>
      </c>
      <c r="H30" s="598" t="s">
        <v>176</v>
      </c>
    </row>
    <row r="31" spans="1:11" ht="15.75" thickBot="1">
      <c r="A31" s="602" t="s">
        <v>561</v>
      </c>
      <c r="B31" s="603" t="s">
        <v>557</v>
      </c>
      <c r="C31" s="577">
        <v>0.1</v>
      </c>
      <c r="D31" s="587">
        <v>0.9</v>
      </c>
      <c r="E31" s="577">
        <v>0.1</v>
      </c>
      <c r="F31" s="587">
        <v>0.9</v>
      </c>
      <c r="G31" s="578">
        <v>0.5</v>
      </c>
      <c r="H31" s="587">
        <v>0.5</v>
      </c>
    </row>
    <row r="32" spans="1:11">
      <c r="A32" s="583"/>
      <c r="B32" s="58"/>
      <c r="C32" s="58"/>
      <c r="D32" s="58"/>
      <c r="E32" s="576"/>
    </row>
    <row r="33" spans="1:24" ht="15.75" thickBot="1">
      <c r="A33" s="583"/>
      <c r="B33" s="413" t="s">
        <v>563</v>
      </c>
      <c r="C33" s="58"/>
      <c r="D33" s="58"/>
      <c r="E33" s="576"/>
    </row>
    <row r="34" spans="1:24" ht="28.9" customHeight="1" thickBot="1">
      <c r="A34" s="611"/>
      <c r="B34" s="954" t="s">
        <v>558</v>
      </c>
      <c r="C34" s="730" t="s">
        <v>269</v>
      </c>
      <c r="D34" s="731" t="s">
        <v>270</v>
      </c>
      <c r="E34" s="731" t="s">
        <v>271</v>
      </c>
      <c r="F34" s="731" t="s">
        <v>272</v>
      </c>
      <c r="G34" s="732" t="s">
        <v>614</v>
      </c>
    </row>
    <row r="35" spans="1:24">
      <c r="A35" s="612" t="s">
        <v>564</v>
      </c>
      <c r="B35" s="989">
        <v>2017</v>
      </c>
      <c r="C35" s="733">
        <f>Parameters!C188</f>
        <v>0</v>
      </c>
      <c r="D35" s="734">
        <f>Parameters!D188</f>
        <v>0</v>
      </c>
      <c r="E35" s="734">
        <f>Parameters!E188</f>
        <v>0.4</v>
      </c>
      <c r="F35" s="734">
        <f>Parameters!F188</f>
        <v>0.3</v>
      </c>
      <c r="G35" s="735">
        <f>Parameters!G188</f>
        <v>0.3</v>
      </c>
    </row>
    <row r="36" spans="1:24">
      <c r="A36" s="1868" t="s">
        <v>551</v>
      </c>
      <c r="B36" s="990">
        <v>2030</v>
      </c>
      <c r="C36" s="608">
        <f>C35</f>
        <v>0</v>
      </c>
      <c r="D36" s="604">
        <f>D35</f>
        <v>0</v>
      </c>
      <c r="E36" s="604">
        <f>1-F36-G36</f>
        <v>0.7</v>
      </c>
      <c r="F36" s="604">
        <f>F35/2</f>
        <v>0.15</v>
      </c>
      <c r="G36" s="605">
        <f>G35/2</f>
        <v>0.15</v>
      </c>
      <c r="H36" t="s">
        <v>565</v>
      </c>
    </row>
    <row r="37" spans="1:24">
      <c r="A37" s="1868"/>
      <c r="B37" s="990">
        <v>2050</v>
      </c>
      <c r="C37" s="608">
        <f>C38</f>
        <v>0</v>
      </c>
      <c r="D37" s="604">
        <f t="shared" ref="D37:G37" si="4">D38</f>
        <v>0</v>
      </c>
      <c r="E37" s="604">
        <f t="shared" si="4"/>
        <v>1</v>
      </c>
      <c r="F37" s="604">
        <f t="shared" si="4"/>
        <v>0</v>
      </c>
      <c r="G37" s="605">
        <f t="shared" si="4"/>
        <v>0</v>
      </c>
    </row>
    <row r="38" spans="1:24">
      <c r="A38" s="1008" t="s">
        <v>552</v>
      </c>
      <c r="B38" s="990">
        <v>2030</v>
      </c>
      <c r="C38" s="608">
        <f>C36</f>
        <v>0</v>
      </c>
      <c r="D38" s="604">
        <f>D36</f>
        <v>0</v>
      </c>
      <c r="E38" s="604">
        <v>1</v>
      </c>
      <c r="F38" s="604">
        <v>0</v>
      </c>
      <c r="G38" s="605">
        <v>0</v>
      </c>
      <c r="H38" t="s">
        <v>566</v>
      </c>
    </row>
    <row r="39" spans="1:24" ht="15.75" thickBot="1">
      <c r="A39" s="1009" t="s">
        <v>553</v>
      </c>
      <c r="B39" s="991">
        <v>2030</v>
      </c>
      <c r="C39" s="609">
        <f>C37</f>
        <v>0</v>
      </c>
      <c r="D39" s="606">
        <f>D37</f>
        <v>0</v>
      </c>
      <c r="E39" s="606">
        <v>1</v>
      </c>
      <c r="F39" s="606">
        <v>0</v>
      </c>
      <c r="G39" s="607">
        <v>0</v>
      </c>
      <c r="X39" s="104"/>
    </row>
    <row r="40" spans="1:24">
      <c r="A40" s="202"/>
      <c r="B40" s="165"/>
      <c r="C40" s="604"/>
      <c r="D40" s="604"/>
      <c r="E40" s="604"/>
      <c r="F40" s="604"/>
      <c r="G40" s="604"/>
      <c r="X40" s="104"/>
    </row>
    <row r="41" spans="1:24" ht="15.75" thickBot="1">
      <c r="A41" s="2"/>
      <c r="B41" s="413" t="s">
        <v>567</v>
      </c>
      <c r="X41" s="104"/>
    </row>
    <row r="42" spans="1:24" ht="15.75" thickBot="1">
      <c r="A42" s="2"/>
      <c r="C42" s="1820" t="s">
        <v>6</v>
      </c>
      <c r="D42" s="1821"/>
      <c r="E42" s="1821"/>
      <c r="F42" s="1821"/>
      <c r="G42" s="1821"/>
      <c r="H42" s="1821"/>
      <c r="I42" s="1822"/>
      <c r="J42" s="1886" t="s">
        <v>298</v>
      </c>
      <c r="K42" s="1821"/>
      <c r="L42" s="1821"/>
      <c r="M42" s="1821"/>
      <c r="N42" s="1821"/>
      <c r="O42" s="1821"/>
      <c r="P42" s="1822"/>
      <c r="Q42" s="1865" t="s">
        <v>299</v>
      </c>
      <c r="R42" s="1865"/>
      <c r="S42" s="1865"/>
      <c r="T42" s="1865"/>
      <c r="U42" s="1865"/>
      <c r="V42" s="1865"/>
      <c r="W42" s="1866"/>
      <c r="X42" s="969"/>
    </row>
    <row r="43" spans="1:24" ht="30.75" thickBot="1">
      <c r="A43" s="611"/>
      <c r="B43" s="778" t="s">
        <v>558</v>
      </c>
      <c r="C43" s="617" t="s">
        <v>17</v>
      </c>
      <c r="D43" s="618" t="s">
        <v>23</v>
      </c>
      <c r="E43" s="618" t="s">
        <v>19</v>
      </c>
      <c r="F43" s="618" t="s">
        <v>304</v>
      </c>
      <c r="G43" s="618" t="s">
        <v>9</v>
      </c>
      <c r="H43" s="618" t="s">
        <v>10</v>
      </c>
      <c r="I43" s="619" t="s">
        <v>225</v>
      </c>
      <c r="J43" s="621" t="s">
        <v>17</v>
      </c>
      <c r="K43" s="618" t="s">
        <v>23</v>
      </c>
      <c r="L43" s="618" t="s">
        <v>19</v>
      </c>
      <c r="M43" s="618" t="s">
        <v>304</v>
      </c>
      <c r="N43" s="618" t="s">
        <v>9</v>
      </c>
      <c r="O43" s="618" t="s">
        <v>10</v>
      </c>
      <c r="P43" s="619" t="s">
        <v>225</v>
      </c>
      <c r="Q43" s="966" t="s">
        <v>17</v>
      </c>
      <c r="R43" s="967" t="s">
        <v>23</v>
      </c>
      <c r="S43" s="967" t="s">
        <v>19</v>
      </c>
      <c r="T43" s="967" t="s">
        <v>304</v>
      </c>
      <c r="U43" s="967" t="s">
        <v>9</v>
      </c>
      <c r="V43" s="967" t="s">
        <v>10</v>
      </c>
      <c r="W43" s="968" t="s">
        <v>225</v>
      </c>
      <c r="X43" s="104"/>
    </row>
    <row r="44" spans="1:24">
      <c r="A44" s="963" t="s">
        <v>568</v>
      </c>
      <c r="B44" s="584">
        <v>2017</v>
      </c>
      <c r="C44" s="117">
        <f>'4D Wastewater treatment and dis'!H107</f>
        <v>0.1</v>
      </c>
      <c r="D44" s="118">
        <f>'4D Wastewater treatment and dis'!I107</f>
        <v>0</v>
      </c>
      <c r="E44" s="118">
        <f>'4D Wastewater treatment and dis'!J107</f>
        <v>0.1</v>
      </c>
      <c r="F44" s="118">
        <f>'4D Wastewater treatment and dis'!K107</f>
        <v>0.28000000000000003</v>
      </c>
      <c r="G44" s="118">
        <f>'4D Wastewater treatment and dis'!L107</f>
        <v>0.04</v>
      </c>
      <c r="H44" s="118">
        <f>'4D Wastewater treatment and dis'!M107</f>
        <v>0.48</v>
      </c>
      <c r="I44" s="205">
        <f>SUM(C44:H44)</f>
        <v>1</v>
      </c>
      <c r="J44" s="118">
        <f>'4D Wastewater treatment and dis'!N107</f>
        <v>0</v>
      </c>
      <c r="K44" s="118">
        <f>'4D Wastewater treatment and dis'!O107</f>
        <v>0.7</v>
      </c>
      <c r="L44" s="118">
        <f>'4D Wastewater treatment and dis'!P107</f>
        <v>0.15</v>
      </c>
      <c r="M44" s="118">
        <f>'4D Wastewater treatment and dis'!Q107</f>
        <v>0.15</v>
      </c>
      <c r="N44" s="118">
        <f>'4D Wastewater treatment and dis'!R107</f>
        <v>0</v>
      </c>
      <c r="O44" s="118">
        <f>'4D Wastewater treatment and dis'!S107</f>
        <v>0</v>
      </c>
      <c r="P44" s="205">
        <f>SUM(J44:O44)</f>
        <v>1</v>
      </c>
      <c r="Q44" s="671">
        <f>'4D Wastewater treatment and dis'!T107</f>
        <v>0.34</v>
      </c>
      <c r="R44" s="671">
        <f>'4D Wastewater treatment and dis'!U107</f>
        <v>0</v>
      </c>
      <c r="S44" s="671">
        <f>'4D Wastewater treatment and dis'!V107</f>
        <v>0.17</v>
      </c>
      <c r="T44" s="671">
        <f>'4D Wastewater treatment and dis'!W107</f>
        <v>0.24</v>
      </c>
      <c r="U44" s="671">
        <f>'4D Wastewater treatment and dis'!X107</f>
        <v>0.05</v>
      </c>
      <c r="V44" s="671">
        <f>'4D Wastewater treatment and dis'!Y107</f>
        <v>0.2</v>
      </c>
      <c r="W44" s="807">
        <f>SUM(Q44:V44)</f>
        <v>1</v>
      </c>
      <c r="X44" s="104"/>
    </row>
    <row r="45" spans="1:24">
      <c r="A45" s="964" t="s">
        <v>551</v>
      </c>
      <c r="B45" s="157">
        <v>2050</v>
      </c>
      <c r="C45" s="117">
        <f>C44+C44*$H$44/SUM($C$44:$G$44)</f>
        <v>0.19230769230769232</v>
      </c>
      <c r="D45" s="118">
        <f>D44+D44*$H$44/SUM($C$44:$G$44)</f>
        <v>0</v>
      </c>
      <c r="E45" s="118">
        <f>E44+E44*$H$44/SUM($C$44:$G$44)</f>
        <v>0.19230769230769232</v>
      </c>
      <c r="F45" s="118">
        <f>F44+F44*$H$44/SUM($C$44:$G$44)</f>
        <v>0.53846153846153855</v>
      </c>
      <c r="G45" s="118">
        <f>G44+G44*$H$44/SUM($C$44:$G$44)</f>
        <v>7.6923076923076927E-2</v>
      </c>
      <c r="H45" s="118">
        <v>0</v>
      </c>
      <c r="I45" s="205">
        <f>SUM(C45:H45)</f>
        <v>1</v>
      </c>
      <c r="J45" s="118">
        <f>J44</f>
        <v>0</v>
      </c>
      <c r="K45" s="118">
        <f t="shared" ref="K45:O47" si="5">K44</f>
        <v>0.7</v>
      </c>
      <c r="L45" s="118">
        <f t="shared" si="5"/>
        <v>0.15</v>
      </c>
      <c r="M45" s="118">
        <f t="shared" si="5"/>
        <v>0.15</v>
      </c>
      <c r="N45" s="118">
        <f t="shared" si="5"/>
        <v>0</v>
      </c>
      <c r="O45" s="118">
        <f t="shared" si="5"/>
        <v>0</v>
      </c>
      <c r="P45" s="205">
        <f>SUM(J45:O45)</f>
        <v>1</v>
      </c>
      <c r="Q45" s="118">
        <f>Q44+Q44*$V$44/SUM($Q$44:$U$44)</f>
        <v>0.42500000000000004</v>
      </c>
      <c r="R45" s="118">
        <f>R44+R44*$V$44/SUM($Q$44:$U$44)</f>
        <v>0</v>
      </c>
      <c r="S45" s="118">
        <f>S44+S44*$V$44/SUM($Q$44:$U$44)</f>
        <v>0.21250000000000002</v>
      </c>
      <c r="T45" s="118">
        <f>T44+T44*$V$44/SUM($Q$44:$U$44)</f>
        <v>0.3</v>
      </c>
      <c r="U45" s="118">
        <f>U44+U44*$V$44/SUM($Q$44:$U$44)</f>
        <v>6.25E-2</v>
      </c>
      <c r="V45" s="104">
        <v>0</v>
      </c>
      <c r="W45" s="205">
        <f>SUM(Q45:V45)</f>
        <v>1</v>
      </c>
      <c r="X45" s="104"/>
    </row>
    <row r="46" spans="1:24">
      <c r="A46" s="964" t="s">
        <v>622</v>
      </c>
      <c r="B46" s="157">
        <v>2030</v>
      </c>
      <c r="C46" s="117">
        <f>C45</f>
        <v>0.19230769230769232</v>
      </c>
      <c r="D46" s="118">
        <f t="shared" ref="D46:H47" si="6">D45</f>
        <v>0</v>
      </c>
      <c r="E46" s="118">
        <f t="shared" si="6"/>
        <v>0.19230769230769232</v>
      </c>
      <c r="F46" s="118">
        <f t="shared" si="6"/>
        <v>0.53846153846153855</v>
      </c>
      <c r="G46" s="118">
        <f t="shared" si="6"/>
        <v>7.6923076923076927E-2</v>
      </c>
      <c r="H46" s="118">
        <f t="shared" si="6"/>
        <v>0</v>
      </c>
      <c r="I46" s="205">
        <f>SUM(C46:H46)</f>
        <v>1</v>
      </c>
      <c r="J46" s="118">
        <f>J45</f>
        <v>0</v>
      </c>
      <c r="K46" s="118">
        <f t="shared" si="5"/>
        <v>0.7</v>
      </c>
      <c r="L46" s="118">
        <f t="shared" si="5"/>
        <v>0.15</v>
      </c>
      <c r="M46" s="118">
        <f t="shared" si="5"/>
        <v>0.15</v>
      </c>
      <c r="N46" s="118">
        <f t="shared" si="5"/>
        <v>0</v>
      </c>
      <c r="O46" s="118">
        <f t="shared" si="5"/>
        <v>0</v>
      </c>
      <c r="P46" s="205">
        <f>SUM(J46:O46)</f>
        <v>1</v>
      </c>
      <c r="Q46" s="118">
        <f>Q45</f>
        <v>0.42500000000000004</v>
      </c>
      <c r="R46" s="118">
        <f t="shared" ref="R46:R47" si="7">R45</f>
        <v>0</v>
      </c>
      <c r="S46" s="118">
        <f t="shared" ref="S46:U47" si="8">S45</f>
        <v>0.21250000000000002</v>
      </c>
      <c r="T46" s="118">
        <f t="shared" si="8"/>
        <v>0.3</v>
      </c>
      <c r="U46" s="118">
        <f t="shared" si="8"/>
        <v>6.25E-2</v>
      </c>
      <c r="V46" s="104">
        <v>0</v>
      </c>
      <c r="W46" s="205">
        <f>SUM(Q46:V46)</f>
        <v>1</v>
      </c>
      <c r="X46" s="104"/>
    </row>
    <row r="47" spans="1:24" ht="15.75" thickBot="1">
      <c r="A47" s="965" t="s">
        <v>553</v>
      </c>
      <c r="B47" s="951">
        <v>2030</v>
      </c>
      <c r="C47" s="120">
        <f>C46</f>
        <v>0.19230769230769232</v>
      </c>
      <c r="D47" s="121">
        <f t="shared" si="6"/>
        <v>0</v>
      </c>
      <c r="E47" s="121">
        <f t="shared" si="6"/>
        <v>0.19230769230769232</v>
      </c>
      <c r="F47" s="121">
        <f t="shared" si="6"/>
        <v>0.53846153846153855</v>
      </c>
      <c r="G47" s="121">
        <f t="shared" si="6"/>
        <v>7.6923076923076927E-2</v>
      </c>
      <c r="H47" s="121">
        <f t="shared" si="6"/>
        <v>0</v>
      </c>
      <c r="I47" s="206">
        <f>SUM(C47:H47)</f>
        <v>1</v>
      </c>
      <c r="J47" s="121">
        <f>J46</f>
        <v>0</v>
      </c>
      <c r="K47" s="121">
        <f t="shared" si="5"/>
        <v>0.7</v>
      </c>
      <c r="L47" s="121">
        <f t="shared" si="5"/>
        <v>0.15</v>
      </c>
      <c r="M47" s="121">
        <f t="shared" si="5"/>
        <v>0.15</v>
      </c>
      <c r="N47" s="121">
        <f t="shared" si="5"/>
        <v>0</v>
      </c>
      <c r="O47" s="121">
        <f t="shared" si="5"/>
        <v>0</v>
      </c>
      <c r="P47" s="206">
        <f>SUM(J47:O47)</f>
        <v>1</v>
      </c>
      <c r="Q47" s="121">
        <f>Q46</f>
        <v>0.42500000000000004</v>
      </c>
      <c r="R47" s="121">
        <f t="shared" si="7"/>
        <v>0</v>
      </c>
      <c r="S47" s="121">
        <f t="shared" si="8"/>
        <v>0.21250000000000002</v>
      </c>
      <c r="T47" s="121">
        <f t="shared" si="8"/>
        <v>0.3</v>
      </c>
      <c r="U47" s="121">
        <f t="shared" si="8"/>
        <v>6.25E-2</v>
      </c>
      <c r="V47" s="163">
        <v>0</v>
      </c>
      <c r="W47" s="206">
        <f>SUM(Q47:V47)</f>
        <v>1</v>
      </c>
      <c r="X47" s="104"/>
    </row>
    <row r="48" spans="1:24" ht="15.75" thickBot="1">
      <c r="A48" s="340"/>
      <c r="B48" s="165"/>
      <c r="C48" s="118"/>
      <c r="D48" s="118"/>
      <c r="E48" s="118"/>
      <c r="F48" s="118"/>
      <c r="G48" s="118"/>
      <c r="H48" s="118"/>
      <c r="I48" s="118"/>
      <c r="J48" s="118"/>
      <c r="K48" s="118"/>
      <c r="L48" s="118"/>
      <c r="M48" s="118"/>
      <c r="N48" s="118"/>
      <c r="O48" s="118"/>
      <c r="P48" s="118"/>
      <c r="Q48" s="118"/>
      <c r="R48" s="118"/>
      <c r="S48" s="118"/>
      <c r="T48" s="118"/>
      <c r="U48" s="118"/>
      <c r="V48" s="118"/>
      <c r="W48" s="104"/>
      <c r="X48" s="118"/>
    </row>
    <row r="49" spans="1:28" ht="63" customHeight="1" thickBot="1">
      <c r="A49" s="637"/>
      <c r="B49" s="953" t="s">
        <v>558</v>
      </c>
      <c r="C49" s="994" t="s">
        <v>506</v>
      </c>
      <c r="D49" s="995" t="s">
        <v>505</v>
      </c>
      <c r="J49" s="118"/>
      <c r="K49" s="118"/>
      <c r="L49" s="118"/>
      <c r="M49" s="118"/>
      <c r="N49" s="118"/>
      <c r="O49" s="118"/>
      <c r="P49" s="118"/>
      <c r="Q49" s="118"/>
      <c r="R49" s="118"/>
      <c r="S49" s="118"/>
      <c r="T49" s="118"/>
      <c r="U49" s="118"/>
      <c r="V49" s="118"/>
      <c r="W49" s="104"/>
      <c r="X49" s="118"/>
    </row>
    <row r="50" spans="1:28" ht="15.75">
      <c r="A50" s="996" t="s">
        <v>572</v>
      </c>
      <c r="B50" s="997">
        <v>2017</v>
      </c>
      <c r="C50" s="1001">
        <f>'Input data'!C43</f>
        <v>0.71479999999999999</v>
      </c>
      <c r="D50" s="998">
        <f>'Input data'!C42</f>
        <v>0.28959999999999997</v>
      </c>
      <c r="J50" s="118"/>
      <c r="K50" s="118"/>
      <c r="L50" s="118"/>
      <c r="M50" s="118"/>
      <c r="N50" s="118"/>
      <c r="O50" s="118"/>
      <c r="P50" s="118"/>
      <c r="Q50" s="118"/>
      <c r="R50" s="118"/>
      <c r="S50" s="118"/>
      <c r="T50" s="118"/>
      <c r="U50" s="118"/>
      <c r="V50" s="118"/>
      <c r="W50" s="104"/>
      <c r="X50" s="118"/>
    </row>
    <row r="51" spans="1:28">
      <c r="A51" s="633" t="s">
        <v>551</v>
      </c>
      <c r="B51" s="999">
        <v>2050</v>
      </c>
      <c r="C51" s="643">
        <v>1</v>
      </c>
      <c r="D51" s="992">
        <f>(C45+D45)*Parameters!$D$12+Parameters!$D$13*('Recycling - Case 3'!K45+J45)+('Recycling - Case 3'!Q45+'Recycling - Case 3'!R45)*Parameters!$D$14</f>
        <v>0.36725000000000002</v>
      </c>
      <c r="J51" s="118"/>
      <c r="K51" s="118"/>
      <c r="L51" s="118"/>
      <c r="M51" s="118"/>
      <c r="N51" s="118"/>
      <c r="O51" s="118"/>
      <c r="P51" s="118"/>
      <c r="Q51" s="118"/>
      <c r="R51" s="118"/>
      <c r="S51" s="118"/>
      <c r="T51" s="118"/>
      <c r="U51" s="118"/>
      <c r="V51" s="118"/>
      <c r="W51" s="104"/>
      <c r="X51" s="118"/>
    </row>
    <row r="52" spans="1:28">
      <c r="A52" s="633" t="s">
        <v>552</v>
      </c>
      <c r="B52" s="999">
        <v>2030</v>
      </c>
      <c r="C52" s="643">
        <v>1</v>
      </c>
      <c r="D52" s="992">
        <f>(C46+D46)*Parameters!$D$12+Parameters!$D$13*('Recycling - Case 3'!K46+J46)+('Recycling - Case 3'!Q46+'Recycling - Case 3'!R46)*Parameters!$D$14</f>
        <v>0.36725000000000002</v>
      </c>
      <c r="J52" s="118"/>
      <c r="K52" s="118"/>
      <c r="L52" s="118"/>
      <c r="M52" s="118"/>
      <c r="N52" s="118"/>
      <c r="O52" s="118"/>
      <c r="P52" s="118"/>
      <c r="Q52" s="118"/>
      <c r="R52" s="118"/>
      <c r="S52" s="118"/>
      <c r="T52" s="118"/>
      <c r="U52" s="118"/>
      <c r="V52" s="118"/>
      <c r="W52" s="104"/>
      <c r="X52" s="118"/>
    </row>
    <row r="53" spans="1:28" ht="15.75" thickBot="1">
      <c r="A53" s="635" t="s">
        <v>553</v>
      </c>
      <c r="B53" s="1000">
        <v>2030</v>
      </c>
      <c r="C53" s="644">
        <v>1</v>
      </c>
      <c r="D53" s="993">
        <v>0.37</v>
      </c>
      <c r="E53" s="118"/>
      <c r="F53" s="118"/>
      <c r="G53" s="118"/>
      <c r="H53" s="118"/>
      <c r="I53" s="118"/>
      <c r="Q53" s="104"/>
      <c r="R53" s="104"/>
      <c r="S53" s="104"/>
      <c r="T53" s="104"/>
      <c r="U53" s="104"/>
      <c r="V53" s="104"/>
      <c r="W53" s="104"/>
      <c r="X53" s="104"/>
    </row>
    <row r="54" spans="1:28">
      <c r="A54" s="2"/>
      <c r="Q54" s="104"/>
      <c r="R54" s="104"/>
      <c r="S54" s="104"/>
      <c r="T54" s="104"/>
      <c r="U54" s="104"/>
      <c r="V54" s="104"/>
      <c r="W54" s="104"/>
      <c r="X54" s="104"/>
    </row>
    <row r="55" spans="1:28">
      <c r="A55" s="2"/>
      <c r="Q55" s="104"/>
      <c r="R55" s="104"/>
      <c r="S55" s="104"/>
      <c r="T55" s="104"/>
      <c r="U55" s="104"/>
      <c r="V55" s="104"/>
      <c r="W55" s="104"/>
      <c r="X55" s="104"/>
    </row>
    <row r="56" spans="1:28" ht="15.75">
      <c r="A56" s="337" t="s">
        <v>550</v>
      </c>
      <c r="B56" s="614"/>
      <c r="C56" s="614"/>
      <c r="D56" s="614"/>
      <c r="E56" s="614"/>
      <c r="F56" s="614"/>
      <c r="G56" s="614"/>
      <c r="H56" s="614"/>
      <c r="I56" s="1349"/>
      <c r="J56" s="334"/>
      <c r="K56" s="334"/>
      <c r="L56" s="334"/>
      <c r="M56" s="334"/>
      <c r="N56" s="334"/>
      <c r="O56" s="1333"/>
      <c r="P56" s="1333"/>
      <c r="Q56" s="198"/>
      <c r="R56" s="286"/>
      <c r="S56" s="286"/>
      <c r="T56" s="104"/>
      <c r="U56" s="104"/>
      <c r="V56" s="104"/>
      <c r="W56" s="620"/>
      <c r="X56" s="104"/>
      <c r="Y56" s="314"/>
      <c r="Z56" s="314"/>
      <c r="AA56" s="314"/>
    </row>
    <row r="57" spans="1:28" ht="16.5" thickBot="1">
      <c r="A57" s="337"/>
      <c r="B57" s="614" t="s">
        <v>593</v>
      </c>
      <c r="C57" s="614">
        <v>56521948</v>
      </c>
      <c r="D57" s="1350"/>
      <c r="E57" s="1350"/>
      <c r="F57" s="1350"/>
      <c r="G57" s="1350"/>
      <c r="H57" s="1350"/>
      <c r="I57" s="1350"/>
      <c r="J57" s="334"/>
      <c r="K57" s="334"/>
      <c r="L57" s="334"/>
      <c r="M57" s="334"/>
      <c r="N57" s="334"/>
      <c r="O57" s="1333"/>
      <c r="P57" s="1333"/>
      <c r="Q57" s="7"/>
      <c r="R57" s="10"/>
      <c r="S57" s="10"/>
      <c r="W57" s="313"/>
      <c r="Y57" s="314"/>
      <c r="Z57" s="314"/>
      <c r="AA57" s="314"/>
    </row>
    <row r="58" spans="1:28" ht="16.5" thickBot="1">
      <c r="A58" s="1307" t="s">
        <v>749</v>
      </c>
      <c r="B58" s="1307" t="s">
        <v>327</v>
      </c>
      <c r="C58" s="1308" t="s">
        <v>221</v>
      </c>
      <c r="D58" s="1309" t="s">
        <v>85</v>
      </c>
      <c r="E58" s="1309" t="s">
        <v>375</v>
      </c>
      <c r="F58" s="1309" t="s">
        <v>222</v>
      </c>
      <c r="G58" s="1309" t="s">
        <v>115</v>
      </c>
      <c r="H58" s="1309" t="s">
        <v>223</v>
      </c>
      <c r="I58" s="1309" t="s">
        <v>328</v>
      </c>
      <c r="J58" s="1309" t="s">
        <v>329</v>
      </c>
      <c r="K58" s="1309" t="s">
        <v>330</v>
      </c>
      <c r="L58" s="1309" t="s">
        <v>331</v>
      </c>
      <c r="M58" s="1309" t="s">
        <v>332</v>
      </c>
      <c r="N58" s="1330" t="s">
        <v>225</v>
      </c>
      <c r="O58" s="1343"/>
      <c r="P58" s="1343"/>
      <c r="Q58" s="7"/>
      <c r="R58" s="10"/>
      <c r="S58" s="10"/>
      <c r="W58" s="313"/>
      <c r="X58" s="315"/>
      <c r="Y58" s="313"/>
      <c r="Z58" s="313"/>
      <c r="AA58" s="313"/>
    </row>
    <row r="59" spans="1:28">
      <c r="A59" s="1310"/>
      <c r="B59" s="1310" t="s">
        <v>333</v>
      </c>
      <c r="C59" s="1311">
        <f>'Input data'!C13</f>
        <v>1233791.4119790548</v>
      </c>
      <c r="D59" s="1312">
        <f>'Input data'!D13</f>
        <v>1138884.3802883581</v>
      </c>
      <c r="E59" s="1312">
        <f>'Input data'!E13</f>
        <v>378326.54427023319</v>
      </c>
      <c r="F59" s="1312">
        <f>'Input data'!F13</f>
        <v>0</v>
      </c>
      <c r="G59" s="1312">
        <f>'Input data'!G13</f>
        <v>0</v>
      </c>
      <c r="H59" s="1312">
        <f>'Input data'!H13</f>
        <v>0</v>
      </c>
      <c r="I59" s="1312">
        <f>'Input data'!I13</f>
        <v>0</v>
      </c>
      <c r="J59" s="1312">
        <f>'Input data'!J13</f>
        <v>381000</v>
      </c>
      <c r="K59" s="1312">
        <f>'Input data'!K13</f>
        <v>338388.97868490184</v>
      </c>
      <c r="L59" s="1312">
        <f>'Input data'!L13</f>
        <v>297470.77450579114</v>
      </c>
      <c r="M59" s="1312">
        <f>'Input data'!M13</f>
        <v>0</v>
      </c>
      <c r="N59" s="1331">
        <f>'Input data'!N13</f>
        <v>3767862.0897283391</v>
      </c>
      <c r="O59" s="1352"/>
      <c r="P59" s="1352"/>
      <c r="Q59" s="1353"/>
      <c r="R59" s="10"/>
      <c r="S59" s="10"/>
      <c r="W59" s="314"/>
      <c r="Y59" s="314"/>
      <c r="Z59" s="314"/>
      <c r="AA59" s="314"/>
    </row>
    <row r="60" spans="1:28" ht="15.75">
      <c r="A60" s="1313" t="s">
        <v>334</v>
      </c>
      <c r="B60" s="1310" t="s">
        <v>335</v>
      </c>
      <c r="C60" s="1314">
        <f>'Input data'!C14</f>
        <v>964286</v>
      </c>
      <c r="D60" s="1351">
        <f>'Input data'!D14</f>
        <v>964286</v>
      </c>
      <c r="E60" s="1351">
        <f>'Input data'!E14</f>
        <v>0</v>
      </c>
      <c r="F60" s="1351">
        <f>'Input data'!F14</f>
        <v>0</v>
      </c>
      <c r="G60" s="1351">
        <f>'Input data'!G14</f>
        <v>0</v>
      </c>
      <c r="H60" s="1351">
        <f>'Input data'!H14</f>
        <v>0</v>
      </c>
      <c r="I60" s="1351">
        <f>'Input data'!I14</f>
        <v>2892858</v>
      </c>
      <c r="J60" s="1351">
        <f>'Input data'!J14</f>
        <v>0</v>
      </c>
      <c r="K60" s="1351">
        <f>'Input data'!K14</f>
        <v>0</v>
      </c>
      <c r="L60" s="1351">
        <f>'Input data'!L14</f>
        <v>0</v>
      </c>
      <c r="M60" s="1351">
        <f>'Input data'!M14</f>
        <v>0</v>
      </c>
      <c r="N60" s="1326">
        <f>'Input data'!N14</f>
        <v>4821430</v>
      </c>
      <c r="O60" s="1352"/>
      <c r="P60" s="1352"/>
      <c r="Q60" s="7"/>
      <c r="R60" s="10"/>
      <c r="S60" s="10"/>
      <c r="W60" s="313"/>
      <c r="Y60" s="314"/>
      <c r="Z60" s="314"/>
      <c r="AA60" s="314"/>
    </row>
    <row r="61" spans="1:28" ht="15.75">
      <c r="A61" s="1313" t="s">
        <v>336</v>
      </c>
      <c r="B61" s="1310" t="s">
        <v>337</v>
      </c>
      <c r="C61" s="1314">
        <f>'Input data'!C15</f>
        <v>72176.800000000003</v>
      </c>
      <c r="D61" s="1351">
        <f>'Input data'!D15</f>
        <v>72176.800000000003</v>
      </c>
      <c r="E61" s="1351">
        <f>'Input data'!E15</f>
        <v>0</v>
      </c>
      <c r="F61" s="1351">
        <f>'Input data'!F15</f>
        <v>0</v>
      </c>
      <c r="G61" s="1351">
        <f>'Input data'!G15</f>
        <v>0</v>
      </c>
      <c r="H61" s="1351">
        <f>'Input data'!H15</f>
        <v>0</v>
      </c>
      <c r="I61" s="1351">
        <f>'Input data'!I15</f>
        <v>216530.4</v>
      </c>
      <c r="J61" s="1351">
        <f>'Input data'!J15</f>
        <v>0</v>
      </c>
      <c r="K61" s="1351">
        <f>'Input data'!K15</f>
        <v>0</v>
      </c>
      <c r="L61" s="1351">
        <f>'Input data'!L15</f>
        <v>0</v>
      </c>
      <c r="M61" s="1351">
        <f>'Input data'!M15</f>
        <v>0</v>
      </c>
      <c r="N61" s="1326">
        <f>'Input data'!N15</f>
        <v>360884</v>
      </c>
      <c r="O61" s="1352"/>
      <c r="P61" s="1352"/>
      <c r="Q61" s="7"/>
      <c r="R61" s="10"/>
      <c r="S61" s="10"/>
      <c r="W61" s="313"/>
      <c r="Y61" s="314"/>
      <c r="Z61" s="314"/>
      <c r="AA61" s="313"/>
    </row>
    <row r="62" spans="1:28" ht="15.75">
      <c r="A62" s="1313" t="s">
        <v>338</v>
      </c>
      <c r="B62" s="1310" t="s">
        <v>339</v>
      </c>
      <c r="C62" s="1314">
        <f>'Input data'!C16</f>
        <v>0</v>
      </c>
      <c r="D62" s="1351">
        <f>'Input data'!D16</f>
        <v>0</v>
      </c>
      <c r="E62" s="1351">
        <f>'Input data'!E16</f>
        <v>520349.97572976683</v>
      </c>
      <c r="F62" s="1351">
        <f>'Input data'!F16</f>
        <v>0</v>
      </c>
      <c r="G62" s="1351">
        <f>'Input data'!G16</f>
        <v>0</v>
      </c>
      <c r="H62" s="1351">
        <f>'Input data'!H16</f>
        <v>0</v>
      </c>
      <c r="I62" s="1351">
        <f>'Input data'!I16</f>
        <v>0</v>
      </c>
      <c r="J62" s="1351">
        <f>'Input data'!J16</f>
        <v>237880.00199999998</v>
      </c>
      <c r="K62" s="1351">
        <f>'Input data'!K16</f>
        <v>465419.88531509798</v>
      </c>
      <c r="L62" s="1351">
        <f>'Input data'!L16</f>
        <v>409141.02549420868</v>
      </c>
      <c r="M62" s="1351">
        <f>'Input data'!M16</f>
        <v>123895.58799999999</v>
      </c>
      <c r="N62" s="1326">
        <f>'Input data'!N16</f>
        <v>1756686.4765390735</v>
      </c>
      <c r="O62" s="614"/>
      <c r="P62" s="614"/>
      <c r="Q62" s="10"/>
      <c r="R62" s="10"/>
      <c r="S62" s="10"/>
      <c r="W62" s="312"/>
      <c r="Y62" s="312"/>
      <c r="Z62" s="312"/>
      <c r="AA62" s="312"/>
      <c r="AB62" s="312"/>
    </row>
    <row r="63" spans="1:28" ht="15.75">
      <c r="A63" s="1313" t="s">
        <v>338</v>
      </c>
      <c r="B63" s="1310" t="s">
        <v>340</v>
      </c>
      <c r="C63" s="1314">
        <f>'Input data'!C17</f>
        <v>0</v>
      </c>
      <c r="D63" s="1351">
        <f>'Input data'!D17</f>
        <v>0</v>
      </c>
      <c r="E63" s="1351">
        <f>'Input data'!E17</f>
        <v>1241029.48</v>
      </c>
      <c r="F63" s="1351">
        <f>'Input data'!F17</f>
        <v>0</v>
      </c>
      <c r="G63" s="1351">
        <f>'Input data'!G17</f>
        <v>0</v>
      </c>
      <c r="H63" s="1351">
        <f>'Input data'!H17</f>
        <v>0</v>
      </c>
      <c r="I63" s="1351">
        <f>'Input data'!I17</f>
        <v>0</v>
      </c>
      <c r="J63" s="1351">
        <f>'Input data'!J17</f>
        <v>480373.99800000002</v>
      </c>
      <c r="K63" s="1351">
        <f>'Input data'!K17</f>
        <v>1987194.1360000002</v>
      </c>
      <c r="L63" s="1351">
        <f>'Input data'!L17</f>
        <v>2826447.2</v>
      </c>
      <c r="M63" s="1351">
        <f>'Input data'!M17</f>
        <v>38271.412000000004</v>
      </c>
      <c r="N63" s="1326">
        <f>'Input data'!N17</f>
        <v>6573316.2259999998</v>
      </c>
      <c r="O63" s="614"/>
      <c r="P63" s="614"/>
      <c r="Q63" s="10"/>
      <c r="R63" s="10"/>
      <c r="S63" s="10"/>
      <c r="W63" s="312"/>
      <c r="Y63" s="312"/>
      <c r="Z63" s="312"/>
      <c r="AA63" s="312"/>
      <c r="AB63" s="312"/>
    </row>
    <row r="64" spans="1:28" ht="15.75">
      <c r="A64" s="1313" t="s">
        <v>341</v>
      </c>
      <c r="B64" s="1310" t="s">
        <v>342</v>
      </c>
      <c r="C64" s="1314">
        <f>'Input data'!C18</f>
        <v>2500000</v>
      </c>
      <c r="D64" s="1351">
        <f>'Input data'!D18</f>
        <v>4200000</v>
      </c>
      <c r="E64" s="1351">
        <f>'Input data'!E18</f>
        <v>0</v>
      </c>
      <c r="F64" s="1351">
        <f>'Input data'!F18</f>
        <v>0</v>
      </c>
      <c r="G64" s="1351">
        <f>'Input data'!G18</f>
        <v>0</v>
      </c>
      <c r="H64" s="1351">
        <f>'Input data'!H18</f>
        <v>0</v>
      </c>
      <c r="I64" s="1351">
        <f>'Input data'!I18</f>
        <v>0</v>
      </c>
      <c r="J64" s="1351">
        <f>'Input data'!J18</f>
        <v>0</v>
      </c>
      <c r="K64" s="1351">
        <f>'Input data'!K18</f>
        <v>0</v>
      </c>
      <c r="L64" s="1351">
        <f>'Input data'!L18</f>
        <v>0</v>
      </c>
      <c r="M64" s="1351">
        <f>'Input data'!M18</f>
        <v>0</v>
      </c>
      <c r="N64" s="1326">
        <f>'Input data'!N18</f>
        <v>6700000</v>
      </c>
      <c r="O64" s="614"/>
      <c r="P64" s="614"/>
      <c r="Q64" s="10"/>
      <c r="R64" s="10"/>
      <c r="S64" s="10"/>
      <c r="W64" s="312"/>
      <c r="Y64" s="312"/>
      <c r="Z64" s="312"/>
      <c r="AA64" s="312"/>
      <c r="AB64" s="312"/>
    </row>
    <row r="65" spans="1:28" ht="15.75">
      <c r="A65" s="1315"/>
      <c r="B65" s="1316" t="s">
        <v>343</v>
      </c>
      <c r="C65" s="1314">
        <f>'Input data'!C19</f>
        <v>4770254.2119790548</v>
      </c>
      <c r="D65" s="1351">
        <f>'Input data'!D19</f>
        <v>6375347.1802883577</v>
      </c>
      <c r="E65" s="1351">
        <f>'Input data'!E19</f>
        <v>2139706</v>
      </c>
      <c r="F65" s="1351">
        <f>'Input data'!F19</f>
        <v>0</v>
      </c>
      <c r="G65" s="1351">
        <f>'Input data'!G19</f>
        <v>0</v>
      </c>
      <c r="H65" s="1351">
        <f>'Input data'!H19</f>
        <v>0</v>
      </c>
      <c r="I65" s="1351">
        <f>'Input data'!I19</f>
        <v>3109388.4</v>
      </c>
      <c r="J65" s="1351">
        <f>'Input data'!J19</f>
        <v>1099254</v>
      </c>
      <c r="K65" s="1351">
        <f>'Input data'!K19</f>
        <v>2791003</v>
      </c>
      <c r="L65" s="1351">
        <f>'Input data'!L19</f>
        <v>3533059</v>
      </c>
      <c r="M65" s="1351">
        <f>'Input data'!M19</f>
        <v>162167</v>
      </c>
      <c r="N65" s="1326">
        <f>'Input data'!N19</f>
        <v>23980178.792267412</v>
      </c>
      <c r="O65" s="615"/>
      <c r="P65" s="615"/>
      <c r="Q65" s="10"/>
      <c r="R65" s="10"/>
      <c r="S65" s="10"/>
      <c r="W65" s="312"/>
      <c r="Y65" s="312"/>
      <c r="Z65" s="312"/>
      <c r="AA65" s="312"/>
      <c r="AB65" s="312"/>
    </row>
    <row r="66" spans="1:28" ht="15.75">
      <c r="A66" s="1315"/>
      <c r="B66" s="1317" t="s">
        <v>496</v>
      </c>
      <c r="C66" s="1314">
        <f>'Input data'!C20</f>
        <v>2674712.2259895275</v>
      </c>
      <c r="D66" s="1351">
        <f>'Input data'!D20</f>
        <v>3392258.7101441789</v>
      </c>
      <c r="E66" s="1351">
        <f>'Input data'!E20</f>
        <v>657478.25029190676</v>
      </c>
      <c r="F66" s="1351">
        <f>'Input data'!F20</f>
        <v>0</v>
      </c>
      <c r="G66" s="1351">
        <f>'Input data'!G20</f>
        <v>0</v>
      </c>
      <c r="H66" s="1351">
        <f>'Input data'!H20</f>
        <v>0</v>
      </c>
      <c r="I66" s="1351">
        <f>'Input data'!I20</f>
        <v>2798449.56</v>
      </c>
      <c r="J66" s="1351">
        <f>'Input data'!J20</f>
        <v>404592.00179999997</v>
      </c>
      <c r="K66" s="1351">
        <f>'Input data'!K20</f>
        <v>588072.38612603908</v>
      </c>
      <c r="L66" s="1351">
        <f>'Input data'!L20</f>
        <v>516962.3101976834</v>
      </c>
      <c r="M66" s="1351">
        <f>'Input data'!M20</f>
        <v>111506.02919999999</v>
      </c>
      <c r="N66" s="1326">
        <f>'Input data'!N20</f>
        <v>11144031.473749338</v>
      </c>
      <c r="O66" s="615"/>
      <c r="P66" s="615"/>
      <c r="Q66" s="10"/>
      <c r="R66" s="10"/>
      <c r="S66" s="10"/>
      <c r="W66" s="312"/>
      <c r="Y66" s="312"/>
      <c r="Z66" s="312"/>
      <c r="AA66" s="312"/>
      <c r="AB66" s="312"/>
    </row>
    <row r="67" spans="1:28" ht="16.5" thickBot="1">
      <c r="A67" s="1315"/>
      <c r="B67" s="1317" t="s">
        <v>744</v>
      </c>
      <c r="C67" s="1314">
        <f>'Input data'!C21</f>
        <v>845541.98598952731</v>
      </c>
      <c r="D67" s="1351">
        <f>'Input data'!D21</f>
        <v>883088.47014417872</v>
      </c>
      <c r="E67" s="1351">
        <f>'Input data'!E21</f>
        <v>241198.26970809326</v>
      </c>
      <c r="F67" s="1351">
        <f>'Input data'!F21</f>
        <v>0</v>
      </c>
      <c r="G67" s="1351">
        <f>'Input data'!G21</f>
        <v>0</v>
      </c>
      <c r="H67" s="1351">
        <f>'Input data'!H21</f>
        <v>0</v>
      </c>
      <c r="I67" s="1351">
        <f>'Input data'!I21</f>
        <v>310938.83999999985</v>
      </c>
      <c r="J67" s="1351">
        <f>'Input data'!J21</f>
        <v>214288.00020000001</v>
      </c>
      <c r="K67" s="1351">
        <f>'Input data'!K21</f>
        <v>215736.47787396074</v>
      </c>
      <c r="L67" s="1351">
        <f>'Input data'!L21</f>
        <v>189649.4898023163</v>
      </c>
      <c r="M67" s="1351">
        <f>'Input data'!M21</f>
        <v>12389.558800000006</v>
      </c>
      <c r="N67" s="1326">
        <f>'Input data'!N21</f>
        <v>2912831.0925180763</v>
      </c>
      <c r="O67" s="615"/>
      <c r="P67" s="615"/>
      <c r="Q67" s="10"/>
      <c r="R67" s="10"/>
      <c r="S67" s="10"/>
      <c r="W67" s="312"/>
      <c r="Y67" s="312"/>
      <c r="Z67" s="312"/>
      <c r="AA67" s="312"/>
      <c r="AB67" s="312"/>
    </row>
    <row r="68" spans="1:28" ht="15.75">
      <c r="A68" s="1315"/>
      <c r="B68" s="1307" t="s">
        <v>344</v>
      </c>
      <c r="C68" s="1318">
        <f>'Input data'!C22</f>
        <v>0</v>
      </c>
      <c r="D68" s="1184">
        <f>'Input data'!D22</f>
        <v>0</v>
      </c>
      <c r="E68" s="1184">
        <f>'Input data'!E22</f>
        <v>0</v>
      </c>
      <c r="F68" s="1184">
        <f>'Input data'!F22</f>
        <v>0</v>
      </c>
      <c r="G68" s="1184">
        <f>'Input data'!G22</f>
        <v>0</v>
      </c>
      <c r="H68" s="1184">
        <f>'Input data'!H22</f>
        <v>0</v>
      </c>
      <c r="I68" s="1184">
        <f>'Input data'!I22</f>
        <v>0</v>
      </c>
      <c r="J68" s="1184">
        <f>'Input data'!J22</f>
        <v>0</v>
      </c>
      <c r="K68" s="1184">
        <f>'Input data'!K22</f>
        <v>0</v>
      </c>
      <c r="L68" s="1184">
        <f>'Input data'!L22</f>
        <v>0</v>
      </c>
      <c r="M68" s="1184">
        <f>'Input data'!M22</f>
        <v>0</v>
      </c>
      <c r="N68" s="1332">
        <f>'Input data'!N22</f>
        <v>0</v>
      </c>
      <c r="O68" s="616"/>
      <c r="P68" s="616"/>
      <c r="Q68" s="10"/>
      <c r="R68" s="10"/>
      <c r="S68" s="10"/>
      <c r="W68" s="312"/>
      <c r="Y68" s="312"/>
      <c r="Z68" s="312"/>
      <c r="AA68" s="312"/>
      <c r="AB68" s="312"/>
    </row>
    <row r="69" spans="1:28" ht="15.75">
      <c r="A69" s="1315"/>
      <c r="B69" s="1319" t="s">
        <v>345</v>
      </c>
      <c r="C69" s="649">
        <f>'Input data'!C23</f>
        <v>0.32745131923552184</v>
      </c>
      <c r="D69" s="417">
        <f>'Input data'!D23</f>
        <v>0.30226275621740473</v>
      </c>
      <c r="E69" s="417">
        <f>'Input data'!E23</f>
        <v>0.10040880883129943</v>
      </c>
      <c r="F69" s="417">
        <f>'Input data'!F23</f>
        <v>0</v>
      </c>
      <c r="G69" s="417">
        <f>'Input data'!G23</f>
        <v>0</v>
      </c>
      <c r="H69" s="417">
        <f>'Input data'!H23</f>
        <v>0</v>
      </c>
      <c r="I69" s="417">
        <f>'Input data'!I23</f>
        <v>0</v>
      </c>
      <c r="J69" s="417">
        <f>'Input data'!J23</f>
        <v>0.10111835065265616</v>
      </c>
      <c r="K69" s="417">
        <f>'Input data'!K23</f>
        <v>8.9809279274682671E-2</v>
      </c>
      <c r="L69" s="417">
        <f>'Input data'!L23</f>
        <v>7.8949485788435164E-2</v>
      </c>
      <c r="M69" s="417">
        <f>'Input data'!M23</f>
        <v>0</v>
      </c>
      <c r="N69" s="525">
        <f>'Input data'!N23</f>
        <v>1</v>
      </c>
      <c r="O69" s="417"/>
      <c r="P69" s="417"/>
      <c r="Q69" s="10"/>
      <c r="R69" s="10"/>
      <c r="S69" s="10"/>
      <c r="W69" s="312"/>
      <c r="Y69" s="312"/>
      <c r="Z69" s="312"/>
      <c r="AA69" s="312"/>
      <c r="AB69" s="312"/>
    </row>
    <row r="70" spans="1:28" ht="15.75">
      <c r="A70" s="1313" t="s">
        <v>334</v>
      </c>
      <c r="B70" s="1319" t="s">
        <v>346</v>
      </c>
      <c r="C70" s="649">
        <f>'Input data'!C24</f>
        <v>0.2</v>
      </c>
      <c r="D70" s="417">
        <f>'Input data'!D24</f>
        <v>0.2</v>
      </c>
      <c r="E70" s="417">
        <f>'Input data'!E24</f>
        <v>0</v>
      </c>
      <c r="F70" s="417">
        <f>'Input data'!F24</f>
        <v>0</v>
      </c>
      <c r="G70" s="417">
        <f>'Input data'!G24</f>
        <v>0</v>
      </c>
      <c r="H70" s="417">
        <f>'Input data'!H24</f>
        <v>0</v>
      </c>
      <c r="I70" s="417">
        <f>'Input data'!I24</f>
        <v>0.6</v>
      </c>
      <c r="J70" s="417">
        <f>'Input data'!J24</f>
        <v>0</v>
      </c>
      <c r="K70" s="417">
        <f>'Input data'!K24</f>
        <v>0</v>
      </c>
      <c r="L70" s="417">
        <f>'Input data'!L24</f>
        <v>0</v>
      </c>
      <c r="M70" s="417">
        <f>'Input data'!M24</f>
        <v>0</v>
      </c>
      <c r="N70" s="525">
        <f>'Input data'!N24</f>
        <v>1</v>
      </c>
      <c r="O70" s="417"/>
      <c r="P70" s="417"/>
      <c r="Q70" s="10"/>
      <c r="R70" s="10"/>
      <c r="S70" s="10"/>
      <c r="W70" s="312"/>
      <c r="Y70" s="312"/>
      <c r="Z70" s="312"/>
      <c r="AA70" s="312"/>
      <c r="AB70" s="312"/>
    </row>
    <row r="71" spans="1:28" ht="15.75">
      <c r="A71" s="1313" t="s">
        <v>336</v>
      </c>
      <c r="B71" s="1319" t="s">
        <v>347</v>
      </c>
      <c r="C71" s="649">
        <f>'Input data'!C25</f>
        <v>0.2</v>
      </c>
      <c r="D71" s="417">
        <f>'Input data'!D25</f>
        <v>0.2</v>
      </c>
      <c r="E71" s="417">
        <f>'Input data'!E25</f>
        <v>0</v>
      </c>
      <c r="F71" s="417">
        <f>'Input data'!F25</f>
        <v>0</v>
      </c>
      <c r="G71" s="417">
        <f>'Input data'!G25</f>
        <v>0</v>
      </c>
      <c r="H71" s="417">
        <f>'Input data'!H25</f>
        <v>0</v>
      </c>
      <c r="I71" s="417">
        <f>'Input data'!I25</f>
        <v>0.6</v>
      </c>
      <c r="J71" s="417">
        <f>'Input data'!J25</f>
        <v>0</v>
      </c>
      <c r="K71" s="417">
        <f>'Input data'!K25</f>
        <v>0</v>
      </c>
      <c r="L71" s="417">
        <f>'Input data'!L25</f>
        <v>0</v>
      </c>
      <c r="M71" s="417">
        <f>'Input data'!M25</f>
        <v>0</v>
      </c>
      <c r="N71" s="525">
        <f>'Input data'!N25</f>
        <v>1</v>
      </c>
      <c r="O71" s="417"/>
      <c r="P71" s="417"/>
      <c r="Q71" s="10"/>
      <c r="R71" s="10"/>
      <c r="S71" s="10"/>
      <c r="W71" s="312"/>
      <c r="Y71" s="312"/>
      <c r="Z71" s="312"/>
      <c r="AA71" s="312"/>
      <c r="AB71" s="312"/>
    </row>
    <row r="72" spans="1:28" ht="15.75">
      <c r="A72" s="1313" t="s">
        <v>338</v>
      </c>
      <c r="B72" s="1319" t="s">
        <v>339</v>
      </c>
      <c r="C72" s="649">
        <f>'Input data'!C26</f>
        <v>0</v>
      </c>
      <c r="D72" s="417">
        <f>'Input data'!D26</f>
        <v>0</v>
      </c>
      <c r="E72" s="417">
        <f>'Input data'!E26</f>
        <v>0.29621106707380795</v>
      </c>
      <c r="F72" s="417">
        <f>'Input data'!F26</f>
        <v>0</v>
      </c>
      <c r="G72" s="417">
        <f>'Input data'!G26</f>
        <v>0</v>
      </c>
      <c r="H72" s="417">
        <f>'Input data'!H26</f>
        <v>0</v>
      </c>
      <c r="I72" s="417">
        <f>'Input data'!I26</f>
        <v>0</v>
      </c>
      <c r="J72" s="417">
        <f>'Input data'!J26</f>
        <v>0.1354140338511958</v>
      </c>
      <c r="K72" s="417">
        <f>'Input data'!K26</f>
        <v>0.26494191851015014</v>
      </c>
      <c r="L72" s="417">
        <f>'Input data'!L26</f>
        <v>0.2329049781838565</v>
      </c>
      <c r="M72" s="417">
        <f>'Input data'!M26</f>
        <v>7.0528002380989593E-2</v>
      </c>
      <c r="N72" s="525">
        <f>'Input data'!N26</f>
        <v>0.99999999999999989</v>
      </c>
      <c r="O72" s="417"/>
      <c r="P72" s="417"/>
      <c r="Q72" s="10"/>
      <c r="R72" s="10"/>
      <c r="S72" s="10"/>
      <c r="W72" s="312"/>
      <c r="Y72" s="745"/>
      <c r="Z72" s="312"/>
      <c r="AA72" s="312"/>
      <c r="AB72" s="312"/>
    </row>
    <row r="73" spans="1:28" ht="15.75">
      <c r="A73" s="1313" t="s">
        <v>338</v>
      </c>
      <c r="B73" s="1319" t="s">
        <v>340</v>
      </c>
      <c r="C73" s="649">
        <f>'Input data'!C27</f>
        <v>0</v>
      </c>
      <c r="D73" s="417">
        <f>'Input data'!D27</f>
        <v>0</v>
      </c>
      <c r="E73" s="417">
        <f>'Input data'!E27</f>
        <v>0.188798079588998</v>
      </c>
      <c r="F73" s="417">
        <f>'Input data'!F27</f>
        <v>0</v>
      </c>
      <c r="G73" s="417">
        <f>'Input data'!G27</f>
        <v>0</v>
      </c>
      <c r="H73" s="417">
        <f>'Input data'!H27</f>
        <v>0</v>
      </c>
      <c r="I73" s="417">
        <f>'Input data'!I27</f>
        <v>0</v>
      </c>
      <c r="J73" s="417">
        <f>'Input data'!J27</f>
        <v>7.3079398812419163E-2</v>
      </c>
      <c r="K73" s="417">
        <f>'Input data'!K27</f>
        <v>0.30231226791431109</v>
      </c>
      <c r="L73" s="417">
        <f>'Input data'!L27</f>
        <v>0.42998801561079808</v>
      </c>
      <c r="M73" s="417">
        <f>'Input data'!M27</f>
        <v>5.8222380734737535E-3</v>
      </c>
      <c r="N73" s="525">
        <f>'Input data'!N27</f>
        <v>1.0000000000000002</v>
      </c>
      <c r="O73" s="417"/>
      <c r="P73" s="417"/>
      <c r="Q73" s="10"/>
      <c r="R73" s="10"/>
      <c r="S73" s="10"/>
      <c r="W73" s="312"/>
      <c r="Y73" s="745"/>
      <c r="Z73" s="312"/>
      <c r="AA73" s="312"/>
      <c r="AB73" s="312"/>
    </row>
    <row r="74" spans="1:28" ht="15.75">
      <c r="A74" s="1313" t="s">
        <v>341</v>
      </c>
      <c r="B74" s="1319" t="s">
        <v>342</v>
      </c>
      <c r="C74" s="649">
        <f>'Input data'!C28</f>
        <v>0.37313432835820898</v>
      </c>
      <c r="D74" s="417">
        <f>'Input data'!D28</f>
        <v>0.62686567164179108</v>
      </c>
      <c r="E74" s="417">
        <f>'Input data'!E28</f>
        <v>0</v>
      </c>
      <c r="F74" s="417">
        <f>'Input data'!F28</f>
        <v>0</v>
      </c>
      <c r="G74" s="417">
        <f>'Input data'!G28</f>
        <v>0</v>
      </c>
      <c r="H74" s="417">
        <f>'Input data'!H28</f>
        <v>0</v>
      </c>
      <c r="I74" s="417">
        <f>'Input data'!I28</f>
        <v>0</v>
      </c>
      <c r="J74" s="417">
        <f>'Input data'!J28</f>
        <v>0</v>
      </c>
      <c r="K74" s="417">
        <f>'Input data'!K28</f>
        <v>0</v>
      </c>
      <c r="L74" s="417">
        <f>'Input data'!L28</f>
        <v>0</v>
      </c>
      <c r="M74" s="417">
        <f>'Input data'!M28</f>
        <v>0</v>
      </c>
      <c r="N74" s="525">
        <f>'Input data'!N28</f>
        <v>1</v>
      </c>
      <c r="O74" s="417"/>
      <c r="P74" s="417"/>
      <c r="Q74" s="7"/>
      <c r="R74" s="338"/>
      <c r="S74" s="338"/>
      <c r="T74" s="4"/>
      <c r="U74" s="4"/>
      <c r="Y74" s="745"/>
    </row>
    <row r="75" spans="1:28" ht="15.75">
      <c r="A75" s="1315"/>
      <c r="B75" s="1317" t="s">
        <v>348</v>
      </c>
      <c r="C75" s="649">
        <f>'Input data'!C29</f>
        <v>0.19892488097366726</v>
      </c>
      <c r="D75" s="417">
        <f>'Input data'!D29</f>
        <v>0.26585903447659598</v>
      </c>
      <c r="E75" s="417">
        <f>'Input data'!E29</f>
        <v>8.9228108703258049E-2</v>
      </c>
      <c r="F75" s="417">
        <f>'Input data'!F29</f>
        <v>0</v>
      </c>
      <c r="G75" s="417">
        <f>'Input data'!G29</f>
        <v>0</v>
      </c>
      <c r="H75" s="417">
        <f>'Input data'!H29</f>
        <v>0</v>
      </c>
      <c r="I75" s="417">
        <f>'Input data'!I29</f>
        <v>0.12966493815311525</v>
      </c>
      <c r="J75" s="417">
        <f>'Input data'!J29</f>
        <v>4.5840108596457284E-2</v>
      </c>
      <c r="K75" s="417">
        <f>'Input data'!K29</f>
        <v>0.1163879145429883</v>
      </c>
      <c r="L75" s="417">
        <f>'Input data'!L29</f>
        <v>0.1473324711465146</v>
      </c>
      <c r="M75" s="417">
        <f>'Input data'!M29</f>
        <v>6.7625434074032823E-3</v>
      </c>
      <c r="N75" s="525">
        <f>'Input data'!N29</f>
        <v>1</v>
      </c>
      <c r="O75" s="332"/>
      <c r="P75" s="332"/>
      <c r="Q75" s="7"/>
      <c r="R75" s="338"/>
      <c r="S75" s="338"/>
      <c r="T75" s="4"/>
      <c r="U75" s="4"/>
      <c r="Y75" s="745"/>
    </row>
    <row r="76" spans="1:28" ht="15.75">
      <c r="A76" s="1315"/>
      <c r="B76" s="1317" t="s">
        <v>497</v>
      </c>
      <c r="C76" s="649">
        <f>'Input data'!C30</f>
        <v>0.24001298204245269</v>
      </c>
      <c r="D76" s="417">
        <f>'Input data'!D30</f>
        <v>0.30440139352934503</v>
      </c>
      <c r="E76" s="417">
        <f>'Input data'!E30</f>
        <v>5.8998240613430578E-2</v>
      </c>
      <c r="F76" s="417">
        <f>'Input data'!F30</f>
        <v>0</v>
      </c>
      <c r="G76" s="417">
        <f>'Input data'!G30</f>
        <v>0</v>
      </c>
      <c r="H76" s="417">
        <f>'Input data'!H30</f>
        <v>0</v>
      </c>
      <c r="I76" s="417">
        <f>'Input data'!I30</f>
        <v>0.25111644440272562</v>
      </c>
      <c r="J76" s="417">
        <f>'Input data'!J30</f>
        <v>3.6305712412339194E-2</v>
      </c>
      <c r="K76" s="417">
        <f>'Input data'!K30</f>
        <v>5.2770165582472633E-2</v>
      </c>
      <c r="L76" s="417">
        <f>'Input data'!L30</f>
        <v>4.6389164586929758E-2</v>
      </c>
      <c r="M76" s="417">
        <f>'Input data'!M30</f>
        <v>1.0005896830304312E-2</v>
      </c>
      <c r="N76" s="525">
        <f>'Input data'!N30</f>
        <v>1</v>
      </c>
      <c r="O76" s="332"/>
      <c r="P76" s="332"/>
      <c r="Q76" s="7"/>
      <c r="R76" s="338"/>
      <c r="S76" s="338"/>
      <c r="T76" s="4"/>
      <c r="U76" s="4"/>
      <c r="Y76" s="745"/>
    </row>
    <row r="77" spans="1:28" ht="16.5" thickBot="1">
      <c r="A77" s="1320"/>
      <c r="B77" s="1321" t="s">
        <v>745</v>
      </c>
      <c r="C77" s="650">
        <f>'Input data'!C31</f>
        <v>0.29028184578274857</v>
      </c>
      <c r="D77" s="651">
        <f>'Input data'!D31</f>
        <v>0.30317187715157518</v>
      </c>
      <c r="E77" s="651">
        <f>'Input data'!E31</f>
        <v>8.2805443243048754E-2</v>
      </c>
      <c r="F77" s="651">
        <f>'Input data'!F31</f>
        <v>0</v>
      </c>
      <c r="G77" s="651">
        <f>'Input data'!G31</f>
        <v>0</v>
      </c>
      <c r="H77" s="651">
        <f>'Input data'!H31</f>
        <v>0</v>
      </c>
      <c r="I77" s="651">
        <f>'Input data'!I31</f>
        <v>0.10674798164530724</v>
      </c>
      <c r="J77" s="651">
        <f>'Input data'!J31</f>
        <v>7.3566915963792778E-2</v>
      </c>
      <c r="K77" s="651">
        <f>'Input data'!K31</f>
        <v>7.4064190823870071E-2</v>
      </c>
      <c r="L77" s="651">
        <f>'Input data'!L31</f>
        <v>6.5108303152026786E-2</v>
      </c>
      <c r="M77" s="651">
        <f>'Input data'!M31</f>
        <v>4.2534422376305772E-3</v>
      </c>
      <c r="N77" s="652">
        <f>'Input data'!N31</f>
        <v>1</v>
      </c>
      <c r="O77" s="332"/>
      <c r="P77" s="332"/>
      <c r="Q77" s="7"/>
      <c r="R77" s="338"/>
      <c r="S77" s="338"/>
      <c r="T77" s="4"/>
      <c r="U77" s="4"/>
      <c r="Y77" s="745"/>
    </row>
    <row r="78" spans="1:28" ht="14.45" customHeight="1" thickBot="1">
      <c r="A78" s="1322" t="s">
        <v>549</v>
      </c>
      <c r="B78" s="1323" t="s">
        <v>327</v>
      </c>
      <c r="C78" s="1308" t="s">
        <v>545</v>
      </c>
      <c r="D78" s="1309" t="s">
        <v>546</v>
      </c>
      <c r="E78" s="1309" t="s">
        <v>547</v>
      </c>
      <c r="F78" s="1309" t="s">
        <v>548</v>
      </c>
      <c r="G78" s="1309" t="s">
        <v>498</v>
      </c>
      <c r="H78" s="1330" t="s">
        <v>544</v>
      </c>
      <c r="I78" s="1324"/>
      <c r="J78" s="1324"/>
      <c r="K78" s="1324"/>
      <c r="L78" s="1324"/>
      <c r="M78" s="1324"/>
      <c r="N78" s="1324"/>
      <c r="O78" s="339"/>
      <c r="P78" s="339"/>
      <c r="Q78" s="7"/>
      <c r="R78" s="338"/>
      <c r="S78" s="338"/>
      <c r="T78" s="4"/>
      <c r="U78" s="4"/>
      <c r="Y78" s="745"/>
    </row>
    <row r="79" spans="1:28" ht="15.75">
      <c r="A79" s="1315"/>
      <c r="B79" s="1325" t="s">
        <v>378</v>
      </c>
      <c r="C79" s="1314">
        <f>'Waste Summary 2017 SASOW'!J10+'Waste Summary 2017 SASOW'!J13</f>
        <v>49995051</v>
      </c>
      <c r="D79" s="1351">
        <f>'Waste Summary 2017 SASOW'!K10+'Waste Summary 2017 SASOW'!K13</f>
        <v>0</v>
      </c>
      <c r="E79" s="1351">
        <f>'Waste Summary 2017 SASOW'!L10+'Waste Summary 2017 SASOW'!L13</f>
        <v>46917968.670000002</v>
      </c>
      <c r="F79" s="1351">
        <f>'Waste Summary 2017 SASOW'!M10+'Waste Summary 2017 SASOW'!M13</f>
        <v>0</v>
      </c>
      <c r="G79" s="1351">
        <f>'Waste Summary 2017 SASOW'!N10+'Waste Summary 2017 SASOW'!N13</f>
        <v>0</v>
      </c>
      <c r="H79" s="1326">
        <f>'Waste Summary 2017 SASOW'!O10+'Waste Summary 2017 SASOW'!O13</f>
        <v>3077082.33</v>
      </c>
      <c r="L79" s="1324"/>
      <c r="M79" s="1324"/>
      <c r="N79" s="1324"/>
      <c r="O79" s="339"/>
      <c r="P79" s="339"/>
      <c r="Q79" s="7"/>
      <c r="R79" s="338"/>
      <c r="S79" s="338"/>
      <c r="T79" s="4"/>
      <c r="U79" s="4"/>
      <c r="Y79" s="745"/>
    </row>
    <row r="80" spans="1:28" ht="16.5" thickBot="1">
      <c r="A80" s="1320"/>
      <c r="B80" s="1320" t="s">
        <v>374</v>
      </c>
      <c r="C80" s="1327">
        <f t="shared" ref="C80:H80" si="9">C79/$C$79</f>
        <v>1</v>
      </c>
      <c r="D80" s="1328">
        <f t="shared" si="9"/>
        <v>0</v>
      </c>
      <c r="E80" s="1328">
        <f t="shared" si="9"/>
        <v>0.93845226140483384</v>
      </c>
      <c r="F80" s="1328">
        <f t="shared" si="9"/>
        <v>0</v>
      </c>
      <c r="G80" s="1328">
        <f t="shared" si="9"/>
        <v>0</v>
      </c>
      <c r="H80" s="1329">
        <f t="shared" si="9"/>
        <v>6.154773859516615E-2</v>
      </c>
      <c r="L80" s="1324"/>
      <c r="M80" s="1324"/>
      <c r="N80" s="1324"/>
      <c r="O80" s="339"/>
      <c r="P80" s="339"/>
      <c r="Q80" s="7"/>
      <c r="R80" s="338"/>
      <c r="S80" s="338"/>
      <c r="T80" s="4"/>
      <c r="U80" s="4"/>
      <c r="Y80" s="745"/>
    </row>
    <row r="81" spans="1:91" s="4" customFormat="1" ht="15.75">
      <c r="A81" s="99"/>
      <c r="B81" s="99"/>
      <c r="C81" s="1334"/>
      <c r="D81" s="1334"/>
      <c r="E81" s="1334"/>
      <c r="F81" s="1334"/>
      <c r="G81" s="1334"/>
      <c r="H81" s="1334"/>
      <c r="L81" s="1396"/>
      <c r="M81" s="1396"/>
      <c r="N81" s="1396"/>
      <c r="O81" s="1334"/>
      <c r="P81" s="1334"/>
      <c r="Q81" s="7"/>
      <c r="R81" s="1397"/>
      <c r="S81" s="1397"/>
      <c r="Y81" s="1398"/>
    </row>
    <row r="82" spans="1:91" ht="16.5" thickBot="1">
      <c r="B82" s="286"/>
      <c r="C82" s="339"/>
      <c r="D82" s="339"/>
      <c r="E82" s="339"/>
      <c r="F82" s="339"/>
      <c r="G82" s="339"/>
      <c r="H82" s="339"/>
      <c r="I82" s="286"/>
      <c r="J82" s="286"/>
      <c r="K82" s="286"/>
      <c r="L82" s="339"/>
      <c r="M82" s="339"/>
      <c r="N82" s="339"/>
      <c r="O82" s="339"/>
      <c r="P82" s="339"/>
      <c r="Q82" s="7"/>
      <c r="R82" s="338"/>
      <c r="S82" s="338"/>
      <c r="T82" s="4"/>
      <c r="U82" s="4"/>
      <c r="Y82" s="745"/>
    </row>
    <row r="83" spans="1:91" ht="15.75">
      <c r="A83" s="656" t="s">
        <v>613</v>
      </c>
      <c r="B83" s="115"/>
      <c r="C83" s="116"/>
      <c r="D83" s="128"/>
      <c r="E83" s="128"/>
      <c r="F83" s="128"/>
      <c r="G83" s="128"/>
      <c r="H83" s="339"/>
      <c r="I83" s="286"/>
      <c r="J83" s="286"/>
      <c r="K83" s="286"/>
      <c r="L83" s="339"/>
      <c r="M83" s="339"/>
      <c r="N83" s="339"/>
      <c r="O83" s="339"/>
      <c r="P83" s="339"/>
      <c r="Q83" s="7"/>
      <c r="R83" s="338"/>
      <c r="S83" s="338"/>
      <c r="T83" s="4"/>
      <c r="U83" s="4"/>
      <c r="Y83" s="745"/>
    </row>
    <row r="84" spans="1:91" ht="15.75">
      <c r="A84" s="657" t="s">
        <v>581</v>
      </c>
      <c r="B84" s="128">
        <v>2017</v>
      </c>
      <c r="C84" s="525">
        <f>'Waste Summary 2017 SASOW'!L25</f>
        <v>2.197312110627072E-2</v>
      </c>
      <c r="D84" s="629"/>
      <c r="E84" s="629"/>
      <c r="F84" s="629"/>
      <c r="G84" s="629"/>
      <c r="H84" s="630"/>
      <c r="I84" s="286"/>
      <c r="J84" s="286"/>
      <c r="K84" s="286"/>
      <c r="L84" s="339"/>
      <c r="M84" s="339"/>
      <c r="N84" s="339"/>
      <c r="O84" s="339"/>
      <c r="P84" s="339"/>
      <c r="Q84" s="7"/>
      <c r="R84" s="338"/>
      <c r="S84" s="338"/>
      <c r="T84" s="4"/>
      <c r="U84" s="4"/>
      <c r="Y84" s="745"/>
    </row>
    <row r="85" spans="1:91" ht="15.75">
      <c r="A85" s="657" t="s">
        <v>580</v>
      </c>
      <c r="B85" s="128">
        <v>2017</v>
      </c>
      <c r="C85" s="525">
        <f>'Waste Summary 2017 SASOW'!L26</f>
        <v>6.9875113374971584E-2</v>
      </c>
      <c r="D85" s="629"/>
      <c r="E85" s="629"/>
      <c r="F85" s="629"/>
      <c r="G85" s="629"/>
      <c r="H85" s="630"/>
      <c r="I85" s="286"/>
      <c r="J85" s="286"/>
      <c r="K85" s="286"/>
      <c r="L85" s="339"/>
      <c r="M85" s="339"/>
      <c r="N85" s="339"/>
      <c r="O85" s="339"/>
      <c r="P85" s="339"/>
      <c r="Q85" s="7"/>
      <c r="R85" s="338"/>
      <c r="S85" s="338"/>
      <c r="T85" s="4"/>
      <c r="U85" s="4"/>
      <c r="Y85" s="745"/>
    </row>
    <row r="86" spans="1:91" ht="16.5" thickBot="1">
      <c r="A86" s="658" t="s">
        <v>733</v>
      </c>
      <c r="B86" s="138">
        <v>2017</v>
      </c>
      <c r="C86" s="652">
        <f>'Waste Summary 2017 SASOW'!L27</f>
        <v>0.93012488662502824</v>
      </c>
      <c r="D86" s="629"/>
      <c r="E86" s="629"/>
      <c r="F86" s="629"/>
      <c r="G86" s="629"/>
      <c r="H86" s="630"/>
      <c r="I86" s="286"/>
      <c r="J86" s="286"/>
      <c r="K86" s="286"/>
      <c r="L86" s="339"/>
      <c r="M86" s="339"/>
      <c r="N86" s="339"/>
      <c r="O86" s="339"/>
      <c r="P86" s="339"/>
      <c r="Q86" s="7"/>
      <c r="R86" s="338"/>
      <c r="S86" s="338"/>
      <c r="T86" s="4"/>
      <c r="U86" s="4"/>
      <c r="Y86" s="745"/>
    </row>
    <row r="87" spans="1:91" ht="15.75">
      <c r="A87" s="128"/>
      <c r="B87" s="629"/>
      <c r="C87" s="629"/>
      <c r="D87" s="629"/>
      <c r="E87" s="629"/>
      <c r="F87" s="629"/>
      <c r="G87" s="629"/>
      <c r="H87" s="630"/>
      <c r="I87" s="286"/>
      <c r="J87" s="286"/>
      <c r="K87" s="286"/>
      <c r="L87" s="339"/>
      <c r="M87" s="339"/>
      <c r="N87" s="339"/>
      <c r="O87" s="339"/>
      <c r="P87" s="339"/>
      <c r="Q87" s="7"/>
      <c r="R87" s="338"/>
      <c r="S87" s="338"/>
      <c r="T87" s="4"/>
      <c r="U87" s="4"/>
      <c r="Y87" s="745"/>
    </row>
    <row r="88" spans="1:91" ht="28.5">
      <c r="A88" s="685" t="s">
        <v>620</v>
      </c>
      <c r="B88" s="629"/>
      <c r="C88" s="629"/>
      <c r="D88" s="629"/>
      <c r="E88" s="629"/>
      <c r="F88" s="629"/>
      <c r="G88" s="629"/>
      <c r="H88" s="630"/>
      <c r="I88" s="286"/>
      <c r="J88" s="286"/>
      <c r="K88" s="286"/>
      <c r="L88" s="339"/>
      <c r="M88" s="339"/>
      <c r="N88" s="339"/>
      <c r="O88" s="339"/>
      <c r="P88" s="339"/>
      <c r="Q88" s="7"/>
      <c r="R88" s="338"/>
      <c r="S88" s="338"/>
      <c r="T88" s="4"/>
      <c r="U88" s="4"/>
      <c r="Y88" s="745"/>
    </row>
    <row r="89" spans="1:91" ht="15.75">
      <c r="A89" s="128"/>
      <c r="B89" s="629"/>
      <c r="C89" s="629"/>
      <c r="D89" s="629"/>
      <c r="E89" s="629"/>
      <c r="F89" s="629"/>
      <c r="G89" s="629"/>
      <c r="H89" s="630"/>
      <c r="I89" s="286"/>
      <c r="J89" s="286"/>
      <c r="K89" s="286"/>
      <c r="L89" s="339"/>
      <c r="M89" s="339"/>
      <c r="N89" s="339"/>
      <c r="O89" s="339"/>
      <c r="P89" s="339"/>
      <c r="Q89" s="7"/>
      <c r="R89" s="338"/>
      <c r="S89" s="338"/>
      <c r="T89" s="4"/>
      <c r="U89" s="4"/>
      <c r="X89" s="623"/>
      <c r="Y89" s="745"/>
    </row>
    <row r="90" spans="1:91" ht="23.25">
      <c r="A90" s="686" t="s">
        <v>595</v>
      </c>
      <c r="B90" s="687"/>
      <c r="C90" s="629"/>
      <c r="D90" s="629"/>
      <c r="E90" s="629"/>
      <c r="F90" s="629"/>
      <c r="G90" s="629"/>
      <c r="H90" s="630"/>
      <c r="I90" s="286"/>
      <c r="J90" s="286"/>
      <c r="K90" s="286"/>
      <c r="L90" s="339"/>
      <c r="M90" s="339"/>
      <c r="N90" s="339"/>
      <c r="O90" s="339"/>
      <c r="P90" s="339"/>
      <c r="Q90" s="7"/>
      <c r="R90" s="338"/>
      <c r="S90" s="338"/>
      <c r="T90" s="4"/>
      <c r="U90" s="4"/>
      <c r="Y90" s="745"/>
      <c r="AB90" s="623"/>
      <c r="AF90" s="623"/>
    </row>
    <row r="91" spans="1:91">
      <c r="A91" s="128"/>
      <c r="B91" s="629"/>
      <c r="C91" s="629"/>
      <c r="D91" s="629"/>
      <c r="E91" s="629"/>
      <c r="F91" s="629"/>
      <c r="G91" s="629"/>
      <c r="H91" s="630"/>
      <c r="I91" s="286"/>
      <c r="J91" s="286"/>
      <c r="K91" s="286"/>
      <c r="L91" s="339"/>
      <c r="M91" s="339"/>
      <c r="N91" s="339"/>
      <c r="O91" s="339"/>
      <c r="P91" s="339"/>
      <c r="Q91" s="7"/>
      <c r="R91" s="338"/>
      <c r="S91" s="338"/>
      <c r="T91" s="4"/>
      <c r="U91" s="4"/>
    </row>
    <row r="92" spans="1:91">
      <c r="A92" s="128"/>
      <c r="B92" s="629"/>
      <c r="C92" s="629"/>
      <c r="D92" s="629"/>
      <c r="E92" s="629"/>
      <c r="F92" s="629"/>
      <c r="G92" s="629"/>
      <c r="H92" s="630"/>
      <c r="I92" s="286"/>
      <c r="J92" s="286"/>
      <c r="K92" s="286"/>
      <c r="L92" s="339"/>
      <c r="M92" s="339"/>
      <c r="N92" s="339"/>
      <c r="O92" s="339"/>
      <c r="P92" s="339"/>
      <c r="Q92" s="7"/>
      <c r="R92" s="338"/>
      <c r="S92" s="338"/>
      <c r="T92" s="4"/>
      <c r="U92" s="4"/>
      <c r="BI92" s="99"/>
      <c r="BJ92" s="99"/>
      <c r="BK92" s="99"/>
      <c r="BL92" s="99"/>
      <c r="BM92" s="99"/>
    </row>
    <row r="93" spans="1:91" ht="15.75" thickBot="1">
      <c r="E93" s="10"/>
      <c r="F93" s="10"/>
      <c r="G93" s="10"/>
      <c r="H93" s="10"/>
      <c r="I93" s="10"/>
      <c r="J93" s="10"/>
      <c r="K93" s="10"/>
      <c r="L93" s="10"/>
      <c r="M93" s="10"/>
      <c r="N93" s="10"/>
      <c r="O93" s="10"/>
      <c r="P93" s="10"/>
      <c r="Q93" s="10"/>
      <c r="R93" s="10"/>
      <c r="S93" s="10"/>
      <c r="V93" s="740"/>
      <c r="CG93" s="1" t="s">
        <v>553</v>
      </c>
    </row>
    <row r="94" spans="1:91" ht="34.9" customHeight="1" thickBot="1">
      <c r="A94" s="1874" t="s">
        <v>602</v>
      </c>
      <c r="B94" s="1875"/>
      <c r="C94" s="1875"/>
      <c r="D94" s="1876"/>
      <c r="E94" s="1871" t="s">
        <v>600</v>
      </c>
      <c r="F94" s="1872"/>
      <c r="G94" s="1873"/>
      <c r="H94" s="1917" t="s">
        <v>601</v>
      </c>
      <c r="I94" s="1918"/>
      <c r="J94" s="1918"/>
      <c r="K94" s="1919"/>
      <c r="L94" s="1825" t="s">
        <v>598</v>
      </c>
      <c r="M94" s="1920"/>
      <c r="N94" s="1920"/>
      <c r="O94" s="1920"/>
      <c r="P94" s="1921"/>
      <c r="Q94" s="1922" t="s">
        <v>782</v>
      </c>
      <c r="R94" s="1920"/>
      <c r="S94" s="1920"/>
      <c r="T94" s="1920"/>
      <c r="U94" s="1921"/>
      <c r="V94" s="1926" t="s">
        <v>599</v>
      </c>
      <c r="W94" s="1782" t="s">
        <v>608</v>
      </c>
      <c r="X94" s="1784"/>
      <c r="Y94" s="1884" t="s">
        <v>594</v>
      </c>
      <c r="Z94" s="1843" t="s">
        <v>770</v>
      </c>
      <c r="AA94" s="1928" t="s">
        <v>778</v>
      </c>
      <c r="AB94" s="1841" t="s">
        <v>780</v>
      </c>
      <c r="AC94" s="1839" t="s">
        <v>788</v>
      </c>
      <c r="AD94" s="1841" t="s">
        <v>780</v>
      </c>
      <c r="AE94" s="1841" t="s">
        <v>779</v>
      </c>
      <c r="AF94" s="1857" t="s">
        <v>781</v>
      </c>
      <c r="AG94" s="1849" t="s">
        <v>609</v>
      </c>
      <c r="AH94" s="1849"/>
      <c r="AI94" s="1849"/>
      <c r="AJ94" s="1849"/>
      <c r="AK94" s="1849"/>
      <c r="AL94" s="1849"/>
      <c r="AM94" s="1850"/>
      <c r="AN94" s="1850"/>
      <c r="AO94" s="1850"/>
      <c r="AP94" s="1850"/>
      <c r="AQ94" s="1850"/>
      <c r="AR94" s="1887" t="s">
        <v>612</v>
      </c>
      <c r="AS94" s="1888"/>
      <c r="AT94" s="1888"/>
      <c r="AU94" s="1888"/>
      <c r="AV94" s="1888"/>
      <c r="AW94" s="1888"/>
      <c r="AX94" s="1888"/>
      <c r="AY94" s="1888"/>
      <c r="AZ94" s="1888"/>
      <c r="BA94" s="1888"/>
      <c r="BB94" s="1888"/>
      <c r="BC94" s="1891" t="s">
        <v>225</v>
      </c>
      <c r="BD94" s="1904" t="s">
        <v>616</v>
      </c>
      <c r="BE94" s="1889" t="s">
        <v>610</v>
      </c>
      <c r="BF94" s="1889"/>
      <c r="BG94" s="1889"/>
      <c r="BH94" s="1889"/>
      <c r="BI94" s="1889"/>
      <c r="BJ94" s="1889"/>
      <c r="BK94" s="1889"/>
      <c r="BL94" s="1890"/>
      <c r="BM94" s="1707" t="s">
        <v>741</v>
      </c>
      <c r="BN94" s="1708"/>
      <c r="BO94" s="1708"/>
      <c r="BP94" s="1708"/>
      <c r="BQ94" s="1708"/>
      <c r="BR94" s="1708"/>
      <c r="BS94" s="1708"/>
      <c r="BT94" s="1709"/>
      <c r="BV94" s="1794" t="s">
        <v>660</v>
      </c>
      <c r="BW94" s="1795"/>
      <c r="BX94" s="1910"/>
      <c r="BY94" s="1794" t="s">
        <v>656</v>
      </c>
      <c r="BZ94" s="1795"/>
      <c r="CA94" s="1796"/>
      <c r="CB94" s="1909" t="s">
        <v>661</v>
      </c>
      <c r="CC94" s="1908"/>
      <c r="CD94" s="1909" t="s">
        <v>657</v>
      </c>
      <c r="CE94" s="1908"/>
      <c r="CG94" s="1899" t="s">
        <v>742</v>
      </c>
      <c r="CH94" s="1900"/>
      <c r="CI94" s="1900"/>
      <c r="CJ94" s="1900"/>
      <c r="CK94" s="1900"/>
      <c r="CL94" s="1900"/>
      <c r="CM94" s="1901"/>
    </row>
    <row r="95" spans="1:91" s="10" customFormat="1" ht="42.6" customHeight="1" thickBot="1">
      <c r="A95" s="1869" t="s">
        <v>217</v>
      </c>
      <c r="B95" s="703" t="s">
        <v>218</v>
      </c>
      <c r="C95" s="703" t="s">
        <v>390</v>
      </c>
      <c r="D95" s="513" t="s">
        <v>500</v>
      </c>
      <c r="E95" s="701" t="s">
        <v>501</v>
      </c>
      <c r="F95" s="699" t="s">
        <v>504</v>
      </c>
      <c r="G95" s="700" t="s">
        <v>528</v>
      </c>
      <c r="H95" s="746" t="s">
        <v>478</v>
      </c>
      <c r="I95" s="694" t="s">
        <v>288</v>
      </c>
      <c r="J95" s="693" t="s">
        <v>773</v>
      </c>
      <c r="K95" s="695" t="s">
        <v>596</v>
      </c>
      <c r="L95" s="726" t="s">
        <v>87</v>
      </c>
      <c r="M95" s="661" t="s">
        <v>323</v>
      </c>
      <c r="N95" s="661" t="s">
        <v>324</v>
      </c>
      <c r="O95" s="661" t="s">
        <v>325</v>
      </c>
      <c r="P95" s="660" t="s">
        <v>582</v>
      </c>
      <c r="Q95" s="503" t="s">
        <v>87</v>
      </c>
      <c r="R95" s="661" t="s">
        <v>323</v>
      </c>
      <c r="S95" s="661" t="s">
        <v>324</v>
      </c>
      <c r="T95" s="661" t="s">
        <v>325</v>
      </c>
      <c r="U95" s="1464" t="s">
        <v>582</v>
      </c>
      <c r="V95" s="1927"/>
      <c r="W95" s="1597" t="s">
        <v>605</v>
      </c>
      <c r="X95" s="1598" t="s">
        <v>576</v>
      </c>
      <c r="Y95" s="1885"/>
      <c r="Z95" s="1844"/>
      <c r="AA95" s="1929"/>
      <c r="AB95" s="1842"/>
      <c r="AC95" s="1840"/>
      <c r="AD95" s="1842"/>
      <c r="AE95" s="1842"/>
      <c r="AF95" s="1858"/>
      <c r="AG95" s="1581" t="s">
        <v>473</v>
      </c>
      <c r="AH95" s="1582" t="s">
        <v>489</v>
      </c>
      <c r="AI95" s="1638" t="s">
        <v>814</v>
      </c>
      <c r="AJ95" s="1582" t="s">
        <v>377</v>
      </c>
      <c r="AK95" s="1582" t="s">
        <v>225</v>
      </c>
      <c r="AL95" s="713" t="s">
        <v>591</v>
      </c>
      <c r="AM95" s="1581" t="s">
        <v>473</v>
      </c>
      <c r="AN95" s="1582" t="s">
        <v>489</v>
      </c>
      <c r="AO95" s="1638" t="s">
        <v>814</v>
      </c>
      <c r="AP95" s="1582" t="s">
        <v>377</v>
      </c>
      <c r="AQ95" s="1583" t="s">
        <v>225</v>
      </c>
      <c r="AR95" s="720" t="s">
        <v>221</v>
      </c>
      <c r="AS95" s="719" t="s">
        <v>85</v>
      </c>
      <c r="AT95" s="719" t="s">
        <v>87</v>
      </c>
      <c r="AU95" s="719" t="s">
        <v>222</v>
      </c>
      <c r="AV95" s="719" t="s">
        <v>115</v>
      </c>
      <c r="AW95" s="719" t="s">
        <v>223</v>
      </c>
      <c r="AX95" s="719" t="s">
        <v>472</v>
      </c>
      <c r="AY95" s="719" t="s">
        <v>329</v>
      </c>
      <c r="AZ95" s="719" t="s">
        <v>330</v>
      </c>
      <c r="BA95" s="719" t="s">
        <v>331</v>
      </c>
      <c r="BB95" s="719" t="s">
        <v>332</v>
      </c>
      <c r="BC95" s="1892"/>
      <c r="BD95" s="1905"/>
      <c r="BE95" s="1252" t="s">
        <v>221</v>
      </c>
      <c r="BF95" s="719" t="s">
        <v>85</v>
      </c>
      <c r="BG95" s="719" t="s">
        <v>87</v>
      </c>
      <c r="BH95" s="719" t="s">
        <v>222</v>
      </c>
      <c r="BI95" s="719" t="s">
        <v>115</v>
      </c>
      <c r="BJ95" s="719" t="s">
        <v>223</v>
      </c>
      <c r="BK95" s="719" t="s">
        <v>611</v>
      </c>
      <c r="BL95" s="1088" t="s">
        <v>303</v>
      </c>
      <c r="BM95" s="442" t="s">
        <v>221</v>
      </c>
      <c r="BN95" s="416" t="s">
        <v>85</v>
      </c>
      <c r="BO95" s="416" t="s">
        <v>87</v>
      </c>
      <c r="BP95" s="416" t="s">
        <v>222</v>
      </c>
      <c r="BQ95" s="416" t="s">
        <v>115</v>
      </c>
      <c r="BR95" s="416" t="s">
        <v>223</v>
      </c>
      <c r="BS95" s="416" t="s">
        <v>224</v>
      </c>
      <c r="BT95" s="1090" t="s">
        <v>225</v>
      </c>
      <c r="BU95"/>
      <c r="BV95" s="1098" t="s">
        <v>531</v>
      </c>
      <c r="BW95" s="40" t="s">
        <v>624</v>
      </c>
      <c r="BX95" s="1162" t="str">
        <f>D135</f>
        <v xml:space="preserve">Coal ash generated - ‘IRP realistic’ </v>
      </c>
      <c r="BY95" s="1098" t="s">
        <v>531</v>
      </c>
      <c r="BZ95" s="40" t="s">
        <v>624</v>
      </c>
      <c r="CA95" s="1099" t="s">
        <v>630</v>
      </c>
      <c r="CB95" s="1272" t="s">
        <v>267</v>
      </c>
      <c r="CC95" s="1273" t="s">
        <v>633</v>
      </c>
      <c r="CD95" s="1272" t="s">
        <v>267</v>
      </c>
      <c r="CE95" s="1273" t="s">
        <v>633</v>
      </c>
      <c r="CF95"/>
      <c r="CG95" s="1260" t="s">
        <v>87</v>
      </c>
      <c r="CH95" s="1261" t="s">
        <v>323</v>
      </c>
      <c r="CI95" s="1261" t="s">
        <v>324</v>
      </c>
      <c r="CJ95" s="1261" t="s">
        <v>325</v>
      </c>
      <c r="CK95" s="1262" t="s">
        <v>582</v>
      </c>
      <c r="CL95" s="1261" t="s">
        <v>303</v>
      </c>
      <c r="CM95" s="1902" t="s">
        <v>743</v>
      </c>
    </row>
    <row r="96" spans="1:91" ht="32.25" thickBot="1">
      <c r="A96" s="1870"/>
      <c r="B96" s="458" t="s">
        <v>232</v>
      </c>
      <c r="C96" s="459" t="s">
        <v>482</v>
      </c>
      <c r="D96" s="477" t="s">
        <v>480</v>
      </c>
      <c r="E96" s="741" t="s">
        <v>229</v>
      </c>
      <c r="F96" s="742" t="s">
        <v>229</v>
      </c>
      <c r="G96" s="743" t="s">
        <v>228</v>
      </c>
      <c r="H96" s="747" t="s">
        <v>227</v>
      </c>
      <c r="I96" s="696" t="s">
        <v>228</v>
      </c>
      <c r="J96" s="696" t="s">
        <v>228</v>
      </c>
      <c r="K96" s="697" t="s">
        <v>228</v>
      </c>
      <c r="L96" s="562" t="s">
        <v>229</v>
      </c>
      <c r="M96" s="446" t="s">
        <v>229</v>
      </c>
      <c r="N96" s="446" t="s">
        <v>229</v>
      </c>
      <c r="O96" s="446" t="s">
        <v>229</v>
      </c>
      <c r="P96" s="447" t="s">
        <v>229</v>
      </c>
      <c r="Q96" s="1470" t="s">
        <v>228</v>
      </c>
      <c r="R96" s="1471" t="s">
        <v>228</v>
      </c>
      <c r="S96" s="1471" t="s">
        <v>228</v>
      </c>
      <c r="T96" s="1471" t="s">
        <v>228</v>
      </c>
      <c r="U96" s="1472" t="s">
        <v>228</v>
      </c>
      <c r="V96" s="689" t="s">
        <v>228</v>
      </c>
      <c r="W96" s="688" t="s">
        <v>229</v>
      </c>
      <c r="X96" s="554" t="s">
        <v>228</v>
      </c>
      <c r="Y96" s="1115" t="s">
        <v>228</v>
      </c>
      <c r="Z96" s="1116" t="s">
        <v>228</v>
      </c>
      <c r="AA96" s="1473" t="s">
        <v>228</v>
      </c>
      <c r="AB96" s="1893"/>
      <c r="AC96" s="1840"/>
      <c r="AD96" s="1893"/>
      <c r="AE96" s="1646" t="s">
        <v>28</v>
      </c>
      <c r="AF96" s="1647" t="s">
        <v>3</v>
      </c>
      <c r="AG96" s="191" t="s">
        <v>228</v>
      </c>
      <c r="AH96" s="1095" t="s">
        <v>228</v>
      </c>
      <c r="AI96" s="1095" t="s">
        <v>228</v>
      </c>
      <c r="AJ96" s="1095" t="s">
        <v>228</v>
      </c>
      <c r="AK96" s="1095" t="s">
        <v>228</v>
      </c>
      <c r="AL96" s="1096" t="s">
        <v>590</v>
      </c>
      <c r="AM96" s="191" t="s">
        <v>229</v>
      </c>
      <c r="AN96" s="1095" t="s">
        <v>229</v>
      </c>
      <c r="AO96" s="1095" t="s">
        <v>229</v>
      </c>
      <c r="AP96" s="1095" t="s">
        <v>229</v>
      </c>
      <c r="AQ96" s="1574" t="s">
        <v>229</v>
      </c>
      <c r="AR96" s="722" t="s">
        <v>228</v>
      </c>
      <c r="AS96" s="723" t="s">
        <v>228</v>
      </c>
      <c r="AT96" s="723" t="s">
        <v>228</v>
      </c>
      <c r="AU96" s="723" t="s">
        <v>228</v>
      </c>
      <c r="AV96" s="723" t="s">
        <v>228</v>
      </c>
      <c r="AW96" s="723" t="s">
        <v>228</v>
      </c>
      <c r="AX96" s="723" t="s">
        <v>228</v>
      </c>
      <c r="AY96" s="723" t="s">
        <v>228</v>
      </c>
      <c r="AZ96" s="723" t="s">
        <v>228</v>
      </c>
      <c r="BA96" s="723" t="s">
        <v>228</v>
      </c>
      <c r="BB96" s="723" t="s">
        <v>228</v>
      </c>
      <c r="BC96" s="723" t="s">
        <v>228</v>
      </c>
      <c r="BD96" s="1906"/>
      <c r="BE96" s="1263" t="s">
        <v>229</v>
      </c>
      <c r="BF96" s="723" t="s">
        <v>229</v>
      </c>
      <c r="BG96" s="723" t="s">
        <v>229</v>
      </c>
      <c r="BH96" s="723" t="s">
        <v>229</v>
      </c>
      <c r="BI96" s="723" t="s">
        <v>229</v>
      </c>
      <c r="BJ96" s="723" t="s">
        <v>229</v>
      </c>
      <c r="BK96" s="723" t="s">
        <v>229</v>
      </c>
      <c r="BL96" s="1089" t="s">
        <v>229</v>
      </c>
      <c r="BM96" s="1264" t="s">
        <v>229</v>
      </c>
      <c r="BN96" s="1265" t="s">
        <v>229</v>
      </c>
      <c r="BO96" s="1265" t="s">
        <v>229</v>
      </c>
      <c r="BP96" s="1265" t="s">
        <v>229</v>
      </c>
      <c r="BQ96" s="1265" t="s">
        <v>229</v>
      </c>
      <c r="BR96" s="1265" t="s">
        <v>229</v>
      </c>
      <c r="BS96" s="1265" t="s">
        <v>229</v>
      </c>
      <c r="BT96" s="1266" t="s">
        <v>229</v>
      </c>
      <c r="BV96" s="67" t="s">
        <v>625</v>
      </c>
      <c r="BW96" s="1160" t="s">
        <v>229</v>
      </c>
      <c r="BX96" s="1163" t="s">
        <v>625</v>
      </c>
      <c r="BY96" s="67" t="s">
        <v>625</v>
      </c>
      <c r="BZ96" s="1160" t="s">
        <v>229</v>
      </c>
      <c r="CA96" s="68" t="s">
        <v>625</v>
      </c>
      <c r="CB96" s="1267" t="s">
        <v>229</v>
      </c>
      <c r="CC96" s="1268" t="s">
        <v>229</v>
      </c>
      <c r="CD96" s="1267" t="s">
        <v>229</v>
      </c>
      <c r="CE96" s="1268" t="s">
        <v>229</v>
      </c>
      <c r="CG96" s="1275" t="s">
        <v>227</v>
      </c>
      <c r="CH96" s="1276" t="s">
        <v>227</v>
      </c>
      <c r="CI96" s="1276" t="s">
        <v>227</v>
      </c>
      <c r="CJ96" s="1276" t="s">
        <v>227</v>
      </c>
      <c r="CK96" s="1276" t="s">
        <v>227</v>
      </c>
      <c r="CL96" s="1276" t="s">
        <v>227</v>
      </c>
      <c r="CM96" s="1902"/>
    </row>
    <row r="97" spans="1:91">
      <c r="A97" s="127">
        <f>'Input data'!A117</f>
        <v>2017</v>
      </c>
      <c r="B97" s="662">
        <f>'Input data'!B117</f>
        <v>56.521948041648095</v>
      </c>
      <c r="C97" s="236">
        <f>'Input data'!C117</f>
        <v>3107.1496601967842</v>
      </c>
      <c r="D97" s="236">
        <f>'Input data'!D117</f>
        <v>49995051</v>
      </c>
      <c r="E97" s="1002">
        <f>'Input data'!F117</f>
        <v>0.71479999999999999</v>
      </c>
      <c r="F97" s="814">
        <f>'Input data'!G117</f>
        <v>0.28959999999999997</v>
      </c>
      <c r="G97" s="1003">
        <f>'Input data'!H117</f>
        <v>501</v>
      </c>
      <c r="H97" s="529">
        <f>'Input data'!I117</f>
        <v>424.26313389388866</v>
      </c>
      <c r="I97" s="528">
        <f>'Input data'!K117</f>
        <v>23980.178809937162</v>
      </c>
      <c r="J97" s="957">
        <f>I97*B10</f>
        <v>11144.031481960794</v>
      </c>
      <c r="K97" s="1469">
        <f>I97*$B$10-J97</f>
        <v>0</v>
      </c>
      <c r="L97" s="417">
        <f>C17</f>
        <v>0.57999999999999996</v>
      </c>
      <c r="M97" s="417">
        <f>D17</f>
        <v>0.437</v>
      </c>
      <c r="N97" s="417">
        <f>E17</f>
        <v>0.71200000000000008</v>
      </c>
      <c r="O97" s="417">
        <f>F17</f>
        <v>0.8</v>
      </c>
      <c r="P97" s="114">
        <f>$G$17</f>
        <v>0.23600000000000002</v>
      </c>
      <c r="Q97" s="956">
        <f>H97*$E$75*L97*B97-H97*$E$75*$L$97*B97</f>
        <v>0</v>
      </c>
      <c r="R97" s="957">
        <f>H97*$J$75*M97*B97-H97*$J$75*$M$97*B97</f>
        <v>0</v>
      </c>
      <c r="S97" s="957">
        <f>$K$75*N97*I97-$K$75*$N$97*I97</f>
        <v>0</v>
      </c>
      <c r="T97" s="957">
        <f>H97*$L$75*O97*B97-H97*$L$75*$O$97*B97</f>
        <v>0</v>
      </c>
      <c r="U97" s="1469">
        <f>H97*$M$75*P97*B97-H97*$M$75*$P$97*B97</f>
        <v>0</v>
      </c>
      <c r="V97" s="528">
        <f>SUM(Q97:U97)</f>
        <v>0</v>
      </c>
      <c r="W97" s="708">
        <v>0</v>
      </c>
      <c r="X97" s="1469">
        <f>W97*($C$76+$D$76)*$B$10*$I$97</f>
        <v>0</v>
      </c>
      <c r="Y97" s="956">
        <f>X97+V97</f>
        <v>0</v>
      </c>
      <c r="Z97" s="957">
        <f>$J$97-Y97</f>
        <v>11144.031481960794</v>
      </c>
      <c r="AA97" s="1469">
        <f>Z97-J97</f>
        <v>0</v>
      </c>
      <c r="AB97" s="1091">
        <f>AA97/Z97</f>
        <v>0</v>
      </c>
      <c r="AC97" s="1491" t="str">
        <f>IF(AND(AB97&gt;=0,AB97&lt;=1),"Yes","No")</f>
        <v>Yes</v>
      </c>
      <c r="AD97" s="1119">
        <f>IF(AB97&lt;=0,0,IF(AB97&gt;=1,1,AB97))</f>
        <v>0</v>
      </c>
      <c r="AE97" s="649">
        <f t="shared" ref="AE97:AE130" si="10">1-AK97/I97</f>
        <v>0</v>
      </c>
      <c r="AF97" s="530">
        <f>AK97/B97</f>
        <v>424.26313389388866</v>
      </c>
      <c r="AG97" s="528">
        <f>J97</f>
        <v>11144.031481960794</v>
      </c>
      <c r="AH97" s="528">
        <f>V97+I97*$C$10*$G$10</f>
        <v>6573.3162308435367</v>
      </c>
      <c r="AI97" s="528">
        <f>($C$10*$H$10*$I$97+X97)</f>
        <v>3350.0000024684418</v>
      </c>
      <c r="AJ97" s="528">
        <f t="shared" ref="AJ97:AJ130" si="11">I97*$D$10*(1-AD97)</f>
        <v>2912.8310946643915</v>
      </c>
      <c r="AK97" s="528">
        <f>SUM(AG97:AJ97)</f>
        <v>23980.178809937162</v>
      </c>
      <c r="AL97" s="716">
        <f t="shared" ref="AL97:AL130" si="12">AG97-(I97*$B$10-Y97)*(1-AD97)</f>
        <v>0</v>
      </c>
      <c r="AM97" s="417">
        <f>AG97/AK97</f>
        <v>0.46471844811027058</v>
      </c>
      <c r="AN97" s="417">
        <f>AH97/AK97</f>
        <v>0.27411456282050806</v>
      </c>
      <c r="AO97" s="417">
        <f>AI97/AK97</f>
        <v>0.13969870821314448</v>
      </c>
      <c r="AP97" s="417">
        <f>AJ97/AK97</f>
        <v>0.12146828085607692</v>
      </c>
      <c r="AQ97" s="417">
        <f>SUM(AM97:AP97)</f>
        <v>1</v>
      </c>
      <c r="AR97" s="1086">
        <f t="shared" ref="AR97:AR130" si="13">(I97*$C$76*$B$10-$C$66/($D$66+$C$66)*X97)*(1-AD97)</f>
        <v>2674.7122279603836</v>
      </c>
      <c r="AS97" s="938">
        <f t="shared" ref="AS97:AS130" si="14">(I97*$D$76*$B$10-$D$66/($D$66+$C$66)*X97)*(1-AD97)</f>
        <v>3392.2587126437579</v>
      </c>
      <c r="AT97" s="938">
        <f t="shared" ref="AT97:AT130" si="15">(I97*$B$10*$E$76-(Q97))*(1-AD97)</f>
        <v>657.47825077636821</v>
      </c>
      <c r="AU97" s="938">
        <f t="shared" ref="AU97:AU130" si="16">I97*$F$76*(1-AD97)*$B$10</f>
        <v>0</v>
      </c>
      <c r="AV97" s="938">
        <f t="shared" ref="AV97:AV130" si="17">I97*$G$76*(1-AD97)*$B$10</f>
        <v>0</v>
      </c>
      <c r="AW97" s="938">
        <f t="shared" ref="AW97:AW130" si="18">I97*$G$76*(1-AD97)*$B$10</f>
        <v>0</v>
      </c>
      <c r="AX97" s="938">
        <f t="shared" ref="AX97:AX130" si="19">I97*$I$76*(1-AD97)*$AM$97</f>
        <v>2798.4495620620314</v>
      </c>
      <c r="AY97" s="938">
        <f t="shared" ref="AY97:AY130" si="20">(I97*$J$76*$B$10-R97)*(1-AD97)</f>
        <v>404.59200209812275</v>
      </c>
      <c r="AZ97" s="938">
        <f t="shared" ref="AZ97:AZ130" si="21">(I97*$K$76*$B$10-S97)*(1-AD97)</f>
        <v>588.07238655935896</v>
      </c>
      <c r="BA97" s="938">
        <f t="shared" ref="BA97:BA130" si="22">(I97*$L$76*$B$10-T97)*(1-AD97)</f>
        <v>516.96231057860598</v>
      </c>
      <c r="BB97" s="938">
        <f t="shared" ref="BB97:BB130" si="23">(I97*$M$76*$B$10-U97)*(1-AD97)</f>
        <v>111.50602928216298</v>
      </c>
      <c r="BC97" s="1469">
        <f>SUM(AR97:BB97)</f>
        <v>11144.031481960794</v>
      </c>
      <c r="BD97" s="1158">
        <f>BC97-AG97</f>
        <v>0</v>
      </c>
      <c r="BE97" s="436">
        <f>AR97/BC97</f>
        <v>0.24001298204245269</v>
      </c>
      <c r="BF97" s="624">
        <f>AS97/BC97</f>
        <v>0.30440139352934503</v>
      </c>
      <c r="BG97" s="624">
        <f>AT97/BC97</f>
        <v>5.8998240613430571E-2</v>
      </c>
      <c r="BH97" s="624">
        <f>AU97/BC97</f>
        <v>0</v>
      </c>
      <c r="BI97" s="624">
        <f>AV97/BC97</f>
        <v>0</v>
      </c>
      <c r="BJ97" s="624">
        <f>AW97/BC97</f>
        <v>0</v>
      </c>
      <c r="BK97" s="624">
        <f>SUM(AX97:BB97)/BC97</f>
        <v>0.39658738381477143</v>
      </c>
      <c r="BL97" s="624">
        <f>SUM(BE97:BK97)</f>
        <v>0.99999999999999978</v>
      </c>
      <c r="BM97" s="708">
        <f>'Input data'!V118</f>
        <v>0.29028184578274857</v>
      </c>
      <c r="BN97" s="647">
        <f>'Input data'!W118</f>
        <v>0.30317187715157518</v>
      </c>
      <c r="BO97" s="647">
        <f>'Input data'!X118</f>
        <v>8.2805443243048754E-2</v>
      </c>
      <c r="BP97" s="647">
        <f>'Input data'!Y118</f>
        <v>0</v>
      </c>
      <c r="BQ97" s="647">
        <f>'Input data'!Z118</f>
        <v>0</v>
      </c>
      <c r="BR97" s="647">
        <f>'Input data'!AA118</f>
        <v>0</v>
      </c>
      <c r="BS97" s="647">
        <f>'Input data'!AB118</f>
        <v>0.32374083382262742</v>
      </c>
      <c r="BT97" s="715">
        <f>SUM(BM97:BS97)</f>
        <v>0.99999999999999989</v>
      </c>
      <c r="BV97" s="956">
        <f>(AK97+AC137)*1000/10^6</f>
        <v>111.48215319455257</v>
      </c>
      <c r="BW97" s="647">
        <f>((AK97-AM97*AK97)+(AC137-AC137*AE137))/(AK97+AC137)</f>
        <v>0.28613022309776337</v>
      </c>
      <c r="BX97" s="1694">
        <f t="shared" ref="BX97:BX130" si="24">D137/10^6</f>
        <v>49.995050999999997</v>
      </c>
      <c r="BY97" s="956">
        <f>(AK97+AC177)*1000/10^6</f>
        <v>111.48215319455257</v>
      </c>
      <c r="BZ97" s="647">
        <f>((AK97-AM97*AK97)+(AC177-AC177*AE177))/(AK97+AC177)</f>
        <v>0.28613022309776337</v>
      </c>
      <c r="CA97" s="677">
        <f t="shared" ref="CA97:CA130" si="25">D177/10^6</f>
        <v>49.995050999999997</v>
      </c>
      <c r="CB97" s="708">
        <f t="shared" ref="CB97:CB130" si="26">AE97</f>
        <v>0</v>
      </c>
      <c r="CC97" s="715">
        <f>W177</f>
        <v>0</v>
      </c>
      <c r="CD97" s="647">
        <f t="shared" ref="CD97:CD130" si="27">AE97</f>
        <v>0</v>
      </c>
      <c r="CE97" s="715">
        <f>W177</f>
        <v>0</v>
      </c>
      <c r="CG97" s="956">
        <f>$I97*$E$75*$L97</f>
        <v>1241.0294809144502</v>
      </c>
      <c r="CH97" s="957">
        <f>$I97*$J$75*M97</f>
        <v>480.37399835396275</v>
      </c>
      <c r="CI97" s="957">
        <f>$I97*$K$75*N97</f>
        <v>1987.1941374642606</v>
      </c>
      <c r="CJ97" s="957">
        <f>$I97*$L$75*O97</f>
        <v>2826.4472020826624</v>
      </c>
      <c r="CK97" s="957">
        <f>$I97*$M$75*P97</f>
        <v>38.271412028200224</v>
      </c>
      <c r="CL97" s="957">
        <f>SUM(CG97:CK97)</f>
        <v>6573.3162308435358</v>
      </c>
      <c r="CM97" s="1130">
        <f>AH97-CL97</f>
        <v>0</v>
      </c>
    </row>
    <row r="98" spans="1:91">
      <c r="A98" s="127">
        <f>'Input data'!A118</f>
        <v>2018</v>
      </c>
      <c r="B98" s="662">
        <f>'Input data'!B118</f>
        <v>57.436000617299655</v>
      </c>
      <c r="C98" s="236">
        <f>'Input data'!C118</f>
        <v>3150.6223338999603</v>
      </c>
      <c r="D98" s="236">
        <f>'Input data'!D118</f>
        <v>50343843.445756853</v>
      </c>
      <c r="E98" s="1004">
        <f>($E$110-$E$97)/($A$110-$A$97)+E97</f>
        <v>0.73673846153846156</v>
      </c>
      <c r="F98" s="560">
        <f>($F$110-$F$97)/($A$110-$A$97)+F97</f>
        <v>0.29578461538461537</v>
      </c>
      <c r="G98" s="1005">
        <f>B98*F98*'Input data'!$C$9</f>
        <v>519.97422906036013</v>
      </c>
      <c r="H98" s="529">
        <f>'Input data'!I118</f>
        <v>424.26313389388866</v>
      </c>
      <c r="I98" s="528">
        <f>'Input data'!K118</f>
        <v>24367.977620226877</v>
      </c>
      <c r="J98" s="528">
        <f>J97*0.94</f>
        <v>10475.389593043146</v>
      </c>
      <c r="K98" s="530">
        <f>I98*$B$10-J98</f>
        <v>848.85915021449364</v>
      </c>
      <c r="L98" s="417">
        <f t="shared" ref="L98:L109" si="28">($L$110-$L$97)/($A$110-$A$97)+L97</f>
        <v>0.58923076923076922</v>
      </c>
      <c r="M98" s="417">
        <f t="shared" ref="M98:M109" si="29">($M$110-$M$97)/($A$110-$A$97)+M97</f>
        <v>0.44953846153846155</v>
      </c>
      <c r="N98" s="417">
        <f t="shared" ref="N98:N109" si="30">($N$110-$N$97)/($A$110-$A$97)+N97</f>
        <v>0.72646153846153849</v>
      </c>
      <c r="O98" s="417">
        <f t="shared" ref="O98:O109" si="31">($O$110-$O$97)/($A$110-$A$97)+O97</f>
        <v>0.80769230769230771</v>
      </c>
      <c r="P98" s="417">
        <f t="shared" ref="P98:P109" si="32">($P$110-$P$97)/($A$110-$A$97)+P97</f>
        <v>0.23600000000000002</v>
      </c>
      <c r="Q98" s="527">
        <f t="shared" ref="Q98:Q130" si="33">H98*$E$75*L98*B98-H98*$E$75*$L$97*B98</f>
        <v>20.070540516702977</v>
      </c>
      <c r="R98" s="528">
        <f t="shared" ref="R98:R130" si="34">H98*$J$75*M98*B98-H98*$J$75*$M$97*B98</f>
        <v>14.00584697562465</v>
      </c>
      <c r="S98" s="528">
        <f t="shared" ref="S98:S130" si="35">$K$75*N98*I98-$K$75*$N$97*I98</f>
        <v>41.014920169807738</v>
      </c>
      <c r="T98" s="528">
        <f t="shared" ref="T98:T130" si="36">H98*$L$75*O98*B98-H98*$L$75*$O$97*B98</f>
        <v>27.616879689468988</v>
      </c>
      <c r="U98" s="530">
        <f t="shared" ref="U98:U130" si="37">H98*$M$75*P98*B98-H98*$M$75*$P$97*B98</f>
        <v>0</v>
      </c>
      <c r="V98" s="528">
        <f t="shared" ref="V98:V130" si="38">SUM(Q98:U98)</f>
        <v>102.70818735160435</v>
      </c>
      <c r="W98" s="649">
        <v>0.05</v>
      </c>
      <c r="X98" s="530">
        <f t="shared" ref="X98:X130" si="39">W98*($C$76+$D$76)*$B$10*$I$97</f>
        <v>303.3485470302071</v>
      </c>
      <c r="Y98" s="527">
        <f>X98+V98</f>
        <v>406.05673438181145</v>
      </c>
      <c r="Z98" s="528">
        <f>I98*$B$10-Y98</f>
        <v>10918.192008875829</v>
      </c>
      <c r="AA98" s="530">
        <f>Z98-J98</f>
        <v>442.80241583268253</v>
      </c>
      <c r="AB98" s="1091">
        <f t="shared" ref="AB98:AB130" si="40">AA98/Z98</f>
        <v>4.0556386576890292E-2</v>
      </c>
      <c r="AC98" s="135" t="str">
        <f t="shared" ref="AC98:AC130" si="41">IF(AND(AB98&gt;=0,AB98&lt;=1),"Yes","No")</f>
        <v>Yes</v>
      </c>
      <c r="AD98" s="1091">
        <f t="shared" ref="AD98:AD130" si="42">IF(AB98&lt;=0,0,IF(AB98&gt;=1,1,AB98))</f>
        <v>4.0556386576890292E-2</v>
      </c>
      <c r="AE98" s="649">
        <f t="shared" si="10"/>
        <v>2.3097802675159818E-2</v>
      </c>
      <c r="AF98" s="530">
        <f t="shared" ref="AF98:AF130" si="43">AK98/B98</f>
        <v>414.46358774486276</v>
      </c>
      <c r="AG98" s="528">
        <f t="shared" ref="AG98:AG130" si="44">J98</f>
        <v>10475.389593043146</v>
      </c>
      <c r="AH98" s="528">
        <f>IF(V98+I98*$C$10*$G$10&lt;AH97,AH97,V98+I98*$C$10*$G$10)</f>
        <v>6782.3257195400192</v>
      </c>
      <c r="AI98" s="528">
        <f>IF(($C$10*$H$10*$I$98+X98)&lt;AI97,AI97,($C$10*$H$10*$I$98+X98))</f>
        <v>3707.5235423427162</v>
      </c>
      <c r="AJ98" s="528">
        <f t="shared" si="11"/>
        <v>2839.8920266362888</v>
      </c>
      <c r="AK98" s="528">
        <f t="shared" ref="AK98:AK130" si="45">SUM(AG98:AJ98)</f>
        <v>23805.130881562167</v>
      </c>
      <c r="AL98" s="716">
        <f t="shared" si="12"/>
        <v>0</v>
      </c>
      <c r="AM98" s="417">
        <f t="shared" ref="AM98:AM130" si="46">AG98/AK98</f>
        <v>0.44004755299021142</v>
      </c>
      <c r="AN98" s="417">
        <f t="shared" ref="AN98:AN130" si="47">AH98/AK98</f>
        <v>0.28491024700868783</v>
      </c>
      <c r="AO98" s="417">
        <f t="shared" ref="AO98:AO130" si="48">AI98/AK98</f>
        <v>0.15574472414324389</v>
      </c>
      <c r="AP98" s="417">
        <f t="shared" ref="AP98:AP130" si="49">AJ98/AK98</f>
        <v>0.11929747585785701</v>
      </c>
      <c r="AQ98" s="417">
        <f t="shared" ref="AQ98:AQ130" si="50">SUM(AM98:AP98)</f>
        <v>1.0000000000000002</v>
      </c>
      <c r="AR98" s="1086">
        <f t="shared" si="13"/>
        <v>2479.4240234122854</v>
      </c>
      <c r="AS98" s="938">
        <f t="shared" si="14"/>
        <v>3144.5804366671259</v>
      </c>
      <c r="AT98" s="938">
        <f t="shared" si="15"/>
        <v>621.75804226515436</v>
      </c>
      <c r="AU98" s="938">
        <f t="shared" si="16"/>
        <v>0</v>
      </c>
      <c r="AV98" s="938">
        <f t="shared" si="17"/>
        <v>0</v>
      </c>
      <c r="AW98" s="938">
        <f t="shared" si="18"/>
        <v>0</v>
      </c>
      <c r="AX98" s="938">
        <f t="shared" si="19"/>
        <v>2728.3746774062242</v>
      </c>
      <c r="AY98" s="938">
        <f t="shared" si="20"/>
        <v>381.02295105106646</v>
      </c>
      <c r="AZ98" s="938">
        <f t="shared" si="21"/>
        <v>533.9951919445117</v>
      </c>
      <c r="BA98" s="938">
        <f t="shared" si="22"/>
        <v>477.52042002913004</v>
      </c>
      <c r="BB98" s="938">
        <f t="shared" si="23"/>
        <v>108.71385026764568</v>
      </c>
      <c r="BC98" s="530">
        <f t="shared" ref="BC98:BC130" si="51">SUM(AR98:BB98)</f>
        <v>10475.389593043146</v>
      </c>
      <c r="BD98" s="724">
        <f t="shared" ref="BD98:BD130" si="52">BC98-AG98</f>
        <v>0</v>
      </c>
      <c r="BE98" s="436">
        <f t="shared" ref="BE98:BE130" si="53">AR98/BC98</f>
        <v>0.23669038763569289</v>
      </c>
      <c r="BF98" s="624">
        <f t="shared" ref="BF98:BF129" si="54">AS98/BC98</f>
        <v>0.30018744493813254</v>
      </c>
      <c r="BG98" s="624">
        <f t="shared" ref="BG98:BG130" si="55">AT98/BC98</f>
        <v>5.9354168810873881E-2</v>
      </c>
      <c r="BH98" s="624">
        <f t="shared" ref="BH98:BH130" si="56">AU98/BC98</f>
        <v>0</v>
      </c>
      <c r="BI98" s="624">
        <f t="shared" ref="BI98:BI130" si="57">AV98/BC98</f>
        <v>0</v>
      </c>
      <c r="BJ98" s="624">
        <f t="shared" ref="BJ98:BJ130" si="58">AW98/BC98</f>
        <v>0</v>
      </c>
      <c r="BK98" s="624">
        <f t="shared" ref="BK98:BK130" si="59">SUM(AX98:BB98)/BC98</f>
        <v>0.40376799861530049</v>
      </c>
      <c r="BL98" s="624">
        <f t="shared" ref="BL98:BL130" si="60">SUM(BE98:BK98)</f>
        <v>0.99999999999999978</v>
      </c>
      <c r="BM98" s="649">
        <f>BM97</f>
        <v>0.29028184578274857</v>
      </c>
      <c r="BN98" s="417">
        <f t="shared" ref="BN98:BS113" si="61">BN97</f>
        <v>0.30317187715157518</v>
      </c>
      <c r="BO98" s="417">
        <f t="shared" si="61"/>
        <v>8.2805443243048754E-2</v>
      </c>
      <c r="BP98" s="417">
        <f t="shared" si="61"/>
        <v>0</v>
      </c>
      <c r="BQ98" s="417">
        <f t="shared" si="61"/>
        <v>0</v>
      </c>
      <c r="BR98" s="417">
        <f t="shared" si="61"/>
        <v>0</v>
      </c>
      <c r="BS98" s="417">
        <f t="shared" si="61"/>
        <v>0.32374083382262742</v>
      </c>
      <c r="BT98" s="525">
        <f>SUM(BM98:BS98)</f>
        <v>0.99999999999999989</v>
      </c>
      <c r="BV98" s="527">
        <f t="shared" ref="BV98:BV130" si="62">(AK98+AC138)*1000/10^6</f>
        <v>108.83172470800969</v>
      </c>
      <c r="BW98" s="114">
        <f t="shared" ref="BW98:BW130" si="63">((AK98-AM98*AK98)+(AC138-AC138*AE138))/(AK98+AC138)</f>
        <v>0.31262032609967511</v>
      </c>
      <c r="BX98" s="1695">
        <f t="shared" si="24"/>
        <v>50.343843445756853</v>
      </c>
      <c r="BY98" s="527">
        <f t="shared" ref="BY98:BY130" si="64">(AK98+AC178)*1000/10^6</f>
        <v>108.83172470800969</v>
      </c>
      <c r="BZ98" s="417">
        <f t="shared" ref="BZ98:BZ130" si="65">((AK98-AM98*AK98)+(AC178-AC178*AE178))/(AK98+AC178)</f>
        <v>0.31262032609967511</v>
      </c>
      <c r="CA98" s="544">
        <f t="shared" si="25"/>
        <v>50.343843445756853</v>
      </c>
      <c r="CB98" s="649">
        <f t="shared" si="26"/>
        <v>2.3097802675159818E-2</v>
      </c>
      <c r="CC98" s="525">
        <f t="shared" ref="CC98:CC130" si="66">W178</f>
        <v>3.7894412822106371E-2</v>
      </c>
      <c r="CD98" s="417">
        <f t="shared" si="27"/>
        <v>2.3097802675159818E-2</v>
      </c>
      <c r="CE98" s="525">
        <f t="shared" ref="CE98:CE130" si="67">W178</f>
        <v>3.7894412822106371E-2</v>
      </c>
      <c r="CG98" s="527">
        <f t="shared" ref="CG98:CG130" si="68">$I98*$E$75*$L98</f>
        <v>1281.1695029828775</v>
      </c>
      <c r="CH98" s="528">
        <f t="shared" ref="CH98:CH130" si="69">$I98*$J$75*M98</f>
        <v>502.14828052484881</v>
      </c>
      <c r="CI98" s="528">
        <f t="shared" ref="CI98:CI130" si="70">$I98*$K$75*N98</f>
        <v>2060.3452451258809</v>
      </c>
      <c r="CJ98" s="528">
        <f t="shared" ref="CJ98:CJ130" si="71">$I98*$L$75*O98</f>
        <v>2899.772367394261</v>
      </c>
      <c r="CK98" s="528">
        <f t="shared" ref="CK98:CK130" si="72">$I98*$M$75*P98</f>
        <v>38.890323512150175</v>
      </c>
      <c r="CL98" s="528">
        <f t="shared" ref="CL98:CL130" si="73">SUM(CG98:CK98)</f>
        <v>6782.3257195400174</v>
      </c>
      <c r="CM98" s="646">
        <f t="shared" ref="CM98:CM130" si="74">AH98-CL98</f>
        <v>0</v>
      </c>
    </row>
    <row r="99" spans="1:91">
      <c r="A99" s="127">
        <f>'Input data'!A119</f>
        <v>2019</v>
      </c>
      <c r="B99" s="662">
        <f>'Input data'!B119</f>
        <v>58.364834921819444</v>
      </c>
      <c r="C99" s="236">
        <f>'Input data'!C119</f>
        <v>3168.3184457469288</v>
      </c>
      <c r="D99" s="1552">
        <f>'Input data'!D119</f>
        <v>48412890.850439847</v>
      </c>
      <c r="E99" s="1457">
        <f t="shared" ref="E99:E109" si="75">($E$110-$E$97)/($A$110-$A$97)+E98</f>
        <v>0.75867692307692314</v>
      </c>
      <c r="F99" s="1451">
        <f t="shared" ref="F99:F109" si="76">($F$110-$F$97)/($A$110-$A$97)+F98</f>
        <v>0.30196923076923077</v>
      </c>
      <c r="G99" s="1556">
        <f>B99*F99*'Input data'!$C$9</f>
        <v>539.43112442415634</v>
      </c>
      <c r="H99" s="1544">
        <f>'Input data'!I119</f>
        <v>424.26313389388866</v>
      </c>
      <c r="I99" s="1511">
        <f>'Input data'!K119</f>
        <v>24762.047773130591</v>
      </c>
      <c r="J99" s="1511">
        <f>J97*0.89</f>
        <v>9918.1880189451058</v>
      </c>
      <c r="K99" s="1513">
        <f t="shared" ref="K99:K130" si="77">I99*$B$10-J99</f>
        <v>1589.1923942165249</v>
      </c>
      <c r="L99" s="1506">
        <f t="shared" si="28"/>
        <v>0.59846153846153849</v>
      </c>
      <c r="M99" s="1506">
        <f t="shared" si="29"/>
        <v>0.46207692307692311</v>
      </c>
      <c r="N99" s="1506">
        <f t="shared" si="30"/>
        <v>0.74092307692307691</v>
      </c>
      <c r="O99" s="1506">
        <f t="shared" si="31"/>
        <v>0.81538461538461537</v>
      </c>
      <c r="P99" s="1506">
        <f t="shared" si="32"/>
        <v>0.23600000000000002</v>
      </c>
      <c r="Q99" s="1510">
        <f t="shared" si="33"/>
        <v>40.79022813076017</v>
      </c>
      <c r="R99" s="1511">
        <f t="shared" si="34"/>
        <v>28.464688971619694</v>
      </c>
      <c r="S99" s="1511">
        <f t="shared" si="35"/>
        <v>83.356397357562855</v>
      </c>
      <c r="T99" s="1511">
        <f t="shared" si="36"/>
        <v>56.126979831743938</v>
      </c>
      <c r="U99" s="1513">
        <f t="shared" si="37"/>
        <v>0</v>
      </c>
      <c r="V99" s="1511">
        <f t="shared" si="38"/>
        <v>208.73829429168666</v>
      </c>
      <c r="W99" s="1456">
        <v>0.1</v>
      </c>
      <c r="X99" s="530">
        <f t="shared" si="39"/>
        <v>606.6970940604142</v>
      </c>
      <c r="Y99" s="1510">
        <f t="shared" ref="Y99:Y130" si="78">X99+V99</f>
        <v>815.43538835210086</v>
      </c>
      <c r="Z99" s="1511">
        <f t="shared" ref="Z99:Z130" si="79">I99*$B$10-Y99</f>
        <v>10691.945024809529</v>
      </c>
      <c r="AA99" s="1513">
        <f t="shared" ref="AA99:AA130" si="80">Z99-J99</f>
        <v>773.75700586442326</v>
      </c>
      <c r="AB99" s="1091">
        <f t="shared" si="40"/>
        <v>7.2368217762904863E-2</v>
      </c>
      <c r="AC99" s="135" t="str">
        <f t="shared" si="41"/>
        <v>Yes</v>
      </c>
      <c r="AD99" s="1091">
        <f t="shared" si="42"/>
        <v>7.2368217762904863E-2</v>
      </c>
      <c r="AE99" s="649">
        <f t="shared" si="10"/>
        <v>4.2261345922522509E-2</v>
      </c>
      <c r="AF99" s="530">
        <f t="shared" si="43"/>
        <v>406.33320283022556</v>
      </c>
      <c r="AG99" s="528">
        <f t="shared" si="44"/>
        <v>9918.1880189451058</v>
      </c>
      <c r="AH99" s="528">
        <f t="shared" ref="AH99:AH130" si="81">IF(V99+I99*$C$10*$G$10&lt;AH98,AH98,V99+I99*$C$10*$G$10)</f>
        <v>6996.3761941639132</v>
      </c>
      <c r="AI99" s="528">
        <f t="shared" ref="AI99:AI130" si="82">IF(($C$10*$H$10*$I$98+X99)&lt;AI98,AI98,($C$10*$H$10*$I$98+X99))</f>
        <v>4010.8720893729233</v>
      </c>
      <c r="AJ99" s="528">
        <f t="shared" si="11"/>
        <v>2790.1340039583492</v>
      </c>
      <c r="AK99" s="528">
        <f t="shared" si="45"/>
        <v>23715.570306440291</v>
      </c>
      <c r="AL99" s="716">
        <f t="shared" si="12"/>
        <v>0</v>
      </c>
      <c r="AM99" s="417">
        <f t="shared" si="46"/>
        <v>0.41821418969847352</v>
      </c>
      <c r="AN99" s="417">
        <f t="shared" si="47"/>
        <v>0.29501193113892565</v>
      </c>
      <c r="AO99" s="417">
        <f t="shared" si="48"/>
        <v>0.16912399902454445</v>
      </c>
      <c r="AP99" s="417">
        <f t="shared" si="49"/>
        <v>0.11764988013805638</v>
      </c>
      <c r="AQ99" s="417">
        <f t="shared" si="50"/>
        <v>1</v>
      </c>
      <c r="AR99" s="1086">
        <f t="shared" si="13"/>
        <v>2313.9306035340765</v>
      </c>
      <c r="AS99" s="938">
        <f t="shared" si="14"/>
        <v>2934.6900082320794</v>
      </c>
      <c r="AT99" s="938">
        <f t="shared" si="15"/>
        <v>591.94500350350825</v>
      </c>
      <c r="AU99" s="938">
        <f t="shared" si="16"/>
        <v>0</v>
      </c>
      <c r="AV99" s="938">
        <f t="shared" si="17"/>
        <v>0</v>
      </c>
      <c r="AW99" s="938">
        <f t="shared" si="18"/>
        <v>0</v>
      </c>
      <c r="AX99" s="938">
        <f t="shared" si="19"/>
        <v>2680.5705609824404</v>
      </c>
      <c r="AY99" s="938">
        <f t="shared" si="20"/>
        <v>361.14463601855459</v>
      </c>
      <c r="AZ99" s="938">
        <f t="shared" si="21"/>
        <v>485.9769888542948</v>
      </c>
      <c r="BA99" s="938">
        <f t="shared" si="22"/>
        <v>443.12115343037897</v>
      </c>
      <c r="BB99" s="938">
        <f t="shared" si="23"/>
        <v>106.80906438977173</v>
      </c>
      <c r="BC99" s="530">
        <f t="shared" si="51"/>
        <v>9918.188018945104</v>
      </c>
      <c r="BD99" s="724">
        <f t="shared" si="52"/>
        <v>0</v>
      </c>
      <c r="BE99" s="436">
        <f t="shared" si="53"/>
        <v>0.23330174817357269</v>
      </c>
      <c r="BF99" s="624">
        <f t="shared" si="54"/>
        <v>0.29588973334911756</v>
      </c>
      <c r="BG99" s="624">
        <f t="shared" si="55"/>
        <v>5.9682776972246526E-2</v>
      </c>
      <c r="BH99" s="624">
        <f t="shared" si="56"/>
        <v>0</v>
      </c>
      <c r="BI99" s="624">
        <f t="shared" si="57"/>
        <v>0</v>
      </c>
      <c r="BJ99" s="624">
        <f t="shared" si="58"/>
        <v>0</v>
      </c>
      <c r="BK99" s="624">
        <f t="shared" si="59"/>
        <v>0.41112574150506326</v>
      </c>
      <c r="BL99" s="624">
        <f t="shared" si="60"/>
        <v>1</v>
      </c>
      <c r="BM99" s="649">
        <f t="shared" ref="BM99:BS114" si="83">BM98</f>
        <v>0.29028184578274857</v>
      </c>
      <c r="BN99" s="417">
        <f t="shared" si="61"/>
        <v>0.30317187715157518</v>
      </c>
      <c r="BO99" s="417">
        <f t="shared" si="61"/>
        <v>8.2805443243048754E-2</v>
      </c>
      <c r="BP99" s="417">
        <f t="shared" si="61"/>
        <v>0</v>
      </c>
      <c r="BQ99" s="417">
        <f t="shared" si="61"/>
        <v>0</v>
      </c>
      <c r="BR99" s="417">
        <f t="shared" si="61"/>
        <v>0</v>
      </c>
      <c r="BS99" s="417">
        <f t="shared" si="61"/>
        <v>0.32374083382262742</v>
      </c>
      <c r="BT99" s="525">
        <f t="shared" ref="BT99:BT130" si="84">SUM(BM99:BS99)</f>
        <v>0.99999999999999989</v>
      </c>
      <c r="BV99" s="527">
        <f t="shared" si="62"/>
        <v>106.57771234372578</v>
      </c>
      <c r="BW99" s="114">
        <f t="shared" si="63"/>
        <v>0.33541894556819557</v>
      </c>
      <c r="BX99" s="1695">
        <f t="shared" si="24"/>
        <v>48.412890850439844</v>
      </c>
      <c r="BY99" s="527">
        <f t="shared" si="64"/>
        <v>106.57771234372578</v>
      </c>
      <c r="BZ99" s="417">
        <f t="shared" si="65"/>
        <v>0.33541894556819557</v>
      </c>
      <c r="CA99" s="544">
        <f t="shared" si="25"/>
        <v>48.412890850439844</v>
      </c>
      <c r="CB99" s="649">
        <f t="shared" si="26"/>
        <v>4.2261345922522509E-2</v>
      </c>
      <c r="CC99" s="525">
        <f t="shared" si="66"/>
        <v>4.3804869635095334E-2</v>
      </c>
      <c r="CD99" s="417">
        <f t="shared" si="27"/>
        <v>4.2261345922522509E-2</v>
      </c>
      <c r="CE99" s="525">
        <f t="shared" si="67"/>
        <v>4.3804869635095334E-2</v>
      </c>
      <c r="CG99" s="527">
        <f t="shared" si="68"/>
        <v>1322.2832285721358</v>
      </c>
      <c r="CH99" s="528">
        <f t="shared" si="69"/>
        <v>524.50118605067348</v>
      </c>
      <c r="CI99" s="528">
        <f t="shared" si="70"/>
        <v>2135.3426046490672</v>
      </c>
      <c r="CJ99" s="528">
        <f t="shared" si="71"/>
        <v>2974.7299310824474</v>
      </c>
      <c r="CK99" s="528">
        <f t="shared" si="72"/>
        <v>39.519243809589504</v>
      </c>
      <c r="CL99" s="528">
        <f t="shared" si="73"/>
        <v>6996.3761941639132</v>
      </c>
      <c r="CM99" s="646">
        <f t="shared" si="74"/>
        <v>0</v>
      </c>
    </row>
    <row r="100" spans="1:91">
      <c r="A100" s="127">
        <f>'Input data'!A120</f>
        <v>2020</v>
      </c>
      <c r="B100" s="662">
        <f>'Input data'!B120</f>
        <v>59.308690000000006</v>
      </c>
      <c r="C100" s="236">
        <f>'Input data'!C120</f>
        <v>2944.9182124750064</v>
      </c>
      <c r="D100" s="1552">
        <f>'Input data'!D120</f>
        <v>45517474.780710384</v>
      </c>
      <c r="E100" s="1457">
        <f t="shared" si="75"/>
        <v>0.78061538461538471</v>
      </c>
      <c r="F100" s="1451">
        <f t="shared" si="76"/>
        <v>0.30815384615384617</v>
      </c>
      <c r="G100" s="1556">
        <f>B100*F100*'Input data'!$C$9</f>
        <v>559.3813349254624</v>
      </c>
      <c r="H100" s="1544">
        <f>'Input data'!I120</f>
        <v>424.26313389388866</v>
      </c>
      <c r="I100" s="1511">
        <f>'Input data'!K120</f>
        <v>25162.490686541139</v>
      </c>
      <c r="J100" s="1511">
        <f>J97*0.81</f>
        <v>9026.6655003882443</v>
      </c>
      <c r="K100" s="1513">
        <f t="shared" si="77"/>
        <v>2666.8081220502918</v>
      </c>
      <c r="L100" s="1506">
        <f t="shared" si="28"/>
        <v>0.60769230769230775</v>
      </c>
      <c r="M100" s="1506">
        <f t="shared" si="29"/>
        <v>0.47461538461538466</v>
      </c>
      <c r="N100" s="1506">
        <f t="shared" si="30"/>
        <v>0.75538461538461532</v>
      </c>
      <c r="O100" s="1506">
        <f t="shared" si="31"/>
        <v>0.82307692307692304</v>
      </c>
      <c r="P100" s="1506">
        <f t="shared" si="32"/>
        <v>0.23600000000000002</v>
      </c>
      <c r="Q100" s="1510">
        <f t="shared" si="33"/>
        <v>62.174809501571872</v>
      </c>
      <c r="R100" s="1511">
        <f t="shared" si="34"/>
        <v>43.387514496329516</v>
      </c>
      <c r="S100" s="1511">
        <f t="shared" si="35"/>
        <v>127.05661046635623</v>
      </c>
      <c r="T100" s="1511">
        <f t="shared" si="36"/>
        <v>85.551967685751606</v>
      </c>
      <c r="U100" s="1513">
        <f t="shared" si="37"/>
        <v>0</v>
      </c>
      <c r="V100" s="1511">
        <f t="shared" si="38"/>
        <v>318.17090215000923</v>
      </c>
      <c r="W100" s="1456">
        <f>($N$142-$N$137)/($A$102-$A$97)+W99</f>
        <v>0.2</v>
      </c>
      <c r="X100" s="530">
        <f t="shared" si="39"/>
        <v>1213.3941881208284</v>
      </c>
      <c r="Y100" s="1510">
        <f t="shared" si="78"/>
        <v>1531.5650902708376</v>
      </c>
      <c r="Z100" s="1511">
        <f t="shared" si="79"/>
        <v>10161.908532167698</v>
      </c>
      <c r="AA100" s="1513">
        <f t="shared" si="80"/>
        <v>1135.2430317794533</v>
      </c>
      <c r="AB100" s="1091">
        <f t="shared" si="40"/>
        <v>0.11171553337503697</v>
      </c>
      <c r="AC100" s="135" t="str">
        <f t="shared" si="41"/>
        <v>Yes</v>
      </c>
      <c r="AD100" s="1091">
        <f t="shared" si="42"/>
        <v>0.11171553337503697</v>
      </c>
      <c r="AE100" s="649">
        <f t="shared" si="10"/>
        <v>6.3097402659273327E-2</v>
      </c>
      <c r="AF100" s="530">
        <f t="shared" si="43"/>
        <v>397.49323210110077</v>
      </c>
      <c r="AG100" s="528">
        <f t="shared" si="44"/>
        <v>9026.6655003882443</v>
      </c>
      <c r="AH100" s="528">
        <f t="shared" si="81"/>
        <v>7215.5760361663397</v>
      </c>
      <c r="AI100" s="528">
        <f t="shared" si="82"/>
        <v>4617.5691834333375</v>
      </c>
      <c r="AJ100" s="528">
        <f t="shared" si="11"/>
        <v>2714.9921597943135</v>
      </c>
      <c r="AK100" s="528">
        <f t="shared" si="45"/>
        <v>23574.802879782237</v>
      </c>
      <c r="AL100" s="716">
        <f t="shared" si="12"/>
        <v>0</v>
      </c>
      <c r="AM100" s="417">
        <f t="shared" si="46"/>
        <v>0.38289463315638228</v>
      </c>
      <c r="AN100" s="417">
        <f t="shared" si="47"/>
        <v>0.30607153209134236</v>
      </c>
      <c r="AO100" s="417">
        <f t="shared" si="48"/>
        <v>0.19586883534001326</v>
      </c>
      <c r="AP100" s="417">
        <f t="shared" si="49"/>
        <v>0.11516499941226198</v>
      </c>
      <c r="AQ100" s="417">
        <f t="shared" si="50"/>
        <v>0.99999999999999989</v>
      </c>
      <c r="AR100" s="1086">
        <f t="shared" si="13"/>
        <v>2017.8652163457427</v>
      </c>
      <c r="AS100" s="938">
        <f t="shared" si="14"/>
        <v>2559.1990007498525</v>
      </c>
      <c r="AT100" s="938">
        <f t="shared" si="15"/>
        <v>557.59353532799946</v>
      </c>
      <c r="AU100" s="938">
        <f t="shared" si="16"/>
        <v>0</v>
      </c>
      <c r="AV100" s="938">
        <f t="shared" si="17"/>
        <v>0</v>
      </c>
      <c r="AW100" s="938">
        <f t="shared" si="18"/>
        <v>0</v>
      </c>
      <c r="AX100" s="938">
        <f t="shared" si="19"/>
        <v>2608.3793991678872</v>
      </c>
      <c r="AY100" s="938">
        <f t="shared" si="20"/>
        <v>338.57173496576468</v>
      </c>
      <c r="AZ100" s="938">
        <f t="shared" si="21"/>
        <v>435.26820826636424</v>
      </c>
      <c r="BA100" s="938">
        <f t="shared" si="22"/>
        <v>405.8558446188876</v>
      </c>
      <c r="BB100" s="938">
        <f t="shared" si="23"/>
        <v>103.93256094574485</v>
      </c>
      <c r="BC100" s="530">
        <f t="shared" si="51"/>
        <v>9026.6655003882424</v>
      </c>
      <c r="BD100" s="724">
        <f t="shared" si="52"/>
        <v>0</v>
      </c>
      <c r="BE100" s="436">
        <f t="shared" si="53"/>
        <v>0.22354491991078579</v>
      </c>
      <c r="BF100" s="624">
        <f t="shared" si="54"/>
        <v>0.28351543553262054</v>
      </c>
      <c r="BG100" s="624">
        <f t="shared" si="55"/>
        <v>6.1771817655591317E-2</v>
      </c>
      <c r="BH100" s="624">
        <f t="shared" si="56"/>
        <v>0</v>
      </c>
      <c r="BI100" s="624">
        <f t="shared" si="57"/>
        <v>0</v>
      </c>
      <c r="BJ100" s="624">
        <f t="shared" si="58"/>
        <v>0</v>
      </c>
      <c r="BK100" s="624">
        <f t="shared" si="59"/>
        <v>0.43116782690100253</v>
      </c>
      <c r="BL100" s="624">
        <f t="shared" si="60"/>
        <v>1.0000000000000002</v>
      </c>
      <c r="BM100" s="649">
        <f t="shared" si="83"/>
        <v>0.29028184578274857</v>
      </c>
      <c r="BN100" s="417">
        <f t="shared" si="61"/>
        <v>0.30317187715157518</v>
      </c>
      <c r="BO100" s="417">
        <f t="shared" si="61"/>
        <v>8.2805443243048754E-2</v>
      </c>
      <c r="BP100" s="417">
        <f t="shared" si="61"/>
        <v>0</v>
      </c>
      <c r="BQ100" s="417">
        <f t="shared" si="61"/>
        <v>0</v>
      </c>
      <c r="BR100" s="417">
        <f t="shared" si="61"/>
        <v>0</v>
      </c>
      <c r="BS100" s="417">
        <f t="shared" si="61"/>
        <v>0.32374083382262742</v>
      </c>
      <c r="BT100" s="525">
        <f t="shared" si="84"/>
        <v>0.99999999999999989</v>
      </c>
      <c r="BV100" s="527">
        <f t="shared" si="62"/>
        <v>100.8189050917279</v>
      </c>
      <c r="BW100" s="114">
        <f t="shared" si="63"/>
        <v>0.36060772329052165</v>
      </c>
      <c r="BX100" s="1695">
        <f t="shared" si="24"/>
        <v>45.517474780710387</v>
      </c>
      <c r="BY100" s="527">
        <f t="shared" si="64"/>
        <v>100.8189050917279</v>
      </c>
      <c r="BZ100" s="417">
        <f t="shared" si="65"/>
        <v>0.36060772329052165</v>
      </c>
      <c r="CA100" s="544">
        <f t="shared" si="25"/>
        <v>45.517474780710387</v>
      </c>
      <c r="CB100" s="649">
        <f t="shared" si="26"/>
        <v>6.3097402659273327E-2</v>
      </c>
      <c r="CC100" s="525">
        <f t="shared" si="66"/>
        <v>4.7146392566751349E-2</v>
      </c>
      <c r="CD100" s="417">
        <f t="shared" si="27"/>
        <v>6.3097402659273327E-2</v>
      </c>
      <c r="CE100" s="525">
        <f t="shared" si="67"/>
        <v>4.7146392566751349E-2</v>
      </c>
      <c r="CG100" s="527">
        <f t="shared" si="68"/>
        <v>1364.3916529511498</v>
      </c>
      <c r="CH100" s="528">
        <f t="shared" si="69"/>
        <v>547.44573505593632</v>
      </c>
      <c r="CI100" s="528">
        <f t="shared" si="70"/>
        <v>2212.2267992546454</v>
      </c>
      <c r="CJ100" s="528">
        <f t="shared" si="71"/>
        <v>3051.3535141251637</v>
      </c>
      <c r="CK100" s="528">
        <f t="shared" si="72"/>
        <v>40.158334779443209</v>
      </c>
      <c r="CL100" s="528">
        <f t="shared" si="73"/>
        <v>7215.5760361663388</v>
      </c>
      <c r="CM100" s="646">
        <f t="shared" si="74"/>
        <v>0</v>
      </c>
    </row>
    <row r="101" spans="1:91">
      <c r="A101" s="873">
        <f>'Input data'!A121</f>
        <v>2021</v>
      </c>
      <c r="B101" s="1553">
        <f>'Input data'!B121</f>
        <v>59.991580449204264</v>
      </c>
      <c r="C101" s="1552">
        <f>'Input data'!C121</f>
        <v>3018.4380966643439</v>
      </c>
      <c r="D101" s="1552">
        <f>'Input data'!D121</f>
        <v>45871162.972715415</v>
      </c>
      <c r="E101" s="1457">
        <f t="shared" si="75"/>
        <v>0.80255384615384628</v>
      </c>
      <c r="F101" s="1451">
        <f t="shared" si="76"/>
        <v>0.31433846153846157</v>
      </c>
      <c r="G101" s="1556">
        <f>B101*F101*'Input data'!$C$9</f>
        <v>577.1781389317141</v>
      </c>
      <c r="H101" s="1544">
        <f>'Input data'!I121</f>
        <v>424.26313389388866</v>
      </c>
      <c r="I101" s="1511">
        <f>'Input data'!K121</f>
        <v>25452.215928626742</v>
      </c>
      <c r="J101" s="1511">
        <f>J97*0.65</f>
        <v>7243.6204632745166</v>
      </c>
      <c r="K101" s="1513">
        <f t="shared" si="77"/>
        <v>4584.4938240444126</v>
      </c>
      <c r="L101" s="1506">
        <f t="shared" si="28"/>
        <v>0.61692307692307702</v>
      </c>
      <c r="M101" s="1506">
        <f t="shared" si="29"/>
        <v>0.48715384615384622</v>
      </c>
      <c r="N101" s="1506">
        <f t="shared" si="30"/>
        <v>0.76984615384615374</v>
      </c>
      <c r="O101" s="1506">
        <f t="shared" si="31"/>
        <v>0.8307692307692307</v>
      </c>
      <c r="P101" s="1506">
        <f t="shared" si="32"/>
        <v>0.23600000000000002</v>
      </c>
      <c r="Q101" s="1510">
        <f t="shared" si="33"/>
        <v>83.854267924368514</v>
      </c>
      <c r="R101" s="1511">
        <f t="shared" si="34"/>
        <v>58.51611439285017</v>
      </c>
      <c r="S101" s="1511">
        <f t="shared" si="35"/>
        <v>171.35941615291358</v>
      </c>
      <c r="T101" s="1511">
        <f t="shared" si="36"/>
        <v>115.38270365905373</v>
      </c>
      <c r="U101" s="1513">
        <f t="shared" si="37"/>
        <v>0</v>
      </c>
      <c r="V101" s="1511">
        <f t="shared" si="38"/>
        <v>429.112502129186</v>
      </c>
      <c r="W101" s="1456">
        <v>0.4</v>
      </c>
      <c r="X101" s="530">
        <f t="shared" si="39"/>
        <v>2426.7883762416568</v>
      </c>
      <c r="Y101" s="1510">
        <f t="shared" si="78"/>
        <v>2855.9008783708427</v>
      </c>
      <c r="Z101" s="1511">
        <f t="shared" si="79"/>
        <v>8972.213408948086</v>
      </c>
      <c r="AA101" s="1513">
        <f t="shared" si="80"/>
        <v>1728.5929456735694</v>
      </c>
      <c r="AB101" s="1091">
        <f t="shared" si="40"/>
        <v>0.19266070331648874</v>
      </c>
      <c r="AC101" s="135" t="str">
        <f t="shared" si="41"/>
        <v>Yes</v>
      </c>
      <c r="AD101" s="1091">
        <f t="shared" si="42"/>
        <v>0.19266070331648874</v>
      </c>
      <c r="AE101" s="649">
        <f t="shared" si="10"/>
        <v>9.726841017376453E-2</v>
      </c>
      <c r="AF101" s="530">
        <f t="shared" si="43"/>
        <v>382.99573336469109</v>
      </c>
      <c r="AG101" s="528">
        <f t="shared" si="44"/>
        <v>7243.6204632745166</v>
      </c>
      <c r="AH101" s="528">
        <f t="shared" si="81"/>
        <v>7405.9355442178767</v>
      </c>
      <c r="AI101" s="528">
        <f t="shared" si="82"/>
        <v>5830.9633715541659</v>
      </c>
      <c r="AJ101" s="528">
        <f t="shared" si="11"/>
        <v>2495.9999708032969</v>
      </c>
      <c r="AK101" s="528">
        <f t="shared" si="45"/>
        <v>22976.519349849852</v>
      </c>
      <c r="AL101" s="716">
        <f t="shared" si="12"/>
        <v>0</v>
      </c>
      <c r="AM101" s="417">
        <f t="shared" si="46"/>
        <v>0.31526187030246827</v>
      </c>
      <c r="AN101" s="417">
        <f t="shared" si="47"/>
        <v>0.32232625975466878</v>
      </c>
      <c r="AO101" s="417">
        <f t="shared" si="48"/>
        <v>0.25377922925442015</v>
      </c>
      <c r="AP101" s="417">
        <f t="shared" si="49"/>
        <v>0.108632640688443</v>
      </c>
      <c r="AQ101" s="417">
        <f t="shared" si="50"/>
        <v>1.0000000000000002</v>
      </c>
      <c r="AR101" s="1086">
        <f t="shared" si="13"/>
        <v>1428.1962066120468</v>
      </c>
      <c r="AS101" s="938">
        <f t="shared" si="14"/>
        <v>1811.3391693501608</v>
      </c>
      <c r="AT101" s="938">
        <f t="shared" si="15"/>
        <v>495.69314011643525</v>
      </c>
      <c r="AU101" s="938">
        <f t="shared" si="16"/>
        <v>0</v>
      </c>
      <c r="AV101" s="938">
        <f t="shared" si="17"/>
        <v>0</v>
      </c>
      <c r="AW101" s="938">
        <f t="shared" si="18"/>
        <v>0</v>
      </c>
      <c r="AX101" s="938">
        <f t="shared" si="19"/>
        <v>2397.9866316299795</v>
      </c>
      <c r="AY101" s="938">
        <f t="shared" si="20"/>
        <v>299.45183426330141</v>
      </c>
      <c r="AZ101" s="938">
        <f t="shared" si="21"/>
        <v>365.5730292421627</v>
      </c>
      <c r="BA101" s="938">
        <f t="shared" si="22"/>
        <v>349.83112675197412</v>
      </c>
      <c r="BB101" s="938">
        <f t="shared" si="23"/>
        <v>95.549325308454769</v>
      </c>
      <c r="BC101" s="530">
        <f t="shared" si="51"/>
        <v>7243.6204632745166</v>
      </c>
      <c r="BD101" s="724">
        <f t="shared" si="52"/>
        <v>0</v>
      </c>
      <c r="BE101" s="436">
        <f t="shared" si="53"/>
        <v>0.19716607376836848</v>
      </c>
      <c r="BF101" s="624">
        <f t="shared" si="54"/>
        <v>0.2500599221803147</v>
      </c>
      <c r="BG101" s="624">
        <f t="shared" si="55"/>
        <v>6.8431683110624295E-2</v>
      </c>
      <c r="BH101" s="624">
        <f t="shared" si="56"/>
        <v>0</v>
      </c>
      <c r="BI101" s="624">
        <f t="shared" si="57"/>
        <v>0</v>
      </c>
      <c r="BJ101" s="624">
        <f t="shared" si="58"/>
        <v>0</v>
      </c>
      <c r="BK101" s="624">
        <f t="shared" si="59"/>
        <v>0.48434232094069229</v>
      </c>
      <c r="BL101" s="624">
        <f t="shared" si="60"/>
        <v>0.99999999999999978</v>
      </c>
      <c r="BM101" s="649">
        <f t="shared" si="83"/>
        <v>0.29028184578274857</v>
      </c>
      <c r="BN101" s="417">
        <f t="shared" si="61"/>
        <v>0.30317187715157518</v>
      </c>
      <c r="BO101" s="417">
        <f t="shared" si="61"/>
        <v>8.2805443243048754E-2</v>
      </c>
      <c r="BP101" s="417">
        <f t="shared" si="61"/>
        <v>0</v>
      </c>
      <c r="BQ101" s="417">
        <f t="shared" si="61"/>
        <v>0</v>
      </c>
      <c r="BR101" s="417">
        <f t="shared" si="61"/>
        <v>0</v>
      </c>
      <c r="BS101" s="417">
        <f t="shared" si="61"/>
        <v>0.32374083382262742</v>
      </c>
      <c r="BT101" s="525">
        <f t="shared" si="84"/>
        <v>0.99999999999999989</v>
      </c>
      <c r="BV101" s="527">
        <f t="shared" si="62"/>
        <v>91.192908137843304</v>
      </c>
      <c r="BW101" s="114">
        <f t="shared" si="63"/>
        <v>0.43274721745870259</v>
      </c>
      <c r="BX101" s="1695">
        <f t="shared" si="24"/>
        <v>45.871162972715418</v>
      </c>
      <c r="BY101" s="527">
        <f t="shared" si="64"/>
        <v>91.192908137843304</v>
      </c>
      <c r="BZ101" s="417">
        <f t="shared" si="65"/>
        <v>0.43274721745870259</v>
      </c>
      <c r="CA101" s="544">
        <f t="shared" si="25"/>
        <v>45.871162972715418</v>
      </c>
      <c r="CB101" s="649">
        <f t="shared" si="26"/>
        <v>9.726841017376453E-2</v>
      </c>
      <c r="CC101" s="525">
        <f t="shared" si="66"/>
        <v>0.17119814042650427</v>
      </c>
      <c r="CD101" s="417">
        <f t="shared" si="27"/>
        <v>9.726841017376453E-2</v>
      </c>
      <c r="CE101" s="525">
        <f t="shared" si="67"/>
        <v>0.17119814042650427</v>
      </c>
      <c r="CG101" s="527">
        <f t="shared" si="68"/>
        <v>1401.0650599029839</v>
      </c>
      <c r="CH101" s="528">
        <f t="shared" si="69"/>
        <v>568.37814792932511</v>
      </c>
      <c r="CI101" s="528">
        <f t="shared" si="70"/>
        <v>2280.5386128435684</v>
      </c>
      <c r="CJ101" s="528">
        <f t="shared" si="71"/>
        <v>3115.3329987944608</v>
      </c>
      <c r="CK101" s="528">
        <f t="shared" si="72"/>
        <v>40.620724747537743</v>
      </c>
      <c r="CL101" s="528">
        <f t="shared" si="73"/>
        <v>7405.9355442178758</v>
      </c>
      <c r="CM101" s="646">
        <f t="shared" si="74"/>
        <v>0</v>
      </c>
    </row>
    <row r="102" spans="1:91" s="464" customFormat="1">
      <c r="A102" s="150">
        <f>'Input data'!A122</f>
        <v>2022</v>
      </c>
      <c r="B102" s="1508">
        <f>'Input data'!B122</f>
        <v>60.682333816399378</v>
      </c>
      <c r="C102" s="1509">
        <f>'Input data'!C122</f>
        <v>3086.0582602351519</v>
      </c>
      <c r="D102" s="1509">
        <f>'Input data'!D122</f>
        <v>45764081.347342722</v>
      </c>
      <c r="E102" s="1457">
        <f t="shared" si="75"/>
        <v>0.82449230769230786</v>
      </c>
      <c r="F102" s="1451">
        <f t="shared" si="76"/>
        <v>0.32052307692307697</v>
      </c>
      <c r="G102" s="1556">
        <f>B102*F102*'Input data'!$C$9</f>
        <v>595.31061323185247</v>
      </c>
      <c r="H102" s="1551">
        <f>'Input data'!I122</f>
        <v>424.26313389388866</v>
      </c>
      <c r="I102" s="1559">
        <f>'Input data'!K122</f>
        <v>25745.277116940699</v>
      </c>
      <c r="J102" s="1559">
        <f>J97*(1-$G$4)</f>
        <v>5572.0157409803969</v>
      </c>
      <c r="K102" s="1513">
        <f t="shared" si="77"/>
        <v>6392.2894869731472</v>
      </c>
      <c r="L102" s="1506">
        <f t="shared" si="28"/>
        <v>0.62615384615384628</v>
      </c>
      <c r="M102" s="1506">
        <f t="shared" si="29"/>
        <v>0.49969230769230777</v>
      </c>
      <c r="N102" s="1506">
        <f t="shared" si="30"/>
        <v>0.78430769230769215</v>
      </c>
      <c r="O102" s="1506">
        <f t="shared" si="31"/>
        <v>0.83846153846153837</v>
      </c>
      <c r="P102" s="1451">
        <f t="shared" si="32"/>
        <v>0.23600000000000002</v>
      </c>
      <c r="Q102" s="1510">
        <f t="shared" si="33"/>
        <v>106.02472547011826</v>
      </c>
      <c r="R102" s="1511">
        <f t="shared" si="34"/>
        <v>73.987348737881234</v>
      </c>
      <c r="S102" s="1511">
        <f t="shared" si="35"/>
        <v>216.66559739951617</v>
      </c>
      <c r="T102" s="1511">
        <f t="shared" si="36"/>
        <v>145.88904992271819</v>
      </c>
      <c r="U102" s="1513">
        <f t="shared" si="37"/>
        <v>0</v>
      </c>
      <c r="V102" s="1511">
        <f t="shared" si="38"/>
        <v>542.56672153023385</v>
      </c>
      <c r="W102" s="1456">
        <f>$E$26</f>
        <v>0.5</v>
      </c>
      <c r="X102" s="530">
        <f t="shared" si="39"/>
        <v>3033.4854703020706</v>
      </c>
      <c r="Y102" s="1510">
        <f t="shared" si="78"/>
        <v>3576.0521918323043</v>
      </c>
      <c r="Z102" s="1511">
        <f t="shared" si="79"/>
        <v>8388.2530361212393</v>
      </c>
      <c r="AA102" s="1513">
        <f t="shared" si="80"/>
        <v>2816.2372951408424</v>
      </c>
      <c r="AB102" s="1091">
        <f t="shared" si="40"/>
        <v>0.33573585382005611</v>
      </c>
      <c r="AC102" s="135" t="str">
        <f t="shared" si="41"/>
        <v>Yes</v>
      </c>
      <c r="AD102" s="1091">
        <f t="shared" si="42"/>
        <v>0.33573585382005611</v>
      </c>
      <c r="AE102" s="649">
        <f t="shared" si="10"/>
        <v>0.15764324460297707</v>
      </c>
      <c r="AF102" s="530">
        <f t="shared" si="43"/>
        <v>357.3809169014288</v>
      </c>
      <c r="AG102" s="528">
        <f t="shared" si="44"/>
        <v>5572.0157409803969</v>
      </c>
      <c r="AH102" s="528">
        <f t="shared" si="81"/>
        <v>7599.7221031332629</v>
      </c>
      <c r="AI102" s="528">
        <f t="shared" si="82"/>
        <v>6437.6604656145792</v>
      </c>
      <c r="AJ102" s="528">
        <f t="shared" si="11"/>
        <v>2077.3097892951496</v>
      </c>
      <c r="AK102" s="528">
        <f t="shared" si="45"/>
        <v>21686.708099023388</v>
      </c>
      <c r="AL102" s="716">
        <f t="shared" si="12"/>
        <v>0</v>
      </c>
      <c r="AM102" s="417">
        <f t="shared" si="46"/>
        <v>0.25693229767920933</v>
      </c>
      <c r="AN102" s="417">
        <f t="shared" si="47"/>
        <v>0.35043225871037104</v>
      </c>
      <c r="AO102" s="417">
        <f t="shared" si="48"/>
        <v>0.29684820933724304</v>
      </c>
      <c r="AP102" s="417">
        <f t="shared" si="49"/>
        <v>9.5787234273176591E-2</v>
      </c>
      <c r="AQ102" s="417">
        <f t="shared" si="50"/>
        <v>1</v>
      </c>
      <c r="AR102" s="1086">
        <f t="shared" si="13"/>
        <v>1019.135616310381</v>
      </c>
      <c r="AS102" s="938">
        <f t="shared" si="14"/>
        <v>1292.5396749805643</v>
      </c>
      <c r="AT102" s="938">
        <f t="shared" si="15"/>
        <v>398.45767442509401</v>
      </c>
      <c r="AU102" s="938">
        <f t="shared" si="16"/>
        <v>0</v>
      </c>
      <c r="AV102" s="938">
        <f t="shared" si="17"/>
        <v>0</v>
      </c>
      <c r="AW102" s="938">
        <f t="shared" si="18"/>
        <v>0</v>
      </c>
      <c r="AX102" s="938">
        <f t="shared" si="19"/>
        <v>1995.737645333661</v>
      </c>
      <c r="AY102" s="938">
        <f t="shared" si="20"/>
        <v>239.39101771219828</v>
      </c>
      <c r="AZ102" s="938">
        <f t="shared" si="21"/>
        <v>275.46553916226009</v>
      </c>
      <c r="BA102" s="938">
        <f t="shared" si="22"/>
        <v>271.76711827035427</v>
      </c>
      <c r="BB102" s="938">
        <f t="shared" si="23"/>
        <v>79.521454785883094</v>
      </c>
      <c r="BC102" s="530">
        <f t="shared" si="51"/>
        <v>5572.015740980396</v>
      </c>
      <c r="BD102" s="724">
        <f t="shared" si="52"/>
        <v>0</v>
      </c>
      <c r="BE102" s="436">
        <f t="shared" si="53"/>
        <v>0.18290250130037575</v>
      </c>
      <c r="BF102" s="624">
        <f t="shared" si="54"/>
        <v>0.2319698534722987</v>
      </c>
      <c r="BG102" s="624">
        <f t="shared" si="55"/>
        <v>7.1510507677601323E-2</v>
      </c>
      <c r="BH102" s="624">
        <f t="shared" si="56"/>
        <v>0</v>
      </c>
      <c r="BI102" s="624">
        <f t="shared" si="57"/>
        <v>0</v>
      </c>
      <c r="BJ102" s="624">
        <f t="shared" si="58"/>
        <v>0</v>
      </c>
      <c r="BK102" s="624">
        <f t="shared" si="59"/>
        <v>0.51361713754972427</v>
      </c>
      <c r="BL102" s="624">
        <f t="shared" si="60"/>
        <v>1</v>
      </c>
      <c r="BM102" s="649">
        <f t="shared" si="83"/>
        <v>0.29028184578274857</v>
      </c>
      <c r="BN102" s="417">
        <f t="shared" si="61"/>
        <v>0.30317187715157518</v>
      </c>
      <c r="BO102" s="417">
        <f t="shared" si="61"/>
        <v>8.2805443243048754E-2</v>
      </c>
      <c r="BP102" s="417">
        <f t="shared" si="61"/>
        <v>0</v>
      </c>
      <c r="BQ102" s="417">
        <f t="shared" si="61"/>
        <v>0</v>
      </c>
      <c r="BR102" s="417">
        <f t="shared" si="61"/>
        <v>0</v>
      </c>
      <c r="BS102" s="417">
        <f t="shared" si="61"/>
        <v>0.32374083382262742</v>
      </c>
      <c r="BT102" s="525">
        <f t="shared" si="84"/>
        <v>0.99999999999999989</v>
      </c>
      <c r="BU102" s="1"/>
      <c r="BV102" s="527">
        <f t="shared" si="62"/>
        <v>84.079382376176127</v>
      </c>
      <c r="BW102" s="114">
        <f t="shared" si="63"/>
        <v>0.49378635898790341</v>
      </c>
      <c r="BX102" s="1695">
        <f t="shared" si="24"/>
        <v>45.764081347342724</v>
      </c>
      <c r="BY102" s="527">
        <f t="shared" si="64"/>
        <v>84.079382376176127</v>
      </c>
      <c r="BZ102" s="417">
        <f t="shared" si="65"/>
        <v>0.49378635898790341</v>
      </c>
      <c r="CA102" s="544">
        <f t="shared" si="25"/>
        <v>45.764081347342724</v>
      </c>
      <c r="CB102" s="649">
        <f t="shared" si="26"/>
        <v>0.15764324460297707</v>
      </c>
      <c r="CC102" s="525">
        <f t="shared" si="66"/>
        <v>0.24842959848266077</v>
      </c>
      <c r="CD102" s="417">
        <f t="shared" si="27"/>
        <v>0.15764324460297707</v>
      </c>
      <c r="CE102" s="525">
        <f t="shared" si="67"/>
        <v>0.24842959848266077</v>
      </c>
      <c r="CF102" s="1"/>
      <c r="CG102" s="527">
        <f t="shared" si="68"/>
        <v>1438.4021088779325</v>
      </c>
      <c r="CH102" s="528">
        <f t="shared" si="69"/>
        <v>589.72002135125922</v>
      </c>
      <c r="CI102" s="528">
        <f t="shared" si="70"/>
        <v>2350.1302458356136</v>
      </c>
      <c r="CJ102" s="528">
        <f t="shared" si="71"/>
        <v>3180.3812883152686</v>
      </c>
      <c r="CK102" s="528">
        <f t="shared" si="72"/>
        <v>41.088438753189351</v>
      </c>
      <c r="CL102" s="528">
        <f t="shared" si="73"/>
        <v>7599.7221031332638</v>
      </c>
      <c r="CM102" s="646">
        <f t="shared" si="74"/>
        <v>0</v>
      </c>
    </row>
    <row r="103" spans="1:91" s="4" customFormat="1">
      <c r="A103" s="150">
        <f>'Input data'!A123</f>
        <v>2023</v>
      </c>
      <c r="B103" s="1508">
        <f>'Input data'!B123</f>
        <v>61.381040636574369</v>
      </c>
      <c r="C103" s="1509">
        <f>'Input data'!C123</f>
        <v>3153.9083559128044</v>
      </c>
      <c r="D103" s="1509">
        <f>'Input data'!D123</f>
        <v>45569695.474175937</v>
      </c>
      <c r="E103" s="1457">
        <f t="shared" si="75"/>
        <v>0.84643076923076943</v>
      </c>
      <c r="F103" s="1451">
        <f t="shared" si="76"/>
        <v>0.32670769230769237</v>
      </c>
      <c r="G103" s="1556">
        <f>B103*F103*'Input data'!$C$9</f>
        <v>613.78412832495871</v>
      </c>
      <c r="H103" s="1551">
        <f>'Input data'!I123</f>
        <v>424.26313389388866</v>
      </c>
      <c r="I103" s="1559">
        <f>'Input data'!K123</f>
        <v>26041.712662141173</v>
      </c>
      <c r="J103" s="1559">
        <f>($J$107-$J$102)/($A$107-$A$102)+J102</f>
        <v>5237.6947965215732</v>
      </c>
      <c r="K103" s="1513">
        <f t="shared" si="77"/>
        <v>6864.3694979622578</v>
      </c>
      <c r="L103" s="1506">
        <f t="shared" si="28"/>
        <v>0.63538461538461555</v>
      </c>
      <c r="M103" s="1506">
        <f t="shared" si="29"/>
        <v>0.51223076923076927</v>
      </c>
      <c r="N103" s="1506">
        <f t="shared" si="30"/>
        <v>0.79876923076923056</v>
      </c>
      <c r="O103" s="1506">
        <f t="shared" si="31"/>
        <v>0.84615384615384603</v>
      </c>
      <c r="P103" s="1451">
        <f t="shared" si="32"/>
        <v>0.23600000000000002</v>
      </c>
      <c r="Q103" s="1510">
        <f t="shared" si="33"/>
        <v>128.6946148561783</v>
      </c>
      <c r="R103" s="1511">
        <f t="shared" si="34"/>
        <v>89.807102143687757</v>
      </c>
      <c r="S103" s="1511">
        <f t="shared" si="35"/>
        <v>262.99238678786514</v>
      </c>
      <c r="T103" s="1511">
        <f t="shared" si="36"/>
        <v>177.08260981849526</v>
      </c>
      <c r="U103" s="1513">
        <f t="shared" si="37"/>
        <v>0</v>
      </c>
      <c r="V103" s="1511">
        <f t="shared" si="38"/>
        <v>658.57671360622646</v>
      </c>
      <c r="W103" s="1456">
        <f>($N$147-$N$142)/($A$107-$A$102)+W102</f>
        <v>0.5</v>
      </c>
      <c r="X103" s="530">
        <f t="shared" si="39"/>
        <v>3033.4854703020706</v>
      </c>
      <c r="Y103" s="1510">
        <f t="shared" si="78"/>
        <v>3692.0621839082969</v>
      </c>
      <c r="Z103" s="1511">
        <f t="shared" si="79"/>
        <v>8410.0021105755332</v>
      </c>
      <c r="AA103" s="1513">
        <f t="shared" si="80"/>
        <v>3172.30731405396</v>
      </c>
      <c r="AB103" s="1091">
        <f t="shared" si="40"/>
        <v>0.37720648251262628</v>
      </c>
      <c r="AC103" s="135" t="str">
        <f t="shared" si="41"/>
        <v>Yes</v>
      </c>
      <c r="AD103" s="1091">
        <f t="shared" si="42"/>
        <v>0.37720648251262628</v>
      </c>
      <c r="AE103" s="649">
        <f t="shared" si="10"/>
        <v>0.17661362793734681</v>
      </c>
      <c r="AF103" s="530">
        <f t="shared" si="43"/>
        <v>349.33248261682064</v>
      </c>
      <c r="AG103" s="528">
        <f t="shared" si="44"/>
        <v>5237.6947965215732</v>
      </c>
      <c r="AH103" s="528">
        <f t="shared" si="81"/>
        <v>7796.9893950863434</v>
      </c>
      <c r="AI103" s="528">
        <f t="shared" si="82"/>
        <v>6437.6604656145792</v>
      </c>
      <c r="AJ103" s="528">
        <f t="shared" si="11"/>
        <v>1970.0466539559834</v>
      </c>
      <c r="AK103" s="528">
        <f t="shared" si="45"/>
        <v>21442.391311178479</v>
      </c>
      <c r="AL103" s="716">
        <f t="shared" si="12"/>
        <v>0</v>
      </c>
      <c r="AM103" s="417">
        <f t="shared" si="46"/>
        <v>0.24426822179068367</v>
      </c>
      <c r="AN103" s="417">
        <f t="shared" si="47"/>
        <v>0.36362499321713104</v>
      </c>
      <c r="AO103" s="417">
        <f t="shared" si="48"/>
        <v>0.30023052803156608</v>
      </c>
      <c r="AP103" s="417">
        <f t="shared" si="49"/>
        <v>9.1876256960619254E-2</v>
      </c>
      <c r="AQ103" s="417">
        <f t="shared" si="50"/>
        <v>1</v>
      </c>
      <c r="AR103" s="1086">
        <f t="shared" si="13"/>
        <v>976.10205422369711</v>
      </c>
      <c r="AS103" s="938">
        <f t="shared" si="14"/>
        <v>1237.9614761004675</v>
      </c>
      <c r="AT103" s="938">
        <f t="shared" si="15"/>
        <v>364.52471174043808</v>
      </c>
      <c r="AU103" s="938">
        <f t="shared" si="16"/>
        <v>0</v>
      </c>
      <c r="AV103" s="938">
        <f t="shared" si="17"/>
        <v>0</v>
      </c>
      <c r="AW103" s="938">
        <f t="shared" si="18"/>
        <v>0</v>
      </c>
      <c r="AX103" s="938">
        <f t="shared" si="19"/>
        <v>1892.6865365120302</v>
      </c>
      <c r="AY103" s="938">
        <f t="shared" si="20"/>
        <v>217.70803893721899</v>
      </c>
      <c r="AZ103" s="938">
        <f t="shared" si="21"/>
        <v>233.94338542908716</v>
      </c>
      <c r="BA103" s="938">
        <f t="shared" si="22"/>
        <v>239.35327674628138</v>
      </c>
      <c r="BB103" s="938">
        <f t="shared" si="23"/>
        <v>75.415316832352445</v>
      </c>
      <c r="BC103" s="530">
        <f t="shared" si="51"/>
        <v>5237.6947965215732</v>
      </c>
      <c r="BD103" s="724">
        <f t="shared" si="52"/>
        <v>0</v>
      </c>
      <c r="BE103" s="436">
        <f t="shared" si="53"/>
        <v>0.18636100272049838</v>
      </c>
      <c r="BF103" s="624">
        <f t="shared" si="54"/>
        <v>0.23635616892427852</v>
      </c>
      <c r="BG103" s="624">
        <f t="shared" si="55"/>
        <v>6.9596401833593682E-2</v>
      </c>
      <c r="BH103" s="624">
        <f t="shared" si="56"/>
        <v>0</v>
      </c>
      <c r="BI103" s="624">
        <f t="shared" si="57"/>
        <v>0</v>
      </c>
      <c r="BJ103" s="624">
        <f t="shared" si="58"/>
        <v>0</v>
      </c>
      <c r="BK103" s="624">
        <f t="shared" si="59"/>
        <v>0.50768642652162943</v>
      </c>
      <c r="BL103" s="624">
        <f t="shared" si="60"/>
        <v>1</v>
      </c>
      <c r="BM103" s="649">
        <f t="shared" si="83"/>
        <v>0.29028184578274857</v>
      </c>
      <c r="BN103" s="417">
        <f t="shared" si="61"/>
        <v>0.30317187715157518</v>
      </c>
      <c r="BO103" s="417">
        <f t="shared" si="61"/>
        <v>8.2805443243048754E-2</v>
      </c>
      <c r="BP103" s="417">
        <f t="shared" si="61"/>
        <v>0</v>
      </c>
      <c r="BQ103" s="417">
        <f t="shared" si="61"/>
        <v>0</v>
      </c>
      <c r="BR103" s="417">
        <f t="shared" si="61"/>
        <v>0</v>
      </c>
      <c r="BS103" s="417">
        <f t="shared" si="61"/>
        <v>0.32374083382262742</v>
      </c>
      <c r="BT103" s="525">
        <f t="shared" si="84"/>
        <v>0.99999999999999989</v>
      </c>
      <c r="BU103"/>
      <c r="BV103" s="527">
        <f t="shared" si="62"/>
        <v>83.98974440871261</v>
      </c>
      <c r="BW103" s="114">
        <f t="shared" si="63"/>
        <v>0.51322278306491953</v>
      </c>
      <c r="BX103" s="1695">
        <f t="shared" si="24"/>
        <v>45.569695474175937</v>
      </c>
      <c r="BY103" s="527">
        <f t="shared" si="64"/>
        <v>83.98974440871261</v>
      </c>
      <c r="BZ103" s="417">
        <f t="shared" si="65"/>
        <v>0.51322278306491953</v>
      </c>
      <c r="CA103" s="544">
        <f t="shared" si="25"/>
        <v>45.569695474175937</v>
      </c>
      <c r="CB103" s="649">
        <f t="shared" si="26"/>
        <v>0.17661362793734681</v>
      </c>
      <c r="CC103" s="525">
        <f t="shared" si="66"/>
        <v>0.25219312256056914</v>
      </c>
      <c r="CD103" s="417">
        <f t="shared" si="27"/>
        <v>0.17661362793734681</v>
      </c>
      <c r="CE103" s="525">
        <f t="shared" si="67"/>
        <v>0.25219312256056914</v>
      </c>
      <c r="CF103"/>
      <c r="CG103" s="527">
        <f t="shared" si="68"/>
        <v>1476.4132204333737</v>
      </c>
      <c r="CH103" s="528">
        <f t="shared" si="69"/>
        <v>611.47800938120383</v>
      </c>
      <c r="CI103" s="528">
        <f t="shared" si="70"/>
        <v>2421.0221138343977</v>
      </c>
      <c r="CJ103" s="528">
        <f t="shared" si="71"/>
        <v>3246.5145133390856</v>
      </c>
      <c r="CK103" s="528">
        <f t="shared" si="72"/>
        <v>41.561538098281396</v>
      </c>
      <c r="CL103" s="528">
        <f t="shared" si="73"/>
        <v>7796.9893950863425</v>
      </c>
      <c r="CM103" s="646">
        <f t="shared" si="74"/>
        <v>0</v>
      </c>
    </row>
    <row r="104" spans="1:91" s="4" customFormat="1">
      <c r="A104" s="150">
        <f>'Input data'!A124</f>
        <v>2024</v>
      </c>
      <c r="B104" s="1508">
        <f>'Input data'!B124</f>
        <v>62.087792487153699</v>
      </c>
      <c r="C104" s="1509">
        <f>'Input data'!C124</f>
        <v>3232.6126442228219</v>
      </c>
      <c r="D104" s="1509">
        <f>'Input data'!D124</f>
        <v>46327457.455900244</v>
      </c>
      <c r="E104" s="1457">
        <f t="shared" si="75"/>
        <v>0.868369230769231</v>
      </c>
      <c r="F104" s="1451">
        <f t="shared" si="76"/>
        <v>0.33289230769230777</v>
      </c>
      <c r="G104" s="1556">
        <f>B104*F104*'Input data'!$C$9</f>
        <v>632.60413388193626</v>
      </c>
      <c r="H104" s="1551">
        <f>'Input data'!I124</f>
        <v>424.26313389388866</v>
      </c>
      <c r="I104" s="1559">
        <f>'Input data'!K124</f>
        <v>26341.561417153265</v>
      </c>
      <c r="J104" s="1559">
        <f t="shared" ref="J104:J106" si="85">($J$107-$J$102)/($A$107-$A$102)+J103</f>
        <v>4903.3738520627494</v>
      </c>
      <c r="K104" s="1513">
        <f t="shared" si="77"/>
        <v>7338.035690518097</v>
      </c>
      <c r="L104" s="1506">
        <f t="shared" si="28"/>
        <v>0.64461538461538481</v>
      </c>
      <c r="M104" s="1506">
        <f t="shared" si="29"/>
        <v>0.52476923076923077</v>
      </c>
      <c r="N104" s="1506">
        <f t="shared" si="30"/>
        <v>0.81323076923076898</v>
      </c>
      <c r="O104" s="1506">
        <f t="shared" si="31"/>
        <v>0.8538461538461537</v>
      </c>
      <c r="P104" s="1451">
        <f t="shared" si="32"/>
        <v>0.23600000000000002</v>
      </c>
      <c r="Q104" s="1510">
        <f t="shared" si="33"/>
        <v>151.87249789664475</v>
      </c>
      <c r="R104" s="1511">
        <f t="shared" si="34"/>
        <v>105.98134931025186</v>
      </c>
      <c r="S104" s="1511">
        <f t="shared" si="35"/>
        <v>310.35728071380208</v>
      </c>
      <c r="T104" s="1511">
        <f t="shared" si="36"/>
        <v>208.97516432406155</v>
      </c>
      <c r="U104" s="1513">
        <f t="shared" si="37"/>
        <v>0</v>
      </c>
      <c r="V104" s="1511">
        <f t="shared" si="38"/>
        <v>777.18629224476024</v>
      </c>
      <c r="W104" s="1456">
        <f>($N$147-$N$142)/($A$107-$A$102)+W103</f>
        <v>0.5</v>
      </c>
      <c r="X104" s="530">
        <f t="shared" si="39"/>
        <v>3033.4854703020706</v>
      </c>
      <c r="Y104" s="1510">
        <f t="shared" si="78"/>
        <v>3810.6717625468309</v>
      </c>
      <c r="Z104" s="1511">
        <f t="shared" si="79"/>
        <v>8430.7377800340146</v>
      </c>
      <c r="AA104" s="1513">
        <f t="shared" si="80"/>
        <v>3527.3639279712652</v>
      </c>
      <c r="AB104" s="1091">
        <f t="shared" si="40"/>
        <v>0.41839326758862067</v>
      </c>
      <c r="AC104" s="135" t="str">
        <f t="shared" si="41"/>
        <v>Yes</v>
      </c>
      <c r="AD104" s="1091">
        <f t="shared" si="42"/>
        <v>0.41839326758862067</v>
      </c>
      <c r="AE104" s="649">
        <f t="shared" si="10"/>
        <v>0.19519681863773264</v>
      </c>
      <c r="AF104" s="530">
        <f t="shared" si="43"/>
        <v>341.44831989252719</v>
      </c>
      <c r="AG104" s="528">
        <f t="shared" si="44"/>
        <v>4903.3738520627494</v>
      </c>
      <c r="AH104" s="528">
        <f t="shared" si="81"/>
        <v>7997.7918841172896</v>
      </c>
      <c r="AI104" s="528">
        <f t="shared" si="82"/>
        <v>6437.6604656145792</v>
      </c>
      <c r="AJ104" s="528">
        <f t="shared" si="11"/>
        <v>1860.9462287798847</v>
      </c>
      <c r="AK104" s="528">
        <f t="shared" si="45"/>
        <v>21199.772430574503</v>
      </c>
      <c r="AL104" s="716">
        <f t="shared" si="12"/>
        <v>0</v>
      </c>
      <c r="AM104" s="417">
        <f t="shared" si="46"/>
        <v>0.23129370223762682</v>
      </c>
      <c r="AN104" s="417">
        <f t="shared" si="47"/>
        <v>0.37725838380146015</v>
      </c>
      <c r="AO104" s="417">
        <f t="shared" si="48"/>
        <v>0.3036664891897673</v>
      </c>
      <c r="AP104" s="417">
        <f t="shared" si="49"/>
        <v>8.7781424771145714E-2</v>
      </c>
      <c r="AQ104" s="417">
        <f t="shared" si="50"/>
        <v>1</v>
      </c>
      <c r="AR104" s="1086">
        <f t="shared" si="13"/>
        <v>931.00179754693477</v>
      </c>
      <c r="AS104" s="938">
        <f t="shared" si="14"/>
        <v>1180.7621493635941</v>
      </c>
      <c r="AT104" s="938">
        <f t="shared" si="15"/>
        <v>331.71889252091779</v>
      </c>
      <c r="AU104" s="938">
        <f t="shared" si="16"/>
        <v>0</v>
      </c>
      <c r="AV104" s="938">
        <f t="shared" si="17"/>
        <v>0</v>
      </c>
      <c r="AW104" s="938">
        <f t="shared" si="18"/>
        <v>0</v>
      </c>
      <c r="AX104" s="938">
        <f t="shared" si="19"/>
        <v>1787.8702848542894</v>
      </c>
      <c r="AY104" s="938">
        <f t="shared" si="20"/>
        <v>196.84581352580756</v>
      </c>
      <c r="AZ104" s="938">
        <f t="shared" si="21"/>
        <v>195.20113597325738</v>
      </c>
      <c r="BA104" s="938">
        <f t="shared" si="22"/>
        <v>208.73493265488335</v>
      </c>
      <c r="BB104" s="938">
        <f t="shared" si="23"/>
        <v>71.238845623065188</v>
      </c>
      <c r="BC104" s="530">
        <f t="shared" si="51"/>
        <v>4903.3738520627512</v>
      </c>
      <c r="BD104" s="724">
        <f t="shared" si="52"/>
        <v>0</v>
      </c>
      <c r="BE104" s="436">
        <f t="shared" si="53"/>
        <v>0.18986963377374966</v>
      </c>
      <c r="BF104" s="624">
        <f t="shared" si="54"/>
        <v>0.24080606231296661</v>
      </c>
      <c r="BG104" s="624">
        <f t="shared" si="55"/>
        <v>6.7651152559246586E-2</v>
      </c>
      <c r="BH104" s="624">
        <f t="shared" si="56"/>
        <v>0</v>
      </c>
      <c r="BI104" s="624">
        <f t="shared" si="57"/>
        <v>0</v>
      </c>
      <c r="BJ104" s="624">
        <f t="shared" si="58"/>
        <v>0</v>
      </c>
      <c r="BK104" s="624">
        <f t="shared" si="59"/>
        <v>0.50167315135403667</v>
      </c>
      <c r="BL104" s="624">
        <f t="shared" si="60"/>
        <v>0.99999999999999956</v>
      </c>
      <c r="BM104" s="649">
        <f t="shared" si="83"/>
        <v>0.29028184578274857</v>
      </c>
      <c r="BN104" s="417">
        <f t="shared" si="61"/>
        <v>0.30317187715157518</v>
      </c>
      <c r="BO104" s="417">
        <f t="shared" si="61"/>
        <v>8.2805443243048754E-2</v>
      </c>
      <c r="BP104" s="417">
        <f t="shared" si="61"/>
        <v>0</v>
      </c>
      <c r="BQ104" s="417">
        <f t="shared" si="61"/>
        <v>0</v>
      </c>
      <c r="BR104" s="417">
        <f t="shared" si="61"/>
        <v>0</v>
      </c>
      <c r="BS104" s="417">
        <f t="shared" si="61"/>
        <v>0.32374083382262742</v>
      </c>
      <c r="BT104" s="525">
        <f t="shared" si="84"/>
        <v>0.99999999999999989</v>
      </c>
      <c r="BU104"/>
      <c r="BV104" s="527">
        <f t="shared" si="62"/>
        <v>84.909793177326478</v>
      </c>
      <c r="BW104" s="114">
        <f t="shared" si="63"/>
        <v>0.5296584716087146</v>
      </c>
      <c r="BX104" s="1695">
        <f t="shared" si="24"/>
        <v>46.327457455900245</v>
      </c>
      <c r="BY104" s="527">
        <f t="shared" si="64"/>
        <v>84.909793177326478</v>
      </c>
      <c r="BZ104" s="417">
        <f t="shared" si="65"/>
        <v>0.5296584716087146</v>
      </c>
      <c r="CA104" s="544">
        <f t="shared" si="25"/>
        <v>46.327457455900245</v>
      </c>
      <c r="CB104" s="649">
        <f t="shared" si="26"/>
        <v>0.19519681863773264</v>
      </c>
      <c r="CC104" s="525">
        <f t="shared" si="66"/>
        <v>0.25353406439254278</v>
      </c>
      <c r="CD104" s="417">
        <f t="shared" si="27"/>
        <v>0.19519681863773264</v>
      </c>
      <c r="CE104" s="525">
        <f t="shared" si="67"/>
        <v>0.25353406439254278</v>
      </c>
      <c r="CF104"/>
      <c r="CG104" s="527">
        <f t="shared" si="68"/>
        <v>1515.1089671117584</v>
      </c>
      <c r="CH104" s="528">
        <f t="shared" si="69"/>
        <v>633.65886502588842</v>
      </c>
      <c r="CI104" s="528">
        <f t="shared" si="70"/>
        <v>2493.2349329075432</v>
      </c>
      <c r="CJ104" s="528">
        <f t="shared" si="71"/>
        <v>3313.7490342815627</v>
      </c>
      <c r="CK104" s="528">
        <f t="shared" si="72"/>
        <v>42.040084790537726</v>
      </c>
      <c r="CL104" s="528">
        <f t="shared" si="73"/>
        <v>7997.7918841172905</v>
      </c>
      <c r="CM104" s="646">
        <f t="shared" si="74"/>
        <v>0</v>
      </c>
    </row>
    <row r="105" spans="1:91" s="4" customFormat="1">
      <c r="A105" s="150">
        <f>'Input data'!A125</f>
        <v>2025</v>
      </c>
      <c r="B105" s="1508">
        <f>'Input data'!B125</f>
        <v>62.802682000000026</v>
      </c>
      <c r="C105" s="1509">
        <f>'Input data'!C125</f>
        <v>3311.8439930677405</v>
      </c>
      <c r="D105" s="1509">
        <f>'Input data'!D125</f>
        <v>46801820.784301206</v>
      </c>
      <c r="E105" s="1457">
        <f t="shared" si="75"/>
        <v>0.89030769230769258</v>
      </c>
      <c r="F105" s="1451">
        <f t="shared" si="76"/>
        <v>0.33907692307692316</v>
      </c>
      <c r="G105" s="1556">
        <f>B105*F105*'Input data'!$C$9</f>
        <v>651.77615985670707</v>
      </c>
      <c r="H105" s="1551">
        <f>'Input data'!I125</f>
        <v>424.26313389388866</v>
      </c>
      <c r="I105" s="1559">
        <f>'Input data'!K125</f>
        <v>26644.862682261322</v>
      </c>
      <c r="J105" s="1559">
        <f t="shared" si="85"/>
        <v>4569.0529076039256</v>
      </c>
      <c r="K105" s="1513">
        <f t="shared" si="77"/>
        <v>7813.3063282078183</v>
      </c>
      <c r="L105" s="1506">
        <f t="shared" si="28"/>
        <v>0.65384615384615408</v>
      </c>
      <c r="M105" s="1506">
        <f t="shared" si="29"/>
        <v>0.53730769230769226</v>
      </c>
      <c r="N105" s="1506">
        <f t="shared" si="30"/>
        <v>0.82769230769230739</v>
      </c>
      <c r="O105" s="1506">
        <f t="shared" si="31"/>
        <v>0.86153846153846136</v>
      </c>
      <c r="P105" s="1451">
        <f t="shared" si="32"/>
        <v>0.23600000000000002</v>
      </c>
      <c r="Q105" s="1510">
        <f t="shared" si="33"/>
        <v>175.56706735725811</v>
      </c>
      <c r="R105" s="1511">
        <f t="shared" si="34"/>
        <v>122.51615631968355</v>
      </c>
      <c r="S105" s="1511">
        <f t="shared" si="35"/>
        <v>358.77804317788559</v>
      </c>
      <c r="T105" s="1511">
        <f t="shared" si="36"/>
        <v>241.57867460535908</v>
      </c>
      <c r="U105" s="1513">
        <f t="shared" si="37"/>
        <v>0</v>
      </c>
      <c r="V105" s="1511">
        <f t="shared" si="38"/>
        <v>898.43994146018633</v>
      </c>
      <c r="W105" s="1456">
        <f>($N$147-$N$142)/($A$107-$A$102)+W104</f>
        <v>0.5</v>
      </c>
      <c r="X105" s="530">
        <f t="shared" si="39"/>
        <v>3033.4854703020706</v>
      </c>
      <c r="Y105" s="1510">
        <f t="shared" si="78"/>
        <v>3931.9254117622568</v>
      </c>
      <c r="Z105" s="1511">
        <f t="shared" si="79"/>
        <v>8450.4338240494872</v>
      </c>
      <c r="AA105" s="1513">
        <f t="shared" si="80"/>
        <v>3881.3809164455615</v>
      </c>
      <c r="AB105" s="1091">
        <f t="shared" si="40"/>
        <v>0.459311438591396</v>
      </c>
      <c r="AC105" s="135" t="str">
        <f t="shared" si="41"/>
        <v>Yes</v>
      </c>
      <c r="AD105" s="1091">
        <f t="shared" si="42"/>
        <v>0.459311438591396</v>
      </c>
      <c r="AE105" s="649">
        <f t="shared" si="10"/>
        <v>0.21340034507035144</v>
      </c>
      <c r="AF105" s="530">
        <f t="shared" si="43"/>
        <v>333.72523472030412</v>
      </c>
      <c r="AG105" s="528">
        <f t="shared" si="44"/>
        <v>4569.0529076039256</v>
      </c>
      <c r="AH105" s="528">
        <f t="shared" si="81"/>
        <v>8202.1848270207192</v>
      </c>
      <c r="AI105" s="528">
        <f t="shared" si="82"/>
        <v>6437.6604656145792</v>
      </c>
      <c r="AJ105" s="528">
        <f t="shared" si="11"/>
        <v>1749.9415912754064</v>
      </c>
      <c r="AK105" s="528">
        <f t="shared" si="45"/>
        <v>20958.839791514627</v>
      </c>
      <c r="AL105" s="716">
        <f t="shared" si="12"/>
        <v>0</v>
      </c>
      <c r="AM105" s="417">
        <f t="shared" si="46"/>
        <v>0.21800123256124831</v>
      </c>
      <c r="AN105" s="417">
        <f t="shared" si="47"/>
        <v>0.39134727440120265</v>
      </c>
      <c r="AO105" s="417">
        <f t="shared" si="48"/>
        <v>0.30715729160833238</v>
      </c>
      <c r="AP105" s="417">
        <f t="shared" si="49"/>
        <v>8.3494201429216791E-2</v>
      </c>
      <c r="AQ105" s="417">
        <f t="shared" si="50"/>
        <v>1</v>
      </c>
      <c r="AR105" s="1086">
        <f t="shared" si="13"/>
        <v>883.793761908639</v>
      </c>
      <c r="AS105" s="938">
        <f t="shared" si="14"/>
        <v>1120.8895886721123</v>
      </c>
      <c r="AT105" s="938">
        <f t="shared" si="15"/>
        <v>300.06611594807072</v>
      </c>
      <c r="AU105" s="938">
        <f t="shared" si="16"/>
        <v>0</v>
      </c>
      <c r="AV105" s="938">
        <f t="shared" si="17"/>
        <v>0</v>
      </c>
      <c r="AW105" s="938">
        <f t="shared" si="18"/>
        <v>0</v>
      </c>
      <c r="AX105" s="938">
        <f t="shared" si="19"/>
        <v>1681.2245957924411</v>
      </c>
      <c r="AY105" s="938">
        <f t="shared" si="20"/>
        <v>176.82366036543934</v>
      </c>
      <c r="AZ105" s="938">
        <f t="shared" si="21"/>
        <v>159.30907465228333</v>
      </c>
      <c r="BA105" s="938">
        <f t="shared" si="22"/>
        <v>179.9566309654831</v>
      </c>
      <c r="BB105" s="938">
        <f t="shared" si="23"/>
        <v>66.989479299455425</v>
      </c>
      <c r="BC105" s="530">
        <f t="shared" si="51"/>
        <v>4569.0529076039238</v>
      </c>
      <c r="BD105" s="724">
        <f t="shared" si="52"/>
        <v>0</v>
      </c>
      <c r="BE105" s="436">
        <f t="shared" si="53"/>
        <v>0.19343040664681491</v>
      </c>
      <c r="BF105" s="624">
        <f t="shared" si="54"/>
        <v>0.24532208563545013</v>
      </c>
      <c r="BG105" s="624">
        <f t="shared" si="55"/>
        <v>6.5673591883493782E-2</v>
      </c>
      <c r="BH105" s="624">
        <f t="shared" si="56"/>
        <v>0</v>
      </c>
      <c r="BI105" s="624">
        <f t="shared" si="57"/>
        <v>0</v>
      </c>
      <c r="BJ105" s="624">
        <f t="shared" si="58"/>
        <v>0</v>
      </c>
      <c r="BK105" s="624">
        <f t="shared" si="59"/>
        <v>0.49557391583424132</v>
      </c>
      <c r="BL105" s="624">
        <f t="shared" si="60"/>
        <v>1.0000000000000002</v>
      </c>
      <c r="BM105" s="649">
        <f t="shared" si="83"/>
        <v>0.29028184578274857</v>
      </c>
      <c r="BN105" s="417">
        <f t="shared" si="61"/>
        <v>0.30317187715157518</v>
      </c>
      <c r="BO105" s="417">
        <f t="shared" si="61"/>
        <v>8.2805443243048754E-2</v>
      </c>
      <c r="BP105" s="417">
        <f t="shared" si="61"/>
        <v>0</v>
      </c>
      <c r="BQ105" s="417">
        <f t="shared" si="61"/>
        <v>0</v>
      </c>
      <c r="BR105" s="417">
        <f t="shared" si="61"/>
        <v>0</v>
      </c>
      <c r="BS105" s="417">
        <f t="shared" si="61"/>
        <v>0.32374083382262742</v>
      </c>
      <c r="BT105" s="525">
        <f t="shared" si="84"/>
        <v>0.99999999999999989</v>
      </c>
      <c r="BU105"/>
      <c r="BV105" s="527">
        <f t="shared" si="62"/>
        <v>85.550841073802417</v>
      </c>
      <c r="BW105" s="114">
        <f t="shared" si="63"/>
        <v>0.54714035986241105</v>
      </c>
      <c r="BX105" s="1695">
        <f t="shared" si="24"/>
        <v>46.801820784301206</v>
      </c>
      <c r="BY105" s="527">
        <f t="shared" si="64"/>
        <v>85.550841073802417</v>
      </c>
      <c r="BZ105" s="417">
        <f t="shared" si="65"/>
        <v>0.54714035986241105</v>
      </c>
      <c r="CA105" s="544">
        <f t="shared" si="25"/>
        <v>46.801820784301206</v>
      </c>
      <c r="CB105" s="649">
        <f t="shared" si="26"/>
        <v>0.21340034507035144</v>
      </c>
      <c r="CC105" s="525">
        <f t="shared" si="66"/>
        <v>0.25567796175396307</v>
      </c>
      <c r="CD105" s="417">
        <f t="shared" si="27"/>
        <v>0.21340034507035144</v>
      </c>
      <c r="CE105" s="525">
        <f t="shared" si="67"/>
        <v>0.25567796175396307</v>
      </c>
      <c r="CF105"/>
      <c r="CG105" s="527">
        <f t="shared" si="68"/>
        <v>1554.5000755590524</v>
      </c>
      <c r="CH105" s="528">
        <f t="shared" si="69"/>
        <v>656.26944163572841</v>
      </c>
      <c r="CI105" s="528">
        <f t="shared" si="70"/>
        <v>2566.7897237992397</v>
      </c>
      <c r="CJ105" s="528">
        <f t="shared" si="71"/>
        <v>3382.1014444750476</v>
      </c>
      <c r="CK105" s="528">
        <f t="shared" si="72"/>
        <v>42.524141551649727</v>
      </c>
      <c r="CL105" s="528">
        <f t="shared" si="73"/>
        <v>8202.1848270207174</v>
      </c>
      <c r="CM105" s="646">
        <f t="shared" si="74"/>
        <v>0</v>
      </c>
    </row>
    <row r="106" spans="1:91" s="4" customFormat="1">
      <c r="A106" s="150">
        <f>'Input data'!A126</f>
        <v>2026</v>
      </c>
      <c r="B106" s="1508">
        <f>'Input data'!B126</f>
        <v>63.421065342005143</v>
      </c>
      <c r="C106" s="1509">
        <f>'Input data'!C126</f>
        <v>3393.1756913606432</v>
      </c>
      <c r="D106" s="1509">
        <f>'Input data'!D126</f>
        <v>46479674.028888769</v>
      </c>
      <c r="E106" s="1457">
        <f t="shared" si="75"/>
        <v>0.91224615384615415</v>
      </c>
      <c r="F106" s="1451">
        <f t="shared" si="76"/>
        <v>0.34526153846153856</v>
      </c>
      <c r="G106" s="1556">
        <f>B106*F106*'Input data'!$C$9</f>
        <v>670.19900886595155</v>
      </c>
      <c r="H106" s="1551">
        <f>'Input data'!I126</f>
        <v>424.26313389388866</v>
      </c>
      <c r="I106" s="1559">
        <f>'Input data'!K126</f>
        <v>26907.219936888188</v>
      </c>
      <c r="J106" s="1559">
        <f t="shared" si="85"/>
        <v>4234.7319631451019</v>
      </c>
      <c r="K106" s="1513">
        <f t="shared" si="77"/>
        <v>8269.5495288873099</v>
      </c>
      <c r="L106" s="1506">
        <f t="shared" si="28"/>
        <v>0.66307692307692334</v>
      </c>
      <c r="M106" s="1506">
        <f t="shared" si="29"/>
        <v>0.54984615384615376</v>
      </c>
      <c r="N106" s="1506">
        <f t="shared" si="30"/>
        <v>0.84215384615384581</v>
      </c>
      <c r="O106" s="1506">
        <f t="shared" si="31"/>
        <v>0.86923076923076903</v>
      </c>
      <c r="P106" s="1451">
        <f t="shared" si="32"/>
        <v>0.23600000000000002</v>
      </c>
      <c r="Q106" s="1510">
        <f t="shared" si="33"/>
        <v>199.45775177427959</v>
      </c>
      <c r="R106" s="1511">
        <f t="shared" si="34"/>
        <v>139.18781844105331</v>
      </c>
      <c r="S106" s="1511">
        <f t="shared" si="35"/>
        <v>407.5995740853723</v>
      </c>
      <c r="T106" s="1511">
        <f t="shared" si="36"/>
        <v>274.45203726815635</v>
      </c>
      <c r="U106" s="1513">
        <f t="shared" si="37"/>
        <v>0</v>
      </c>
      <c r="V106" s="1511">
        <f t="shared" si="38"/>
        <v>1020.6971815688615</v>
      </c>
      <c r="W106" s="1456">
        <f>($N$147-$N$142)/($A$107-$A$102)+W105</f>
        <v>0.5</v>
      </c>
      <c r="X106" s="530">
        <f t="shared" si="39"/>
        <v>3033.4854703020706</v>
      </c>
      <c r="Y106" s="1510">
        <f t="shared" si="78"/>
        <v>4054.1826518709322</v>
      </c>
      <c r="Z106" s="1511">
        <f t="shared" si="79"/>
        <v>8450.0988401614813</v>
      </c>
      <c r="AA106" s="1513">
        <f t="shared" si="80"/>
        <v>4215.3668770163795</v>
      </c>
      <c r="AB106" s="1091">
        <f t="shared" si="40"/>
        <v>0.49885415031853331</v>
      </c>
      <c r="AC106" s="135" t="str">
        <f t="shared" si="41"/>
        <v>Yes</v>
      </c>
      <c r="AD106" s="1091">
        <f t="shared" si="42"/>
        <v>0.49885415031853331</v>
      </c>
      <c r="AE106" s="649">
        <f t="shared" si="10"/>
        <v>0.23044140465623386</v>
      </c>
      <c r="AF106" s="530">
        <f t="shared" si="43"/>
        <v>326.49534137552507</v>
      </c>
      <c r="AG106" s="528">
        <f t="shared" si="44"/>
        <v>4234.7319631451019</v>
      </c>
      <c r="AH106" s="528">
        <f t="shared" si="81"/>
        <v>8396.3580112842246</v>
      </c>
      <c r="AI106" s="528">
        <f t="shared" si="82"/>
        <v>6437.6604656145792</v>
      </c>
      <c r="AJ106" s="528">
        <f t="shared" si="11"/>
        <v>1637.9319391935446</v>
      </c>
      <c r="AK106" s="528">
        <f t="shared" si="45"/>
        <v>20706.682379237453</v>
      </c>
      <c r="AL106" s="716">
        <f t="shared" si="12"/>
        <v>0</v>
      </c>
      <c r="AM106" s="417">
        <f t="shared" si="46"/>
        <v>0.20451040324022446</v>
      </c>
      <c r="AN106" s="417">
        <f t="shared" si="47"/>
        <v>0.40549025949725465</v>
      </c>
      <c r="AO106" s="417">
        <f t="shared" si="48"/>
        <v>0.31089772604372434</v>
      </c>
      <c r="AP106" s="417">
        <f t="shared" si="49"/>
        <v>7.9101611218796483E-2</v>
      </c>
      <c r="AQ106" s="417">
        <f t="shared" si="50"/>
        <v>0.99999999999999989</v>
      </c>
      <c r="AR106" s="1086">
        <f t="shared" si="13"/>
        <v>833.82339101172897</v>
      </c>
      <c r="AS106" s="938">
        <f t="shared" si="14"/>
        <v>1057.5136395598799</v>
      </c>
      <c r="AT106" s="938">
        <f t="shared" si="15"/>
        <v>269.75320797639517</v>
      </c>
      <c r="AU106" s="938">
        <f t="shared" si="16"/>
        <v>0</v>
      </c>
      <c r="AV106" s="938">
        <f t="shared" si="17"/>
        <v>0</v>
      </c>
      <c r="AW106" s="938">
        <f t="shared" si="18"/>
        <v>0</v>
      </c>
      <c r="AX106" s="938">
        <f t="shared" si="19"/>
        <v>1573.6133572316546</v>
      </c>
      <c r="AY106" s="938">
        <f t="shared" si="20"/>
        <v>157.75521557479439</v>
      </c>
      <c r="AZ106" s="938">
        <f t="shared" si="21"/>
        <v>126.41575988277421</v>
      </c>
      <c r="BA106" s="938">
        <f t="shared" si="22"/>
        <v>153.15575187510333</v>
      </c>
      <c r="BB106" s="938">
        <f t="shared" si="23"/>
        <v>62.701640032769753</v>
      </c>
      <c r="BC106" s="530">
        <f t="shared" si="51"/>
        <v>4234.7319631451001</v>
      </c>
      <c r="BD106" s="724">
        <f t="shared" si="52"/>
        <v>0</v>
      </c>
      <c r="BE106" s="436">
        <f t="shared" si="53"/>
        <v>0.19690110218745824</v>
      </c>
      <c r="BF106" s="624">
        <f t="shared" si="54"/>
        <v>0.24972386653120623</v>
      </c>
      <c r="BG106" s="624">
        <f t="shared" si="55"/>
        <v>6.3700184645464952E-2</v>
      </c>
      <c r="BH106" s="624">
        <f t="shared" si="56"/>
        <v>0</v>
      </c>
      <c r="BI106" s="624">
        <f t="shared" si="57"/>
        <v>0</v>
      </c>
      <c r="BJ106" s="624">
        <f t="shared" si="58"/>
        <v>0</v>
      </c>
      <c r="BK106" s="624">
        <f t="shared" si="59"/>
        <v>0.48967484663587058</v>
      </c>
      <c r="BL106" s="624">
        <f t="shared" si="60"/>
        <v>1</v>
      </c>
      <c r="BM106" s="649">
        <f t="shared" si="83"/>
        <v>0.29028184578274857</v>
      </c>
      <c r="BN106" s="417">
        <f t="shared" si="61"/>
        <v>0.30317187715157518</v>
      </c>
      <c r="BO106" s="417">
        <f t="shared" si="61"/>
        <v>8.2805443243048754E-2</v>
      </c>
      <c r="BP106" s="417">
        <f t="shared" si="61"/>
        <v>0</v>
      </c>
      <c r="BQ106" s="417">
        <f t="shared" si="61"/>
        <v>0</v>
      </c>
      <c r="BR106" s="417">
        <f t="shared" si="61"/>
        <v>0</v>
      </c>
      <c r="BS106" s="417">
        <f t="shared" si="61"/>
        <v>0.32374083382262742</v>
      </c>
      <c r="BT106" s="525">
        <f t="shared" si="84"/>
        <v>0.99999999999999989</v>
      </c>
      <c r="BU106"/>
      <c r="BV106" s="527">
        <f t="shared" si="62"/>
        <v>85.394959666711983</v>
      </c>
      <c r="BW106" s="114">
        <f t="shared" si="63"/>
        <v>0.56715372180911028</v>
      </c>
      <c r="BX106" s="1695">
        <f t="shared" si="24"/>
        <v>46.479674028888766</v>
      </c>
      <c r="BY106" s="527">
        <f t="shared" si="64"/>
        <v>85.394959666711983</v>
      </c>
      <c r="BZ106" s="417">
        <f t="shared" si="65"/>
        <v>0.56715372180911028</v>
      </c>
      <c r="CA106" s="544">
        <f t="shared" si="25"/>
        <v>46.479674028888766</v>
      </c>
      <c r="CB106" s="649">
        <f t="shared" si="26"/>
        <v>0.23044140465623386</v>
      </c>
      <c r="CC106" s="525">
        <f t="shared" si="66"/>
        <v>0.26019189518724284</v>
      </c>
      <c r="CD106" s="417">
        <f t="shared" si="27"/>
        <v>0.23044140465623386</v>
      </c>
      <c r="CE106" s="525">
        <f t="shared" si="67"/>
        <v>0.26019189518724284</v>
      </c>
      <c r="CF106"/>
      <c r="CG106" s="527">
        <f t="shared" si="68"/>
        <v>1591.9683521243355</v>
      </c>
      <c r="CH106" s="528">
        <f t="shared" si="69"/>
        <v>678.19667772096068</v>
      </c>
      <c r="CI106" s="528">
        <f t="shared" si="70"/>
        <v>2637.3523268833728</v>
      </c>
      <c r="CJ106" s="528">
        <f t="shared" si="71"/>
        <v>3445.8978012557582</v>
      </c>
      <c r="CK106" s="528">
        <f t="shared" si="72"/>
        <v>42.942853299797797</v>
      </c>
      <c r="CL106" s="528">
        <f t="shared" si="73"/>
        <v>8396.3580112842246</v>
      </c>
      <c r="CM106" s="646">
        <f t="shared" si="74"/>
        <v>0</v>
      </c>
    </row>
    <row r="107" spans="1:91" s="464" customFormat="1">
      <c r="A107" s="150">
        <f>'Input data'!A127</f>
        <v>2027</v>
      </c>
      <c r="B107" s="1508">
        <f>'Input data'!B127</f>
        <v>64.045537563425796</v>
      </c>
      <c r="C107" s="1509">
        <f>'Input data'!C127</f>
        <v>3472.5774012476563</v>
      </c>
      <c r="D107" s="1509">
        <f>'Input data'!D127</f>
        <v>45641833.264745638</v>
      </c>
      <c r="E107" s="1457">
        <f t="shared" si="75"/>
        <v>0.93418461538461572</v>
      </c>
      <c r="F107" s="1451">
        <f t="shared" si="76"/>
        <v>0.35144615384615396</v>
      </c>
      <c r="G107" s="1556">
        <f>B107*F107*'Input data'!$C$9</f>
        <v>688.92146577149424</v>
      </c>
      <c r="H107" s="1551">
        <f>'Input data'!I127</f>
        <v>424.26313389388866</v>
      </c>
      <c r="I107" s="1559">
        <f>'Input data'!K127</f>
        <v>27172.160478577796</v>
      </c>
      <c r="J107" s="1559">
        <f>J97*(1-$G$5)</f>
        <v>3900.4110186862777</v>
      </c>
      <c r="K107" s="1513">
        <f t="shared" si="77"/>
        <v>8726.9932307216241</v>
      </c>
      <c r="L107" s="1506">
        <f t="shared" si="28"/>
        <v>0.67230769230769261</v>
      </c>
      <c r="M107" s="1506">
        <f t="shared" si="29"/>
        <v>0.56238461538461526</v>
      </c>
      <c r="N107" s="1506">
        <f t="shared" si="30"/>
        <v>0.85661538461538422</v>
      </c>
      <c r="O107" s="1506">
        <f t="shared" si="31"/>
        <v>0.87692307692307669</v>
      </c>
      <c r="P107" s="1451">
        <f t="shared" si="32"/>
        <v>0.23600000000000002</v>
      </c>
      <c r="Q107" s="1510">
        <f t="shared" si="33"/>
        <v>223.80189128168513</v>
      </c>
      <c r="R107" s="1511">
        <f t="shared" si="34"/>
        <v>156.17591561811867</v>
      </c>
      <c r="S107" s="1511">
        <f t="shared" si="35"/>
        <v>457.34775788081879</v>
      </c>
      <c r="T107" s="1511">
        <f t="shared" si="36"/>
        <v>307.94934997680866</v>
      </c>
      <c r="U107" s="1513">
        <f t="shared" si="37"/>
        <v>0</v>
      </c>
      <c r="V107" s="1511">
        <f t="shared" si="38"/>
        <v>1145.2749147574314</v>
      </c>
      <c r="W107" s="1456">
        <f>$C$27</f>
        <v>0.5</v>
      </c>
      <c r="X107" s="530">
        <f t="shared" si="39"/>
        <v>3033.4854703020706</v>
      </c>
      <c r="Y107" s="1510">
        <f t="shared" si="78"/>
        <v>4178.7603850595024</v>
      </c>
      <c r="Z107" s="1511">
        <f t="shared" si="79"/>
        <v>8448.6438643483998</v>
      </c>
      <c r="AA107" s="1513">
        <f t="shared" si="80"/>
        <v>4548.2328456621217</v>
      </c>
      <c r="AB107" s="1091">
        <f t="shared" si="40"/>
        <v>0.53833880545666757</v>
      </c>
      <c r="AC107" s="135" t="str">
        <f t="shared" si="41"/>
        <v>Yes</v>
      </c>
      <c r="AD107" s="1091">
        <f t="shared" si="42"/>
        <v>0.53833880545666757</v>
      </c>
      <c r="AE107" s="649">
        <f t="shared" si="10"/>
        <v>0.24719384179753368</v>
      </c>
      <c r="AF107" s="530">
        <f t="shared" si="43"/>
        <v>319.38789989359691</v>
      </c>
      <c r="AG107" s="528">
        <f t="shared" si="44"/>
        <v>3900.4110186862777</v>
      </c>
      <c r="AH107" s="528">
        <f t="shared" si="81"/>
        <v>8593.5598052314708</v>
      </c>
      <c r="AI107" s="528">
        <f t="shared" si="82"/>
        <v>6437.6604656145792</v>
      </c>
      <c r="AJ107" s="528">
        <f t="shared" si="11"/>
        <v>1523.7384504067129</v>
      </c>
      <c r="AK107" s="528">
        <f t="shared" si="45"/>
        <v>20455.36973993904</v>
      </c>
      <c r="AL107" s="716">
        <f t="shared" si="12"/>
        <v>0</v>
      </c>
      <c r="AM107" s="417">
        <f t="shared" si="46"/>
        <v>0.19067907685240901</v>
      </c>
      <c r="AN107" s="417">
        <f t="shared" si="47"/>
        <v>0.42011266061119268</v>
      </c>
      <c r="AO107" s="417">
        <f t="shared" si="48"/>
        <v>0.31471738460171017</v>
      </c>
      <c r="AP107" s="417">
        <f t="shared" si="49"/>
        <v>7.4490877934688157E-2</v>
      </c>
      <c r="AQ107" s="417">
        <f t="shared" si="50"/>
        <v>1</v>
      </c>
      <c r="AR107" s="1086">
        <f t="shared" si="13"/>
        <v>781.77006592112741</v>
      </c>
      <c r="AS107" s="938">
        <f t="shared" si="14"/>
        <v>991.49594101467198</v>
      </c>
      <c r="AT107" s="938">
        <f t="shared" si="15"/>
        <v>240.61446429666105</v>
      </c>
      <c r="AU107" s="938">
        <f t="shared" si="16"/>
        <v>0</v>
      </c>
      <c r="AV107" s="938">
        <f t="shared" si="17"/>
        <v>0</v>
      </c>
      <c r="AW107" s="938">
        <f t="shared" si="18"/>
        <v>0</v>
      </c>
      <c r="AX107" s="938">
        <f t="shared" si="19"/>
        <v>1463.9040372263819</v>
      </c>
      <c r="AY107" s="938">
        <f t="shared" si="20"/>
        <v>139.54678704642032</v>
      </c>
      <c r="AZ107" s="938">
        <f t="shared" si="21"/>
        <v>96.488323147320429</v>
      </c>
      <c r="BA107" s="938">
        <f t="shared" si="22"/>
        <v>128.26119867713939</v>
      </c>
      <c r="BB107" s="938">
        <f t="shared" si="23"/>
        <v>58.33020135655503</v>
      </c>
      <c r="BC107" s="530">
        <f t="shared" si="51"/>
        <v>3900.4110186862777</v>
      </c>
      <c r="BD107" s="724">
        <f t="shared" si="52"/>
        <v>0</v>
      </c>
      <c r="BE107" s="436">
        <f t="shared" si="53"/>
        <v>0.20043273956918531</v>
      </c>
      <c r="BF107" s="624">
        <f t="shared" si="54"/>
        <v>0.25420293816845591</v>
      </c>
      <c r="BG107" s="624">
        <f t="shared" si="55"/>
        <v>6.1689515064928709E-2</v>
      </c>
      <c r="BH107" s="624">
        <f t="shared" si="56"/>
        <v>0</v>
      </c>
      <c r="BI107" s="624">
        <f t="shared" si="57"/>
        <v>0</v>
      </c>
      <c r="BJ107" s="624">
        <f t="shared" si="58"/>
        <v>0</v>
      </c>
      <c r="BK107" s="624">
        <f t="shared" si="59"/>
        <v>0.48367480719743011</v>
      </c>
      <c r="BL107" s="624">
        <f t="shared" si="60"/>
        <v>1</v>
      </c>
      <c r="BM107" s="649">
        <f t="shared" si="83"/>
        <v>0.29028184578274857</v>
      </c>
      <c r="BN107" s="417">
        <f t="shared" si="61"/>
        <v>0.30317187715157518</v>
      </c>
      <c r="BO107" s="417">
        <f t="shared" si="61"/>
        <v>8.2805443243048754E-2</v>
      </c>
      <c r="BP107" s="417">
        <f t="shared" si="61"/>
        <v>0</v>
      </c>
      <c r="BQ107" s="417">
        <f t="shared" si="61"/>
        <v>0</v>
      </c>
      <c r="BR107" s="417">
        <f t="shared" si="61"/>
        <v>0</v>
      </c>
      <c r="BS107" s="417">
        <f t="shared" si="61"/>
        <v>0.32374083382262742</v>
      </c>
      <c r="BT107" s="525">
        <f t="shared" si="84"/>
        <v>0.99999999999999989</v>
      </c>
      <c r="BU107" s="1"/>
      <c r="BV107" s="527">
        <f t="shared" si="62"/>
        <v>84.714299917584299</v>
      </c>
      <c r="BW107" s="114">
        <f t="shared" si="63"/>
        <v>0.58861328543473979</v>
      </c>
      <c r="BX107" s="1695">
        <f t="shared" si="24"/>
        <v>45.641833264745635</v>
      </c>
      <c r="BY107" s="527">
        <f t="shared" si="64"/>
        <v>84.714299917584299</v>
      </c>
      <c r="BZ107" s="417">
        <f t="shared" si="65"/>
        <v>0.58861328543473979</v>
      </c>
      <c r="CA107" s="544">
        <f t="shared" si="25"/>
        <v>45.641833264745635</v>
      </c>
      <c r="CB107" s="649">
        <f t="shared" si="26"/>
        <v>0.24719384179753368</v>
      </c>
      <c r="CC107" s="525">
        <f t="shared" si="66"/>
        <v>0.26611459038514973</v>
      </c>
      <c r="CD107" s="417">
        <f t="shared" si="27"/>
        <v>0.24719384179753368</v>
      </c>
      <c r="CE107" s="525">
        <f t="shared" si="67"/>
        <v>0.26611459038514973</v>
      </c>
      <c r="CF107" s="1"/>
      <c r="CG107" s="527">
        <f t="shared" si="68"/>
        <v>1630.0237748349339</v>
      </c>
      <c r="CH107" s="528">
        <f t="shared" si="69"/>
        <v>700.49209759758685</v>
      </c>
      <c r="CI107" s="528">
        <f t="shared" si="70"/>
        <v>2709.0556551919217</v>
      </c>
      <c r="CJ107" s="528">
        <f t="shared" si="71"/>
        <v>3510.6225897356312</v>
      </c>
      <c r="CK107" s="528">
        <f t="shared" si="72"/>
        <v>43.365687871397228</v>
      </c>
      <c r="CL107" s="528">
        <f t="shared" si="73"/>
        <v>8593.5598052314708</v>
      </c>
      <c r="CM107" s="646">
        <f t="shared" si="74"/>
        <v>0</v>
      </c>
    </row>
    <row r="108" spans="1:91" s="4" customFormat="1">
      <c r="A108" s="150">
        <f>'Input data'!A128</f>
        <v>2028</v>
      </c>
      <c r="B108" s="1508">
        <f>'Input data'!B128</f>
        <v>64.676158618096451</v>
      </c>
      <c r="C108" s="1509">
        <f>'Input data'!C128</f>
        <v>3555.7273448150845</v>
      </c>
      <c r="D108" s="1509">
        <f>'Input data'!D128</f>
        <v>44757313.865039073</v>
      </c>
      <c r="E108" s="1457">
        <f t="shared" si="75"/>
        <v>0.9561230769230773</v>
      </c>
      <c r="F108" s="1451">
        <f t="shared" si="76"/>
        <v>0.35763076923076936</v>
      </c>
      <c r="G108" s="1556">
        <f>B108*F108*'Input data'!$C$9</f>
        <v>707.94764457850295</v>
      </c>
      <c r="H108" s="1551">
        <f>'Input data'!I128</f>
        <v>424.26313389388866</v>
      </c>
      <c r="I108" s="1559">
        <f>'Input data'!K128</f>
        <v>27439.709743531836</v>
      </c>
      <c r="J108" s="1559">
        <f>($J$112-$J$107)/($A$112-$A$107)+J107</f>
        <v>3566.0900742274539</v>
      </c>
      <c r="K108" s="1513">
        <f t="shared" si="77"/>
        <v>9185.6492543829336</v>
      </c>
      <c r="L108" s="1506">
        <f t="shared" si="28"/>
        <v>0.68153846153846187</v>
      </c>
      <c r="M108" s="1506">
        <f t="shared" si="29"/>
        <v>0.57492307692307676</v>
      </c>
      <c r="N108" s="1506">
        <f t="shared" si="30"/>
        <v>0.87107692307692264</v>
      </c>
      <c r="O108" s="1506">
        <f t="shared" si="31"/>
        <v>0.88461538461538436</v>
      </c>
      <c r="P108" s="1451">
        <f t="shared" si="32"/>
        <v>0.23600000000000002</v>
      </c>
      <c r="Q108" s="1510">
        <f t="shared" si="33"/>
        <v>248.60609946091267</v>
      </c>
      <c r="R108" s="1511">
        <f t="shared" si="34"/>
        <v>173.48506301356042</v>
      </c>
      <c r="S108" s="1511">
        <f t="shared" si="35"/>
        <v>508.03610967182658</v>
      </c>
      <c r="T108" s="1511">
        <f t="shared" si="36"/>
        <v>342.07971295872221</v>
      </c>
      <c r="U108" s="1513">
        <f t="shared" si="37"/>
        <v>0</v>
      </c>
      <c r="V108" s="1511">
        <f t="shared" si="38"/>
        <v>1272.2069851050219</v>
      </c>
      <c r="W108" s="1456">
        <f>W107</f>
        <v>0.5</v>
      </c>
      <c r="X108" s="530">
        <f t="shared" si="39"/>
        <v>3033.4854703020706</v>
      </c>
      <c r="Y108" s="1510">
        <f t="shared" si="78"/>
        <v>4305.692455407092</v>
      </c>
      <c r="Z108" s="1511">
        <f t="shared" si="79"/>
        <v>8446.046873203295</v>
      </c>
      <c r="AA108" s="1513">
        <f t="shared" si="80"/>
        <v>4879.9567989758416</v>
      </c>
      <c r="AB108" s="1091">
        <f t="shared" si="40"/>
        <v>0.57777998065088187</v>
      </c>
      <c r="AC108" s="135" t="str">
        <f t="shared" si="41"/>
        <v>Yes</v>
      </c>
      <c r="AD108" s="1091">
        <f t="shared" si="42"/>
        <v>0.57777998065088187</v>
      </c>
      <c r="AE108" s="649">
        <f t="shared" si="10"/>
        <v>0.26366335378378059</v>
      </c>
      <c r="AF108" s="530">
        <f t="shared" si="43"/>
        <v>312.40049312460883</v>
      </c>
      <c r="AG108" s="528">
        <f t="shared" si="44"/>
        <v>3566.0900742274539</v>
      </c>
      <c r="AH108" s="528">
        <f t="shared" si="81"/>
        <v>8793.8310253748859</v>
      </c>
      <c r="AI108" s="528">
        <f t="shared" si="82"/>
        <v>6437.6604656145792</v>
      </c>
      <c r="AJ108" s="528">
        <f t="shared" si="11"/>
        <v>1407.2822804818311</v>
      </c>
      <c r="AK108" s="528">
        <f t="shared" si="45"/>
        <v>20204.86384569875</v>
      </c>
      <c r="AL108" s="716">
        <f t="shared" si="12"/>
        <v>0</v>
      </c>
      <c r="AM108" s="417">
        <f t="shared" si="46"/>
        <v>0.17649661494683172</v>
      </c>
      <c r="AN108" s="417">
        <f t="shared" si="47"/>
        <v>0.43523337214900032</v>
      </c>
      <c r="AO108" s="417">
        <f t="shared" si="48"/>
        <v>0.31861934407368159</v>
      </c>
      <c r="AP108" s="417">
        <f t="shared" si="49"/>
        <v>6.9650668830486373E-2</v>
      </c>
      <c r="AQ108" s="417">
        <f t="shared" si="50"/>
        <v>1</v>
      </c>
      <c r="AR108" s="1086">
        <f t="shared" si="13"/>
        <v>727.5808817642037</v>
      </c>
      <c r="AS108" s="938">
        <f t="shared" si="14"/>
        <v>922.76939534528663</v>
      </c>
      <c r="AT108" s="938">
        <f t="shared" si="15"/>
        <v>212.68239320588384</v>
      </c>
      <c r="AU108" s="938">
        <f t="shared" si="16"/>
        <v>0</v>
      </c>
      <c r="AV108" s="938">
        <f t="shared" si="17"/>
        <v>0</v>
      </c>
      <c r="AW108" s="938">
        <f t="shared" si="18"/>
        <v>0</v>
      </c>
      <c r="AX108" s="938">
        <f t="shared" si="19"/>
        <v>1352.0208874197656</v>
      </c>
      <c r="AY108" s="938">
        <f t="shared" si="20"/>
        <v>122.22252761803277</v>
      </c>
      <c r="AZ108" s="938">
        <f t="shared" si="21"/>
        <v>69.613646514132526</v>
      </c>
      <c r="BA108" s="938">
        <f t="shared" si="22"/>
        <v>105.32819733151315</v>
      </c>
      <c r="BB108" s="938">
        <f t="shared" si="23"/>
        <v>53.872145028634442</v>
      </c>
      <c r="BC108" s="530">
        <f t="shared" si="51"/>
        <v>3566.090074227453</v>
      </c>
      <c r="BD108" s="724">
        <f t="shared" si="52"/>
        <v>0</v>
      </c>
      <c r="BE108" s="436">
        <f t="shared" si="53"/>
        <v>0.20402762314460737</v>
      </c>
      <c r="BF108" s="624">
        <f t="shared" si="54"/>
        <v>0.25876222308972174</v>
      </c>
      <c r="BG108" s="624">
        <f t="shared" si="55"/>
        <v>5.9640219057551069E-2</v>
      </c>
      <c r="BH108" s="624">
        <f t="shared" si="56"/>
        <v>0</v>
      </c>
      <c r="BI108" s="624">
        <f t="shared" si="57"/>
        <v>0</v>
      </c>
      <c r="BJ108" s="624">
        <f t="shared" si="58"/>
        <v>0</v>
      </c>
      <c r="BK108" s="624">
        <f t="shared" si="59"/>
        <v>0.4775699347081197</v>
      </c>
      <c r="BL108" s="624">
        <f t="shared" si="60"/>
        <v>0.99999999999999989</v>
      </c>
      <c r="BM108" s="649">
        <f t="shared" si="83"/>
        <v>0.29028184578274857</v>
      </c>
      <c r="BN108" s="417">
        <f t="shared" si="61"/>
        <v>0.30317187715157518</v>
      </c>
      <c r="BO108" s="417">
        <f t="shared" si="61"/>
        <v>8.2805443243048754E-2</v>
      </c>
      <c r="BP108" s="417">
        <f t="shared" si="61"/>
        <v>0</v>
      </c>
      <c r="BQ108" s="417">
        <f t="shared" si="61"/>
        <v>0</v>
      </c>
      <c r="BR108" s="417">
        <f t="shared" si="61"/>
        <v>0</v>
      </c>
      <c r="BS108" s="417">
        <f t="shared" si="61"/>
        <v>0.32374083382262742</v>
      </c>
      <c r="BT108" s="525">
        <f t="shared" si="84"/>
        <v>0.99999999999999989</v>
      </c>
      <c r="BU108"/>
      <c r="BV108" s="527">
        <f t="shared" si="62"/>
        <v>84.007051611717188</v>
      </c>
      <c r="BW108" s="114">
        <f t="shared" si="63"/>
        <v>0.61014019370274497</v>
      </c>
      <c r="BX108" s="1695">
        <f t="shared" si="24"/>
        <v>44.757313865039073</v>
      </c>
      <c r="BY108" s="527">
        <f t="shared" si="64"/>
        <v>84.007051611717188</v>
      </c>
      <c r="BZ108" s="417">
        <f t="shared" si="65"/>
        <v>0.61014019370274497</v>
      </c>
      <c r="CA108" s="544">
        <f t="shared" si="25"/>
        <v>44.757313865039073</v>
      </c>
      <c r="CB108" s="649">
        <f t="shared" si="26"/>
        <v>0.26366335378378059</v>
      </c>
      <c r="CC108" s="525">
        <f t="shared" si="66"/>
        <v>0.27232153985756047</v>
      </c>
      <c r="CD108" s="417">
        <f t="shared" si="27"/>
        <v>0.26366335378378059</v>
      </c>
      <c r="CE108" s="525">
        <f t="shared" si="67"/>
        <v>0.27232153985756047</v>
      </c>
      <c r="CF108"/>
      <c r="CG108" s="527">
        <f t="shared" si="68"/>
        <v>1668.6742736543031</v>
      </c>
      <c r="CH108" s="528">
        <f t="shared" si="69"/>
        <v>723.16082596952128</v>
      </c>
      <c r="CI108" s="528">
        <f t="shared" si="70"/>
        <v>2781.9153316846123</v>
      </c>
      <c r="CJ108" s="528">
        <f t="shared" si="71"/>
        <v>3576.2879082048339</v>
      </c>
      <c r="CK108" s="528">
        <f t="shared" si="72"/>
        <v>43.792685861614679</v>
      </c>
      <c r="CL108" s="528">
        <f t="shared" si="73"/>
        <v>8793.8310253748841</v>
      </c>
      <c r="CM108" s="646">
        <f t="shared" si="74"/>
        <v>0</v>
      </c>
    </row>
    <row r="109" spans="1:91" s="4" customFormat="1">
      <c r="A109" s="150">
        <f>'Input data'!A129</f>
        <v>2029</v>
      </c>
      <c r="B109" s="1508">
        <f>'Input data'!B129</f>
        <v>65.31298905018393</v>
      </c>
      <c r="C109" s="1509">
        <f>'Input data'!C129</f>
        <v>3635.303730869829</v>
      </c>
      <c r="D109" s="1509">
        <f>'Input data'!D129</f>
        <v>43023314.860788628</v>
      </c>
      <c r="E109" s="1457">
        <f t="shared" si="75"/>
        <v>0.97806153846153887</v>
      </c>
      <c r="F109" s="1451">
        <f t="shared" si="76"/>
        <v>0.36381538461538476</v>
      </c>
      <c r="G109" s="1556">
        <f>B109*F109*'Input data'!$C$9</f>
        <v>727.28171126107532</v>
      </c>
      <c r="H109" s="1551">
        <f>'Input data'!I129</f>
        <v>424.26313389388866</v>
      </c>
      <c r="I109" s="1559">
        <f>'Input data'!K129</f>
        <v>27709.893418408268</v>
      </c>
      <c r="J109" s="1559">
        <f t="shared" ref="J109:J111" si="86">($J$112-$J$107)/($A$112-$A$107)+J108</f>
        <v>3231.7691297686301</v>
      </c>
      <c r="K109" s="1513">
        <f t="shared" si="77"/>
        <v>9645.5295369350624</v>
      </c>
      <c r="L109" s="1506">
        <f t="shared" si="28"/>
        <v>0.69076923076923114</v>
      </c>
      <c r="M109" s="1506">
        <f t="shared" si="29"/>
        <v>0.58746153846153826</v>
      </c>
      <c r="N109" s="1506">
        <f t="shared" si="30"/>
        <v>0.88553846153846105</v>
      </c>
      <c r="O109" s="1506">
        <f t="shared" si="31"/>
        <v>0.89230769230769202</v>
      </c>
      <c r="P109" s="1451">
        <f t="shared" si="32"/>
        <v>0.23600000000000002</v>
      </c>
      <c r="Q109" s="1510">
        <f t="shared" si="33"/>
        <v>273.87707617034994</v>
      </c>
      <c r="R109" s="1511">
        <f t="shared" si="34"/>
        <v>191.11993599679636</v>
      </c>
      <c r="S109" s="1511">
        <f t="shared" si="35"/>
        <v>559.67832087625584</v>
      </c>
      <c r="T109" s="1511">
        <f t="shared" si="36"/>
        <v>376.85234515759566</v>
      </c>
      <c r="U109" s="1513">
        <f t="shared" si="37"/>
        <v>0</v>
      </c>
      <c r="V109" s="1511">
        <f t="shared" si="38"/>
        <v>1401.5276782009978</v>
      </c>
      <c r="W109" s="1456">
        <f t="shared" ref="W109:W130" si="87">W108</f>
        <v>0.5</v>
      </c>
      <c r="X109" s="530">
        <f t="shared" si="39"/>
        <v>3033.4854703020706</v>
      </c>
      <c r="Y109" s="1510">
        <f t="shared" si="78"/>
        <v>4435.0131485030688</v>
      </c>
      <c r="Z109" s="1511">
        <f t="shared" si="79"/>
        <v>8442.2855182006242</v>
      </c>
      <c r="AA109" s="1513">
        <f t="shared" si="80"/>
        <v>5210.5163884319936</v>
      </c>
      <c r="AB109" s="1091">
        <f t="shared" si="40"/>
        <v>0.61719262837044575</v>
      </c>
      <c r="AC109" s="135" t="str">
        <f t="shared" si="41"/>
        <v>Yes</v>
      </c>
      <c r="AD109" s="1091">
        <f t="shared" si="42"/>
        <v>0.61719262837044575</v>
      </c>
      <c r="AE109" s="649">
        <f t="shared" si="10"/>
        <v>0.27985563375052358</v>
      </c>
      <c r="AF109" s="530">
        <f t="shared" si="43"/>
        <v>305.53070568103118</v>
      </c>
      <c r="AG109" s="528">
        <f t="shared" si="44"/>
        <v>3231.7691297686301</v>
      </c>
      <c r="AH109" s="528">
        <f t="shared" si="81"/>
        <v>8997.2129983908544</v>
      </c>
      <c r="AI109" s="528">
        <f t="shared" si="82"/>
        <v>6437.6604656145792</v>
      </c>
      <c r="AJ109" s="528">
        <f t="shared" si="11"/>
        <v>1288.4810408660949</v>
      </c>
      <c r="AK109" s="528">
        <f t="shared" si="45"/>
        <v>19955.12363464016</v>
      </c>
      <c r="AL109" s="716">
        <f t="shared" si="12"/>
        <v>0</v>
      </c>
      <c r="AM109" s="417">
        <f t="shared" si="46"/>
        <v>0.161951847001268</v>
      </c>
      <c r="AN109" s="417">
        <f t="shared" si="47"/>
        <v>0.45087232547998674</v>
      </c>
      <c r="AO109" s="417">
        <f t="shared" si="48"/>
        <v>0.32260689452404218</v>
      </c>
      <c r="AP109" s="417">
        <f t="shared" si="49"/>
        <v>6.456893299470301E-2</v>
      </c>
      <c r="AQ109" s="417">
        <f t="shared" si="50"/>
        <v>1</v>
      </c>
      <c r="AR109" s="1086">
        <f t="shared" si="13"/>
        <v>671.20018188498921</v>
      </c>
      <c r="AS109" s="938">
        <f t="shared" si="14"/>
        <v>851.26341485479361</v>
      </c>
      <c r="AT109" s="938">
        <f t="shared" si="15"/>
        <v>185.99112990290195</v>
      </c>
      <c r="AU109" s="938">
        <f t="shared" si="16"/>
        <v>0</v>
      </c>
      <c r="AV109" s="938">
        <f t="shared" si="17"/>
        <v>0</v>
      </c>
      <c r="AW109" s="938">
        <f t="shared" si="18"/>
        <v>0</v>
      </c>
      <c r="AX109" s="938">
        <f t="shared" si="19"/>
        <v>1237.8847545063022</v>
      </c>
      <c r="AY109" s="938">
        <f t="shared" si="20"/>
        <v>105.80779139698581</v>
      </c>
      <c r="AZ109" s="938">
        <f t="shared" si="21"/>
        <v>45.882855936635217</v>
      </c>
      <c r="BA109" s="938">
        <f t="shared" si="22"/>
        <v>84.414684151566917</v>
      </c>
      <c r="BB109" s="938">
        <f t="shared" si="23"/>
        <v>49.324317134454468</v>
      </c>
      <c r="BC109" s="530">
        <f t="shared" si="51"/>
        <v>3231.7691297686292</v>
      </c>
      <c r="BD109" s="724">
        <f t="shared" si="52"/>
        <v>0</v>
      </c>
      <c r="BE109" s="436">
        <f t="shared" si="53"/>
        <v>0.20768815931261841</v>
      </c>
      <c r="BF109" s="624">
        <f t="shared" si="54"/>
        <v>0.26340477325982065</v>
      </c>
      <c r="BG109" s="624">
        <f t="shared" si="55"/>
        <v>5.7550871499356622E-2</v>
      </c>
      <c r="BH109" s="624">
        <f t="shared" si="56"/>
        <v>0</v>
      </c>
      <c r="BI109" s="624">
        <f t="shared" si="57"/>
        <v>0</v>
      </c>
      <c r="BJ109" s="624">
        <f t="shared" si="58"/>
        <v>0</v>
      </c>
      <c r="BK109" s="624">
        <f t="shared" si="59"/>
        <v>0.47135619592820438</v>
      </c>
      <c r="BL109" s="624">
        <f t="shared" si="60"/>
        <v>1</v>
      </c>
      <c r="BM109" s="649">
        <f t="shared" si="83"/>
        <v>0.29028184578274857</v>
      </c>
      <c r="BN109" s="417">
        <f t="shared" si="61"/>
        <v>0.30317187715157518</v>
      </c>
      <c r="BO109" s="417">
        <f t="shared" si="61"/>
        <v>8.2805443243048754E-2</v>
      </c>
      <c r="BP109" s="417">
        <f t="shared" si="61"/>
        <v>0</v>
      </c>
      <c r="BQ109" s="417">
        <f t="shared" si="61"/>
        <v>0</v>
      </c>
      <c r="BR109" s="417">
        <f t="shared" si="61"/>
        <v>0</v>
      </c>
      <c r="BS109" s="417">
        <f t="shared" si="61"/>
        <v>0.32374083382262742</v>
      </c>
      <c r="BT109" s="525">
        <f t="shared" si="84"/>
        <v>0.99999999999999989</v>
      </c>
      <c r="BU109"/>
      <c r="BV109" s="527">
        <f t="shared" si="62"/>
        <v>82.432704697692955</v>
      </c>
      <c r="BW109" s="114">
        <f t="shared" si="63"/>
        <v>0.63405469836360973</v>
      </c>
      <c r="BX109" s="1695">
        <f t="shared" si="24"/>
        <v>43.023314860788631</v>
      </c>
      <c r="BY109" s="527">
        <f t="shared" si="64"/>
        <v>82.432704697692955</v>
      </c>
      <c r="BZ109" s="417">
        <f t="shared" si="65"/>
        <v>0.63405469836360973</v>
      </c>
      <c r="CA109" s="544">
        <f t="shared" si="25"/>
        <v>43.023314860788631</v>
      </c>
      <c r="CB109" s="649">
        <f t="shared" si="26"/>
        <v>0.27985563375052358</v>
      </c>
      <c r="CC109" s="525">
        <f t="shared" si="66"/>
        <v>0.28108743763378785</v>
      </c>
      <c r="CD109" s="417">
        <f t="shared" si="27"/>
        <v>0.27985563375052358</v>
      </c>
      <c r="CE109" s="525">
        <f t="shared" si="67"/>
        <v>0.28108743763378785</v>
      </c>
      <c r="CF109"/>
      <c r="CG109" s="527">
        <f t="shared" si="68"/>
        <v>1707.9278777845379</v>
      </c>
      <c r="CH109" s="528">
        <f t="shared" si="69"/>
        <v>746.2080527645885</v>
      </c>
      <c r="CI109" s="528">
        <f t="shared" si="70"/>
        <v>2855.9471763862912</v>
      </c>
      <c r="CJ109" s="528">
        <f t="shared" si="71"/>
        <v>3642.9060031901004</v>
      </c>
      <c r="CK109" s="528">
        <f t="shared" si="72"/>
        <v>44.223888265335049</v>
      </c>
      <c r="CL109" s="528">
        <f t="shared" si="73"/>
        <v>8997.2129983908526</v>
      </c>
      <c r="CM109" s="646">
        <f t="shared" si="74"/>
        <v>0</v>
      </c>
    </row>
    <row r="110" spans="1:91" s="464" customFormat="1">
      <c r="A110" s="150">
        <f>'Input data'!A130</f>
        <v>2030</v>
      </c>
      <c r="B110" s="1508">
        <f>'Input data'!B130</f>
        <v>65.956090000000003</v>
      </c>
      <c r="C110" s="1509">
        <f>'Input data'!C130</f>
        <v>3717.2759118719223</v>
      </c>
      <c r="D110" s="1509">
        <f>'Input data'!D130</f>
        <v>41579903.969008513</v>
      </c>
      <c r="E110" s="1457">
        <f>C53</f>
        <v>1</v>
      </c>
      <c r="F110" s="1451">
        <f>D53</f>
        <v>0.37</v>
      </c>
      <c r="G110" s="1556">
        <f>B110*F110*'Input data'!$C$9</f>
        <v>746.92788438679418</v>
      </c>
      <c r="H110" s="1551">
        <f>'Input data'!I130</f>
        <v>424.26313389388866</v>
      </c>
      <c r="I110" s="1559">
        <f>'Input data'!K130</f>
        <v>27982.737442787373</v>
      </c>
      <c r="J110" s="1559">
        <f t="shared" si="86"/>
        <v>2897.4481853098064</v>
      </c>
      <c r="K110" s="1513">
        <f t="shared" si="77"/>
        <v>10106.646132979506</v>
      </c>
      <c r="L110" s="1451">
        <f>C19</f>
        <v>0.7</v>
      </c>
      <c r="M110" s="1451">
        <f>D19</f>
        <v>0.6</v>
      </c>
      <c r="N110" s="1451">
        <f>E19</f>
        <v>0.9</v>
      </c>
      <c r="O110" s="1451">
        <f>F19</f>
        <v>0.9</v>
      </c>
      <c r="P110" s="1451">
        <f>G19</f>
        <v>0.23600000000000002</v>
      </c>
      <c r="Q110" s="1510">
        <f t="shared" si="33"/>
        <v>299.62160860317135</v>
      </c>
      <c r="R110" s="1511">
        <f t="shared" si="34"/>
        <v>209.08527088217454</v>
      </c>
      <c r="S110" s="1511">
        <f t="shared" si="35"/>
        <v>612.28826138396289</v>
      </c>
      <c r="T110" s="1511">
        <f t="shared" si="36"/>
        <v>412.27658568899597</v>
      </c>
      <c r="U110" s="1513">
        <f t="shared" si="37"/>
        <v>0</v>
      </c>
      <c r="V110" s="1511">
        <f t="shared" si="38"/>
        <v>1533.2717265583046</v>
      </c>
      <c r="W110" s="1456">
        <f t="shared" si="87"/>
        <v>0.5</v>
      </c>
      <c r="X110" s="530">
        <f t="shared" si="39"/>
        <v>3033.4854703020706</v>
      </c>
      <c r="Y110" s="1510">
        <f t="shared" si="78"/>
        <v>4566.7571968603752</v>
      </c>
      <c r="Z110" s="1511">
        <f t="shared" si="79"/>
        <v>8437.3371214289364</v>
      </c>
      <c r="AA110" s="1513">
        <f t="shared" si="80"/>
        <v>5539.8889361191304</v>
      </c>
      <c r="AB110" s="1091">
        <f t="shared" si="40"/>
        <v>0.65659210440330285</v>
      </c>
      <c r="AC110" s="135" t="str">
        <f t="shared" si="41"/>
        <v>Yes</v>
      </c>
      <c r="AD110" s="1091">
        <f t="shared" si="42"/>
        <v>0.65659210440330285</v>
      </c>
      <c r="AE110" s="649">
        <f t="shared" si="10"/>
        <v>0.29577637461695849</v>
      </c>
      <c r="AF110" s="530">
        <f t="shared" si="43"/>
        <v>298.77612226712506</v>
      </c>
      <c r="AG110" s="528">
        <f t="shared" si="44"/>
        <v>2897.4481853098064</v>
      </c>
      <c r="AH110" s="528">
        <f t="shared" si="81"/>
        <v>9203.7475672090277</v>
      </c>
      <c r="AI110" s="528">
        <f t="shared" si="82"/>
        <v>6437.6604656145792</v>
      </c>
      <c r="AJ110" s="528">
        <f t="shared" si="11"/>
        <v>1167.2485919680901</v>
      </c>
      <c r="AK110" s="528">
        <f t="shared" si="45"/>
        <v>19706.104810101504</v>
      </c>
      <c r="AL110" s="716">
        <f t="shared" si="12"/>
        <v>0</v>
      </c>
      <c r="AM110" s="417">
        <f t="shared" si="46"/>
        <v>0.1470330241938301</v>
      </c>
      <c r="AN110" s="417">
        <f t="shared" si="47"/>
        <v>0.46705057422058949</v>
      </c>
      <c r="AO110" s="417">
        <f t="shared" si="48"/>
        <v>0.32668355962029511</v>
      </c>
      <c r="AP110" s="417">
        <f t="shared" si="49"/>
        <v>5.9232841965285256E-2</v>
      </c>
      <c r="AQ110" s="417">
        <f t="shared" si="50"/>
        <v>1</v>
      </c>
      <c r="AR110" s="1086">
        <f t="shared" si="13"/>
        <v>612.56940461047054</v>
      </c>
      <c r="AS110" s="938">
        <f t="shared" si="14"/>
        <v>776.90372749873484</v>
      </c>
      <c r="AT110" s="938">
        <f t="shared" si="15"/>
        <v>160.57652818153852</v>
      </c>
      <c r="AU110" s="938">
        <f t="shared" si="16"/>
        <v>0</v>
      </c>
      <c r="AV110" s="938">
        <f t="shared" si="17"/>
        <v>0</v>
      </c>
      <c r="AW110" s="938">
        <f t="shared" si="18"/>
        <v>0</v>
      </c>
      <c r="AX110" s="938">
        <f t="shared" si="19"/>
        <v>1121.4128814382834</v>
      </c>
      <c r="AY110" s="938">
        <f t="shared" si="20"/>
        <v>90.329201598007003</v>
      </c>
      <c r="AZ110" s="938">
        <f t="shared" si="21"/>
        <v>25.391562301128037</v>
      </c>
      <c r="BA110" s="938">
        <f t="shared" si="22"/>
        <v>65.581459515614853</v>
      </c>
      <c r="BB110" s="938">
        <f t="shared" si="23"/>
        <v>44.683420166026991</v>
      </c>
      <c r="BC110" s="530">
        <f t="shared" si="51"/>
        <v>2897.4481853098041</v>
      </c>
      <c r="BD110" s="724">
        <f t="shared" si="52"/>
        <v>0</v>
      </c>
      <c r="BE110" s="436">
        <f t="shared" si="53"/>
        <v>0.21141686250550593</v>
      </c>
      <c r="BF110" s="624">
        <f t="shared" si="54"/>
        <v>0.26813377765913904</v>
      </c>
      <c r="BG110" s="624">
        <f t="shared" si="55"/>
        <v>5.541998265772928E-2</v>
      </c>
      <c r="BH110" s="624">
        <f t="shared" si="56"/>
        <v>0</v>
      </c>
      <c r="BI110" s="624">
        <f t="shared" si="57"/>
        <v>0</v>
      </c>
      <c r="BJ110" s="624">
        <f t="shared" si="58"/>
        <v>0</v>
      </c>
      <c r="BK110" s="624">
        <f t="shared" si="59"/>
        <v>0.46502937717762582</v>
      </c>
      <c r="BL110" s="624">
        <f t="shared" si="60"/>
        <v>1</v>
      </c>
      <c r="BM110" s="649">
        <f t="shared" si="83"/>
        <v>0.29028184578274857</v>
      </c>
      <c r="BN110" s="417">
        <f t="shared" si="61"/>
        <v>0.30317187715157518</v>
      </c>
      <c r="BO110" s="417">
        <f t="shared" si="61"/>
        <v>8.2805443243048754E-2</v>
      </c>
      <c r="BP110" s="417">
        <f t="shared" si="61"/>
        <v>0</v>
      </c>
      <c r="BQ110" s="417">
        <f t="shared" si="61"/>
        <v>0</v>
      </c>
      <c r="BR110" s="417">
        <f t="shared" si="61"/>
        <v>0</v>
      </c>
      <c r="BS110" s="417">
        <f t="shared" si="61"/>
        <v>0.32374083382262742</v>
      </c>
      <c r="BT110" s="525">
        <f t="shared" si="84"/>
        <v>0.99999999999999989</v>
      </c>
      <c r="BU110" s="1"/>
      <c r="BV110" s="527">
        <f t="shared" si="62"/>
        <v>81.161992798500165</v>
      </c>
      <c r="BW110" s="114">
        <f t="shared" si="63"/>
        <v>0.65691588381958144</v>
      </c>
      <c r="BX110" s="1695">
        <f t="shared" si="24"/>
        <v>41.579903969008512</v>
      </c>
      <c r="BY110" s="527">
        <f t="shared" si="64"/>
        <v>81.161992798500165</v>
      </c>
      <c r="BZ110" s="417">
        <f t="shared" si="65"/>
        <v>0.65691588381958144</v>
      </c>
      <c r="CA110" s="544">
        <f t="shared" si="25"/>
        <v>41.579903969008512</v>
      </c>
      <c r="CB110" s="649">
        <f t="shared" si="26"/>
        <v>0.29577637461695849</v>
      </c>
      <c r="CC110" s="525">
        <f t="shared" si="66"/>
        <v>0.28913089147421367</v>
      </c>
      <c r="CD110" s="417">
        <f t="shared" si="27"/>
        <v>0.29577637461695849</v>
      </c>
      <c r="CE110" s="525">
        <f t="shared" si="67"/>
        <v>0.28913089147421367</v>
      </c>
      <c r="CF110" s="1"/>
      <c r="CG110" s="527">
        <f t="shared" si="68"/>
        <v>1747.7927168518324</v>
      </c>
      <c r="CH110" s="528">
        <f t="shared" si="69"/>
        <v>769.63903392211466</v>
      </c>
      <c r="CI110" s="528">
        <f t="shared" si="70"/>
        <v>2931.1672087530142</v>
      </c>
      <c r="CJ110" s="528">
        <f t="shared" si="71"/>
        <v>3710.4892712009678</v>
      </c>
      <c r="CK110" s="528">
        <f t="shared" si="72"/>
        <v>44.65933648109722</v>
      </c>
      <c r="CL110" s="528">
        <f t="shared" si="73"/>
        <v>9203.7475672090259</v>
      </c>
      <c r="CM110" s="646">
        <f t="shared" si="74"/>
        <v>0</v>
      </c>
    </row>
    <row r="111" spans="1:91" s="4" customFormat="1">
      <c r="A111" s="150">
        <f>'Input data'!A131</f>
        <v>2031</v>
      </c>
      <c r="B111" s="1508">
        <f>'Input data'!B131</f>
        <v>66.518977190687664</v>
      </c>
      <c r="C111" s="1509">
        <f>'Input data'!C131</f>
        <v>3813.477009093895</v>
      </c>
      <c r="D111" s="1509">
        <f>'Input data'!D131</f>
        <v>40172018.684421316</v>
      </c>
      <c r="E111" s="1457">
        <f>E110</f>
        <v>1</v>
      </c>
      <c r="F111" s="1451">
        <f>F110</f>
        <v>0.37</v>
      </c>
      <c r="G111" s="1556">
        <f>B111*F111*'Input data'!$C$9</f>
        <v>753.30236987386229</v>
      </c>
      <c r="H111" s="1551">
        <f>'Input data'!I131</f>
        <v>424.26313389388866</v>
      </c>
      <c r="I111" s="1559">
        <f>'Input data'!K131</f>
        <v>28221.549726337245</v>
      </c>
      <c r="J111" s="1559">
        <f t="shared" si="86"/>
        <v>2563.1272408509826</v>
      </c>
      <c r="K111" s="1513">
        <f t="shared" si="77"/>
        <v>10551.947551239295</v>
      </c>
      <c r="L111" s="1451">
        <f>L110</f>
        <v>0.7</v>
      </c>
      <c r="M111" s="1451">
        <f t="shared" ref="M111:P126" si="88">M110</f>
        <v>0.6</v>
      </c>
      <c r="N111" s="1451">
        <f t="shared" si="88"/>
        <v>0.9</v>
      </c>
      <c r="O111" s="1451">
        <f t="shared" si="88"/>
        <v>0.9</v>
      </c>
      <c r="P111" s="1451">
        <f t="shared" si="88"/>
        <v>0.23600000000000002</v>
      </c>
      <c r="Q111" s="1510">
        <f t="shared" si="33"/>
        <v>302.1786608107227</v>
      </c>
      <c r="R111" s="1511">
        <f t="shared" si="34"/>
        <v>210.86966138714581</v>
      </c>
      <c r="S111" s="1511">
        <f t="shared" si="35"/>
        <v>617.51369575009085</v>
      </c>
      <c r="T111" s="1511">
        <f t="shared" si="36"/>
        <v>415.79506607655048</v>
      </c>
      <c r="U111" s="1513">
        <f t="shared" si="37"/>
        <v>0</v>
      </c>
      <c r="V111" s="1511">
        <f t="shared" si="38"/>
        <v>1546.3570840245097</v>
      </c>
      <c r="W111" s="1456">
        <f t="shared" si="87"/>
        <v>0.5</v>
      </c>
      <c r="X111" s="530">
        <f t="shared" si="39"/>
        <v>3033.4854703020706</v>
      </c>
      <c r="Y111" s="1510">
        <f t="shared" si="78"/>
        <v>4579.8425543265803</v>
      </c>
      <c r="Z111" s="1511">
        <f t="shared" si="79"/>
        <v>8535.2322377636974</v>
      </c>
      <c r="AA111" s="1513">
        <f t="shared" si="80"/>
        <v>5972.1049969127143</v>
      </c>
      <c r="AB111" s="1091">
        <f t="shared" si="40"/>
        <v>0.69970035150179533</v>
      </c>
      <c r="AC111" s="135" t="str">
        <f t="shared" si="41"/>
        <v>Yes</v>
      </c>
      <c r="AD111" s="1091">
        <f t="shared" si="42"/>
        <v>0.69970035150179533</v>
      </c>
      <c r="AE111" s="649">
        <f t="shared" si="10"/>
        <v>0.31568192095747505</v>
      </c>
      <c r="AF111" s="530">
        <f t="shared" si="43"/>
        <v>290.33093279482745</v>
      </c>
      <c r="AG111" s="528">
        <f t="shared" si="44"/>
        <v>2563.1272408509826</v>
      </c>
      <c r="AH111" s="528">
        <f t="shared" si="81"/>
        <v>9282.2948493766726</v>
      </c>
      <c r="AI111" s="528">
        <f t="shared" si="82"/>
        <v>6437.6604656145792</v>
      </c>
      <c r="AJ111" s="528">
        <f t="shared" si="11"/>
        <v>1029.4341404879635</v>
      </c>
      <c r="AK111" s="528">
        <f t="shared" si="45"/>
        <v>19312.5166963302</v>
      </c>
      <c r="AL111" s="716">
        <f t="shared" si="12"/>
        <v>0</v>
      </c>
      <c r="AM111" s="417">
        <f t="shared" si="46"/>
        <v>0.1327184478933309</v>
      </c>
      <c r="AN111" s="417">
        <f t="shared" si="47"/>
        <v>0.48063621097816378</v>
      </c>
      <c r="AO111" s="417">
        <f t="shared" si="48"/>
        <v>0.33334135404723692</v>
      </c>
      <c r="AP111" s="417">
        <f t="shared" si="49"/>
        <v>5.3303987081268309E-2</v>
      </c>
      <c r="AQ111" s="417">
        <f t="shared" si="50"/>
        <v>0.99999999999999989</v>
      </c>
      <c r="AR111" s="1086">
        <f t="shared" si="13"/>
        <v>543.67212223260026</v>
      </c>
      <c r="AS111" s="938">
        <f t="shared" si="14"/>
        <v>689.52333420609659</v>
      </c>
      <c r="AT111" s="938">
        <f t="shared" si="15"/>
        <v>141.61761377016282</v>
      </c>
      <c r="AU111" s="938">
        <f t="shared" si="16"/>
        <v>0</v>
      </c>
      <c r="AV111" s="938">
        <f t="shared" si="17"/>
        <v>0</v>
      </c>
      <c r="AW111" s="938">
        <f t="shared" si="18"/>
        <v>0</v>
      </c>
      <c r="AX111" s="938">
        <f t="shared" si="19"/>
        <v>989.01015060475595</v>
      </c>
      <c r="AY111" s="938">
        <f t="shared" si="20"/>
        <v>79.664233178659885</v>
      </c>
      <c r="AZ111" s="938">
        <f t="shared" si="21"/>
        <v>22.393636876473515</v>
      </c>
      <c r="BA111" s="938">
        <f t="shared" si="22"/>
        <v>57.83840209613961</v>
      </c>
      <c r="BB111" s="938">
        <f t="shared" si="23"/>
        <v>39.407747886093858</v>
      </c>
      <c r="BC111" s="530">
        <f t="shared" si="51"/>
        <v>2563.1272408509826</v>
      </c>
      <c r="BD111" s="724">
        <f t="shared" si="52"/>
        <v>0</v>
      </c>
      <c r="BE111" s="436">
        <f t="shared" si="53"/>
        <v>0.21211281030749607</v>
      </c>
      <c r="BF111" s="624">
        <f t="shared" si="54"/>
        <v>0.26901642775142459</v>
      </c>
      <c r="BG111" s="624">
        <f t="shared" si="55"/>
        <v>5.525188586546504E-2</v>
      </c>
      <c r="BH111" s="624">
        <f t="shared" si="56"/>
        <v>0</v>
      </c>
      <c r="BI111" s="624">
        <f t="shared" si="57"/>
        <v>0</v>
      </c>
      <c r="BJ111" s="624">
        <f t="shared" si="58"/>
        <v>0</v>
      </c>
      <c r="BK111" s="624">
        <f t="shared" si="59"/>
        <v>0.46361887607561419</v>
      </c>
      <c r="BL111" s="624">
        <f t="shared" si="60"/>
        <v>1</v>
      </c>
      <c r="BM111" s="649">
        <f t="shared" si="83"/>
        <v>0.29028184578274857</v>
      </c>
      <c r="BN111" s="417">
        <f t="shared" si="61"/>
        <v>0.30317187715157518</v>
      </c>
      <c r="BO111" s="417">
        <f t="shared" si="61"/>
        <v>8.2805443243048754E-2</v>
      </c>
      <c r="BP111" s="417">
        <f t="shared" si="61"/>
        <v>0</v>
      </c>
      <c r="BQ111" s="417">
        <f t="shared" si="61"/>
        <v>0</v>
      </c>
      <c r="BR111" s="417">
        <f t="shared" si="61"/>
        <v>0</v>
      </c>
      <c r="BS111" s="417">
        <f t="shared" si="61"/>
        <v>0.32374083382262742</v>
      </c>
      <c r="BT111" s="525">
        <f t="shared" si="84"/>
        <v>0.99999999999999989</v>
      </c>
      <c r="BU111"/>
      <c r="BV111" s="527">
        <f t="shared" si="62"/>
        <v>79.855439947937498</v>
      </c>
      <c r="BW111" s="114">
        <f t="shared" si="63"/>
        <v>0.66606735284547747</v>
      </c>
      <c r="BX111" s="1695">
        <f t="shared" si="24"/>
        <v>40.172018684421317</v>
      </c>
      <c r="BY111" s="527">
        <f t="shared" si="64"/>
        <v>79.855439947937498</v>
      </c>
      <c r="BZ111" s="417">
        <f t="shared" si="65"/>
        <v>0.66606735284547747</v>
      </c>
      <c r="CA111" s="544">
        <f t="shared" si="25"/>
        <v>40.172018684421317</v>
      </c>
      <c r="CB111" s="649">
        <f t="shared" si="26"/>
        <v>0.31568192095747505</v>
      </c>
      <c r="CC111" s="525">
        <f t="shared" si="66"/>
        <v>0.29768776097259209</v>
      </c>
      <c r="CD111" s="417">
        <f t="shared" si="27"/>
        <v>0.31568192095747505</v>
      </c>
      <c r="CE111" s="525">
        <f t="shared" si="67"/>
        <v>0.29768776097259209</v>
      </c>
      <c r="CF111"/>
      <c r="CG111" s="527">
        <f t="shared" si="68"/>
        <v>1762.7088547292153</v>
      </c>
      <c r="CH111" s="528">
        <f t="shared" si="69"/>
        <v>776.20734252937109</v>
      </c>
      <c r="CI111" s="528">
        <f t="shared" si="70"/>
        <v>2956.1825860376707</v>
      </c>
      <c r="CJ111" s="528">
        <f t="shared" si="71"/>
        <v>3742.1555946889584</v>
      </c>
      <c r="CK111" s="528">
        <f t="shared" si="72"/>
        <v>45.040471391456826</v>
      </c>
      <c r="CL111" s="528">
        <f t="shared" si="73"/>
        <v>9282.2948493766726</v>
      </c>
      <c r="CM111" s="646">
        <f t="shared" si="74"/>
        <v>0</v>
      </c>
    </row>
    <row r="112" spans="1:91" s="4" customFormat="1">
      <c r="A112" s="150">
        <f>'Input data'!A132</f>
        <v>2032</v>
      </c>
      <c r="B112" s="1508">
        <f>'Input data'!B132</f>
        <v>67.08666821358311</v>
      </c>
      <c r="C112" s="1509">
        <f>'Input data'!C132</f>
        <v>3916.9054384503629</v>
      </c>
      <c r="D112" s="1509">
        <f>'Input data'!D132</f>
        <v>39638613.148632608</v>
      </c>
      <c r="E112" s="1457">
        <f t="shared" ref="E112:F127" si="89">E111</f>
        <v>1</v>
      </c>
      <c r="F112" s="1451">
        <f t="shared" si="89"/>
        <v>0.37</v>
      </c>
      <c r="G112" s="1556">
        <f>B112*F112*'Input data'!$C$9</f>
        <v>759.73125695186627</v>
      </c>
      <c r="H112" s="1551">
        <f>'Input data'!I132</f>
        <v>424.26313389388866</v>
      </c>
      <c r="I112" s="1559">
        <f>'Input data'!K132</f>
        <v>28462.400098794296</v>
      </c>
      <c r="J112" s="1559">
        <f>J97*(1-$G$6)</f>
        <v>2228.8062963921584</v>
      </c>
      <c r="K112" s="1513">
        <f t="shared" si="77"/>
        <v>10998.19610701314</v>
      </c>
      <c r="L112" s="1451">
        <f>C20</f>
        <v>0.7</v>
      </c>
      <c r="M112" s="1451">
        <f>D20</f>
        <v>0.6</v>
      </c>
      <c r="N112" s="1451">
        <f t="shared" si="88"/>
        <v>0.9</v>
      </c>
      <c r="O112" s="1451">
        <f t="shared" si="88"/>
        <v>0.9</v>
      </c>
      <c r="P112" s="1451">
        <f t="shared" si="88"/>
        <v>0.23600000000000002</v>
      </c>
      <c r="Q112" s="1510">
        <f t="shared" si="33"/>
        <v>304.75753559650093</v>
      </c>
      <c r="R112" s="1511">
        <f t="shared" si="34"/>
        <v>212.66928036546119</v>
      </c>
      <c r="S112" s="1511">
        <f t="shared" si="35"/>
        <v>622.7837253927205</v>
      </c>
      <c r="T112" s="1511">
        <f t="shared" si="36"/>
        <v>419.34357413161615</v>
      </c>
      <c r="U112" s="1513">
        <f t="shared" si="37"/>
        <v>0</v>
      </c>
      <c r="V112" s="1511">
        <f t="shared" si="38"/>
        <v>1559.5541154862988</v>
      </c>
      <c r="W112" s="1456">
        <f t="shared" si="87"/>
        <v>0.5</v>
      </c>
      <c r="X112" s="530">
        <f t="shared" si="39"/>
        <v>3033.4854703020706</v>
      </c>
      <c r="Y112" s="1510">
        <f t="shared" si="78"/>
        <v>4593.0395857883695</v>
      </c>
      <c r="Z112" s="1511">
        <f t="shared" si="79"/>
        <v>8633.9628176169281</v>
      </c>
      <c r="AA112" s="1513">
        <f t="shared" si="80"/>
        <v>6405.1565212247697</v>
      </c>
      <c r="AB112" s="1091">
        <f t="shared" si="40"/>
        <v>0.74185593064583821</v>
      </c>
      <c r="AC112" s="135" t="str">
        <f t="shared" si="41"/>
        <v>Yes</v>
      </c>
      <c r="AD112" s="1091">
        <f t="shared" si="42"/>
        <v>0.74185593064583821</v>
      </c>
      <c r="AE112" s="649">
        <f t="shared" si="10"/>
        <v>0.33524737223917422</v>
      </c>
      <c r="AF112" s="530">
        <f t="shared" si="43"/>
        <v>282.03003311800558</v>
      </c>
      <c r="AG112" s="528">
        <f t="shared" si="44"/>
        <v>2228.8062963921584</v>
      </c>
      <c r="AH112" s="528">
        <f t="shared" si="81"/>
        <v>9361.5124753896816</v>
      </c>
      <c r="AI112" s="528">
        <f t="shared" si="82"/>
        <v>6437.6604656145792</v>
      </c>
      <c r="AJ112" s="528">
        <f t="shared" si="11"/>
        <v>892.47602065707667</v>
      </c>
      <c r="AK112" s="528">
        <f t="shared" si="45"/>
        <v>18920.455258053495</v>
      </c>
      <c r="AL112" s="716">
        <f t="shared" si="12"/>
        <v>0</v>
      </c>
      <c r="AM112" s="417">
        <f t="shared" si="46"/>
        <v>0.117798766784085</v>
      </c>
      <c r="AN112" s="417">
        <f t="shared" si="47"/>
        <v>0.49478262270697487</v>
      </c>
      <c r="AO112" s="417">
        <f t="shared" si="48"/>
        <v>0.34024870849100675</v>
      </c>
      <c r="AP112" s="417">
        <f t="shared" si="49"/>
        <v>4.7169902017933425E-2</v>
      </c>
      <c r="AQ112" s="417">
        <f t="shared" si="50"/>
        <v>1</v>
      </c>
      <c r="AR112" s="1086">
        <f t="shared" si="13"/>
        <v>474.28711157023099</v>
      </c>
      <c r="AS112" s="938">
        <f t="shared" si="14"/>
        <v>601.52436950035451</v>
      </c>
      <c r="AT112" s="938">
        <f t="shared" si="15"/>
        <v>122.77650353876473</v>
      </c>
      <c r="AU112" s="938">
        <f t="shared" si="16"/>
        <v>0</v>
      </c>
      <c r="AV112" s="938">
        <f t="shared" si="17"/>
        <v>0</v>
      </c>
      <c r="AW112" s="938">
        <f t="shared" si="18"/>
        <v>0</v>
      </c>
      <c r="AX112" s="938">
        <f t="shared" si="19"/>
        <v>857.43012484780604</v>
      </c>
      <c r="AY112" s="938">
        <f t="shared" si="20"/>
        <v>69.065533208648347</v>
      </c>
      <c r="AZ112" s="938">
        <f t="shared" si="21"/>
        <v>19.414339530337624</v>
      </c>
      <c r="BA112" s="938">
        <f t="shared" si="22"/>
        <v>50.14345737499864</v>
      </c>
      <c r="BB112" s="938">
        <f t="shared" si="23"/>
        <v>34.164856821017388</v>
      </c>
      <c r="BC112" s="530">
        <f t="shared" si="51"/>
        <v>2228.8062963921584</v>
      </c>
      <c r="BD112" s="724">
        <f t="shared" si="52"/>
        <v>0</v>
      </c>
      <c r="BE112" s="436">
        <f t="shared" si="53"/>
        <v>0.21279871307702919</v>
      </c>
      <c r="BF112" s="624">
        <f t="shared" si="54"/>
        <v>0.26988633802500545</v>
      </c>
      <c r="BG112" s="624">
        <f t="shared" si="55"/>
        <v>5.5086215315124989E-2</v>
      </c>
      <c r="BH112" s="624">
        <f t="shared" si="56"/>
        <v>0</v>
      </c>
      <c r="BI112" s="624">
        <f t="shared" si="57"/>
        <v>0</v>
      </c>
      <c r="BJ112" s="624">
        <f t="shared" si="58"/>
        <v>0</v>
      </c>
      <c r="BK112" s="624">
        <f t="shared" si="59"/>
        <v>0.46222873358284033</v>
      </c>
      <c r="BL112" s="624">
        <f t="shared" si="60"/>
        <v>1</v>
      </c>
      <c r="BM112" s="649">
        <f t="shared" si="83"/>
        <v>0.29028184578274857</v>
      </c>
      <c r="BN112" s="417">
        <f t="shared" si="61"/>
        <v>0.30317187715157518</v>
      </c>
      <c r="BO112" s="417">
        <f t="shared" si="61"/>
        <v>8.2805443243048754E-2</v>
      </c>
      <c r="BP112" s="417">
        <f t="shared" si="61"/>
        <v>0</v>
      </c>
      <c r="BQ112" s="417">
        <f t="shared" si="61"/>
        <v>0</v>
      </c>
      <c r="BR112" s="417">
        <f t="shared" si="61"/>
        <v>0</v>
      </c>
      <c r="BS112" s="417">
        <f t="shared" si="61"/>
        <v>0.32374083382262742</v>
      </c>
      <c r="BT112" s="525">
        <f t="shared" si="84"/>
        <v>0.99999999999999989</v>
      </c>
      <c r="BU112"/>
      <c r="BV112" s="527">
        <f t="shared" si="62"/>
        <v>79.462075583852211</v>
      </c>
      <c r="BW112" s="114">
        <f t="shared" si="63"/>
        <v>0.67264919781609989</v>
      </c>
      <c r="BX112" s="1695">
        <f t="shared" si="24"/>
        <v>39.638613148632608</v>
      </c>
      <c r="BY112" s="527">
        <f t="shared" si="64"/>
        <v>79.462075583852211</v>
      </c>
      <c r="BZ112" s="417">
        <f t="shared" si="65"/>
        <v>0.67264919781609989</v>
      </c>
      <c r="CA112" s="544">
        <f t="shared" si="25"/>
        <v>39.638613148632608</v>
      </c>
      <c r="CB112" s="649">
        <f t="shared" si="26"/>
        <v>0.33524737223917422</v>
      </c>
      <c r="CC112" s="525">
        <f t="shared" si="66"/>
        <v>0.3034807025407471</v>
      </c>
      <c r="CD112" s="417">
        <f t="shared" si="27"/>
        <v>0.33524737223917422</v>
      </c>
      <c r="CE112" s="525">
        <f t="shared" si="67"/>
        <v>0.3034807025407471</v>
      </c>
      <c r="CF112"/>
      <c r="CG112" s="527">
        <f t="shared" si="68"/>
        <v>1777.7522909795882</v>
      </c>
      <c r="CH112" s="528">
        <f t="shared" si="69"/>
        <v>782.83170686672827</v>
      </c>
      <c r="CI112" s="528">
        <f t="shared" si="70"/>
        <v>2981.4114513481313</v>
      </c>
      <c r="CJ112" s="528">
        <f t="shared" si="71"/>
        <v>3774.0921671845485</v>
      </c>
      <c r="CK112" s="528">
        <f t="shared" si="72"/>
        <v>45.424859010686319</v>
      </c>
      <c r="CL112" s="528">
        <f t="shared" si="73"/>
        <v>9361.5124753896835</v>
      </c>
      <c r="CM112" s="646">
        <f t="shared" si="74"/>
        <v>0</v>
      </c>
    </row>
    <row r="113" spans="1:91">
      <c r="A113" s="873">
        <f>'Input data'!A133</f>
        <v>2033</v>
      </c>
      <c r="B113" s="1553">
        <f>'Input data'!B133</f>
        <v>67.659204065895452</v>
      </c>
      <c r="C113" s="1552">
        <f>'Input data'!C133</f>
        <v>4023.8304695138613</v>
      </c>
      <c r="D113" s="1552">
        <f>'Input data'!D133</f>
        <v>38783300.848650038</v>
      </c>
      <c r="E113" s="1457">
        <f t="shared" si="89"/>
        <v>1</v>
      </c>
      <c r="F113" s="1451">
        <f t="shared" si="89"/>
        <v>0.37</v>
      </c>
      <c r="G113" s="1556">
        <f>B113*F113*'Input data'!$C$9</f>
        <v>766.21500989876245</v>
      </c>
      <c r="H113" s="1544">
        <f>'Input data'!I133</f>
        <v>424.26313389388866</v>
      </c>
      <c r="I113" s="1511">
        <f>'Input data'!K133</f>
        <v>28705.305953762938</v>
      </c>
      <c r="J113" s="1511">
        <f>J112</f>
        <v>2228.8062963921584</v>
      </c>
      <c r="K113" s="1513">
        <f t="shared" si="77"/>
        <v>11111.078938971066</v>
      </c>
      <c r="L113" s="1506">
        <f t="shared" ref="L113:P127" si="90">L112</f>
        <v>0.7</v>
      </c>
      <c r="M113" s="1506">
        <f t="shared" si="88"/>
        <v>0.6</v>
      </c>
      <c r="N113" s="1506">
        <f t="shared" si="88"/>
        <v>0.9</v>
      </c>
      <c r="O113" s="1506">
        <f t="shared" si="88"/>
        <v>0.9</v>
      </c>
      <c r="P113" s="1506">
        <f t="shared" si="88"/>
        <v>0.23600000000000002</v>
      </c>
      <c r="Q113" s="1510">
        <f t="shared" si="33"/>
        <v>307.35841920031703</v>
      </c>
      <c r="R113" s="1511">
        <f t="shared" si="34"/>
        <v>214.484257781049</v>
      </c>
      <c r="S113" s="1511">
        <f t="shared" si="35"/>
        <v>628.09873090005567</v>
      </c>
      <c r="T113" s="1511">
        <f t="shared" si="36"/>
        <v>422.92236611846511</v>
      </c>
      <c r="U113" s="1513">
        <f t="shared" si="37"/>
        <v>0</v>
      </c>
      <c r="V113" s="1511">
        <f t="shared" si="38"/>
        <v>1572.8637739998867</v>
      </c>
      <c r="W113" s="1456">
        <f t="shared" si="87"/>
        <v>0.5</v>
      </c>
      <c r="X113" s="530">
        <f t="shared" si="39"/>
        <v>3033.4854703020706</v>
      </c>
      <c r="Y113" s="1510">
        <f t="shared" si="78"/>
        <v>4606.3492443019568</v>
      </c>
      <c r="Z113" s="1511">
        <f t="shared" si="79"/>
        <v>8733.5359910612679</v>
      </c>
      <c r="AA113" s="1513">
        <f t="shared" si="80"/>
        <v>6504.7296946691094</v>
      </c>
      <c r="AB113" s="1091">
        <f t="shared" si="40"/>
        <v>0.74479909412712897</v>
      </c>
      <c r="AC113" s="135" t="str">
        <f t="shared" si="41"/>
        <v>Yes</v>
      </c>
      <c r="AD113" s="1091">
        <f t="shared" si="42"/>
        <v>0.74479909412712897</v>
      </c>
      <c r="AE113" s="649">
        <f t="shared" si="10"/>
        <v>0.33818146943254268</v>
      </c>
      <c r="AF113" s="530">
        <f t="shared" si="43"/>
        <v>280.78520384759781</v>
      </c>
      <c r="AG113" s="528">
        <f t="shared" si="44"/>
        <v>2228.8062963921584</v>
      </c>
      <c r="AH113" s="528">
        <f t="shared" si="81"/>
        <v>9441.4061661445412</v>
      </c>
      <c r="AI113" s="528">
        <f t="shared" si="82"/>
        <v>6437.6604656145792</v>
      </c>
      <c r="AJ113" s="528">
        <f t="shared" si="11"/>
        <v>889.83047765739286</v>
      </c>
      <c r="AK113" s="528">
        <f t="shared" si="45"/>
        <v>18997.703405808672</v>
      </c>
      <c r="AL113" s="716">
        <f t="shared" si="12"/>
        <v>0</v>
      </c>
      <c r="AM113" s="417">
        <f t="shared" si="46"/>
        <v>0.11731977538457024</v>
      </c>
      <c r="AN113" s="417">
        <f t="shared" si="47"/>
        <v>0.49697618519814185</v>
      </c>
      <c r="AO113" s="417">
        <f t="shared" si="48"/>
        <v>0.33886519481329636</v>
      </c>
      <c r="AP113" s="417">
        <f t="shared" si="49"/>
        <v>4.6838844603991521E-2</v>
      </c>
      <c r="AQ113" s="417">
        <f t="shared" si="50"/>
        <v>1</v>
      </c>
      <c r="AR113" s="1086">
        <f t="shared" si="13"/>
        <v>475.79389477735378</v>
      </c>
      <c r="AS113" s="938">
        <f t="shared" si="14"/>
        <v>603.43537824701332</v>
      </c>
      <c r="AT113" s="938">
        <f t="shared" si="15"/>
        <v>122.41256040534195</v>
      </c>
      <c r="AU113" s="938">
        <f t="shared" si="16"/>
        <v>0</v>
      </c>
      <c r="AV113" s="938">
        <f t="shared" si="17"/>
        <v>0</v>
      </c>
      <c r="AW113" s="938">
        <f t="shared" si="18"/>
        <v>0</v>
      </c>
      <c r="AX113" s="938">
        <f t="shared" si="19"/>
        <v>854.88846746765705</v>
      </c>
      <c r="AY113" s="938">
        <f t="shared" si="20"/>
        <v>68.860804080167085</v>
      </c>
      <c r="AZ113" s="938">
        <f t="shared" si="21"/>
        <v>19.356790118533684</v>
      </c>
      <c r="BA113" s="938">
        <f t="shared" si="22"/>
        <v>49.994818454099921</v>
      </c>
      <c r="BB113" s="938">
        <f t="shared" si="23"/>
        <v>34.063582841990474</v>
      </c>
      <c r="BC113" s="530">
        <f t="shared" si="51"/>
        <v>2228.806296392157</v>
      </c>
      <c r="BD113" s="724">
        <f t="shared" si="52"/>
        <v>0</v>
      </c>
      <c r="BE113" s="436">
        <f t="shared" si="53"/>
        <v>0.21347476249844466</v>
      </c>
      <c r="BF113" s="624">
        <f t="shared" si="54"/>
        <v>0.27074375158748171</v>
      </c>
      <c r="BG113" s="624">
        <f t="shared" si="55"/>
        <v>5.492292470794579E-2</v>
      </c>
      <c r="BH113" s="624">
        <f t="shared" si="56"/>
        <v>0</v>
      </c>
      <c r="BI113" s="624">
        <f t="shared" si="57"/>
        <v>0</v>
      </c>
      <c r="BJ113" s="624">
        <f t="shared" si="58"/>
        <v>0</v>
      </c>
      <c r="BK113" s="624">
        <f t="shared" si="59"/>
        <v>0.46085856120612789</v>
      </c>
      <c r="BL113" s="624">
        <f t="shared" si="60"/>
        <v>1</v>
      </c>
      <c r="BM113" s="649">
        <f t="shared" si="83"/>
        <v>0.29028184578274857</v>
      </c>
      <c r="BN113" s="417">
        <f t="shared" si="61"/>
        <v>0.30317187715157518</v>
      </c>
      <c r="BO113" s="417">
        <f t="shared" si="61"/>
        <v>8.2805443243048754E-2</v>
      </c>
      <c r="BP113" s="417">
        <f t="shared" si="61"/>
        <v>0</v>
      </c>
      <c r="BQ113" s="417">
        <f t="shared" si="61"/>
        <v>0</v>
      </c>
      <c r="BR113" s="417">
        <f t="shared" si="61"/>
        <v>0</v>
      </c>
      <c r="BS113" s="417">
        <f t="shared" si="61"/>
        <v>0.32374083382262742</v>
      </c>
      <c r="BT113" s="525">
        <f t="shared" si="84"/>
        <v>0.99999999999999989</v>
      </c>
      <c r="BV113" s="527">
        <f t="shared" si="62"/>
        <v>79.234102818055973</v>
      </c>
      <c r="BW113" s="114">
        <f t="shared" si="63"/>
        <v>0.67818419217625725</v>
      </c>
      <c r="BX113" s="1695">
        <f t="shared" si="24"/>
        <v>38.783300848650036</v>
      </c>
      <c r="BY113" s="527">
        <f t="shared" si="64"/>
        <v>79.234102818055973</v>
      </c>
      <c r="BZ113" s="417">
        <f t="shared" si="65"/>
        <v>0.67818419217625725</v>
      </c>
      <c r="CA113" s="544">
        <f t="shared" si="25"/>
        <v>38.783300848650036</v>
      </c>
      <c r="CB113" s="649">
        <f t="shared" si="26"/>
        <v>0.33818146943254268</v>
      </c>
      <c r="CC113" s="525">
        <f t="shared" si="66"/>
        <v>0.31044629548126956</v>
      </c>
      <c r="CD113" s="417">
        <f t="shared" si="27"/>
        <v>0.33818146943254268</v>
      </c>
      <c r="CE113" s="525">
        <f t="shared" si="67"/>
        <v>0.31044629548126956</v>
      </c>
      <c r="CG113" s="527">
        <f t="shared" si="68"/>
        <v>1792.9241120018478</v>
      </c>
      <c r="CH113" s="528">
        <f t="shared" si="69"/>
        <v>789.51260532901495</v>
      </c>
      <c r="CI113" s="528">
        <f t="shared" si="70"/>
        <v>3006.8556266492046</v>
      </c>
      <c r="CJ113" s="528">
        <f t="shared" si="71"/>
        <v>3806.3012950661869</v>
      </c>
      <c r="CK113" s="528">
        <f t="shared" si="72"/>
        <v>45.81252709828685</v>
      </c>
      <c r="CL113" s="528">
        <f t="shared" si="73"/>
        <v>9441.4061661445412</v>
      </c>
      <c r="CM113" s="646">
        <f t="shared" si="74"/>
        <v>0</v>
      </c>
    </row>
    <row r="114" spans="1:91">
      <c r="A114" s="873">
        <f>'Input data'!A134</f>
        <v>2034</v>
      </c>
      <c r="B114" s="1553">
        <f>'Input data'!B134</f>
        <v>68.236626094715163</v>
      </c>
      <c r="C114" s="1552">
        <f>'Input data'!C134</f>
        <v>4047.8499716455863</v>
      </c>
      <c r="D114" s="1552">
        <f>'Input data'!D134</f>
        <v>38249557.30478432</v>
      </c>
      <c r="E114" s="1457">
        <f t="shared" si="89"/>
        <v>1</v>
      </c>
      <c r="F114" s="1451">
        <f t="shared" si="89"/>
        <v>0.37</v>
      </c>
      <c r="G114" s="1556">
        <f>B114*F114*'Input data'!$C$9</f>
        <v>772.75409695478163</v>
      </c>
      <c r="H114" s="1544">
        <f>'Input data'!I134</f>
        <v>424.26313389388866</v>
      </c>
      <c r="I114" s="1511">
        <f>'Input data'!K134</f>
        <v>28950.284833289355</v>
      </c>
      <c r="J114" s="1511">
        <f t="shared" ref="J114:J130" si="91">J113</f>
        <v>2228.8062963921584</v>
      </c>
      <c r="K114" s="1513">
        <f t="shared" si="77"/>
        <v>11224.925143684375</v>
      </c>
      <c r="L114" s="1506">
        <f t="shared" si="90"/>
        <v>0.7</v>
      </c>
      <c r="M114" s="1506">
        <f t="shared" si="88"/>
        <v>0.6</v>
      </c>
      <c r="N114" s="1506">
        <f t="shared" si="88"/>
        <v>0.9</v>
      </c>
      <c r="O114" s="1506">
        <f t="shared" si="88"/>
        <v>0.9</v>
      </c>
      <c r="P114" s="1506">
        <f t="shared" si="88"/>
        <v>0.23600000000000002</v>
      </c>
      <c r="Q114" s="1510">
        <f t="shared" si="33"/>
        <v>309.98149945140312</v>
      </c>
      <c r="R114" s="1511">
        <f t="shared" si="34"/>
        <v>216.31472470698566</v>
      </c>
      <c r="S114" s="1511">
        <f t="shared" si="35"/>
        <v>633.45909610834542</v>
      </c>
      <c r="T114" s="1511">
        <f t="shared" si="36"/>
        <v>426.5317004883982</v>
      </c>
      <c r="U114" s="1513">
        <f t="shared" si="37"/>
        <v>0</v>
      </c>
      <c r="V114" s="1511">
        <f t="shared" si="38"/>
        <v>1586.2870207551323</v>
      </c>
      <c r="W114" s="1456">
        <f t="shared" si="87"/>
        <v>0.5</v>
      </c>
      <c r="X114" s="530">
        <f t="shared" si="39"/>
        <v>3033.4854703020706</v>
      </c>
      <c r="Y114" s="1510">
        <f t="shared" si="78"/>
        <v>4619.7724910572033</v>
      </c>
      <c r="Z114" s="1511">
        <f t="shared" si="79"/>
        <v>8833.9589490193302</v>
      </c>
      <c r="AA114" s="1513">
        <f t="shared" si="80"/>
        <v>6605.1526526271718</v>
      </c>
      <c r="AB114" s="1091">
        <f t="shared" si="40"/>
        <v>0.74770017505689435</v>
      </c>
      <c r="AC114" s="135" t="str">
        <f t="shared" si="41"/>
        <v>Yes</v>
      </c>
      <c r="AD114" s="1091">
        <f t="shared" si="42"/>
        <v>0.74770017505689435</v>
      </c>
      <c r="AE114" s="649">
        <f t="shared" si="10"/>
        <v>0.34108865163413971</v>
      </c>
      <c r="AF114" s="530">
        <f t="shared" si="43"/>
        <v>279.5517936159477</v>
      </c>
      <c r="AG114" s="528">
        <f t="shared" si="44"/>
        <v>2228.8062963921584</v>
      </c>
      <c r="AH114" s="528">
        <f t="shared" si="81"/>
        <v>9521.9816913614286</v>
      </c>
      <c r="AI114" s="528">
        <f t="shared" si="82"/>
        <v>6437.6604656145792</v>
      </c>
      <c r="AJ114" s="528">
        <f t="shared" si="11"/>
        <v>887.22276171023486</v>
      </c>
      <c r="AK114" s="528">
        <f t="shared" si="45"/>
        <v>19075.671215078404</v>
      </c>
      <c r="AL114" s="716">
        <f t="shared" si="12"/>
        <v>0</v>
      </c>
      <c r="AM114" s="417">
        <f t="shared" si="46"/>
        <v>0.11684025538406186</v>
      </c>
      <c r="AN114" s="417">
        <f t="shared" si="47"/>
        <v>0.49916889340359138</v>
      </c>
      <c r="AO114" s="417">
        <f t="shared" si="48"/>
        <v>0.33748015433008288</v>
      </c>
      <c r="AP114" s="417">
        <f t="shared" si="49"/>
        <v>4.6510696882263718E-2</v>
      </c>
      <c r="AQ114" s="417">
        <f t="shared" si="50"/>
        <v>0.99999999999999978</v>
      </c>
      <c r="AR114" s="1086">
        <f t="shared" si="13"/>
        <v>477.27913338379346</v>
      </c>
      <c r="AS114" s="938">
        <f t="shared" si="14"/>
        <v>605.31906261140239</v>
      </c>
      <c r="AT114" s="938">
        <f t="shared" si="15"/>
        <v>122.05382107923813</v>
      </c>
      <c r="AU114" s="938">
        <f t="shared" si="16"/>
        <v>0</v>
      </c>
      <c r="AV114" s="938">
        <f t="shared" si="17"/>
        <v>0</v>
      </c>
      <c r="AW114" s="938">
        <f t="shared" si="18"/>
        <v>0</v>
      </c>
      <c r="AX114" s="938">
        <f t="shared" si="19"/>
        <v>852.38315174108629</v>
      </c>
      <c r="AY114" s="938">
        <f t="shared" si="20"/>
        <v>68.659002252242828</v>
      </c>
      <c r="AZ114" s="938">
        <f t="shared" si="21"/>
        <v>19.300063571685364</v>
      </c>
      <c r="BA114" s="938">
        <f t="shared" si="22"/>
        <v>49.848304833099625</v>
      </c>
      <c r="BB114" s="938">
        <f t="shared" si="23"/>
        <v>33.963756919610013</v>
      </c>
      <c r="BC114" s="530">
        <f t="shared" si="51"/>
        <v>2228.8062963921584</v>
      </c>
      <c r="BD114" s="724">
        <f t="shared" si="52"/>
        <v>0</v>
      </c>
      <c r="BE114" s="436">
        <f t="shared" si="53"/>
        <v>0.21414114548957475</v>
      </c>
      <c r="BF114" s="624">
        <f t="shared" si="54"/>
        <v>0.27158890550123271</v>
      </c>
      <c r="BG114" s="624">
        <f t="shared" si="55"/>
        <v>5.4761968896449478E-2</v>
      </c>
      <c r="BH114" s="624">
        <f t="shared" si="56"/>
        <v>0</v>
      </c>
      <c r="BI114" s="624">
        <f t="shared" si="57"/>
        <v>0</v>
      </c>
      <c r="BJ114" s="624">
        <f t="shared" si="58"/>
        <v>0</v>
      </c>
      <c r="BK114" s="624">
        <f t="shared" si="59"/>
        <v>0.45950798011274291</v>
      </c>
      <c r="BL114" s="624">
        <f t="shared" si="60"/>
        <v>0.99999999999999978</v>
      </c>
      <c r="BM114" s="649">
        <f t="shared" si="83"/>
        <v>0.29028184578274857</v>
      </c>
      <c r="BN114" s="417">
        <f t="shared" si="83"/>
        <v>0.30317187715157518</v>
      </c>
      <c r="BO114" s="417">
        <f t="shared" si="83"/>
        <v>8.2805443243048754E-2</v>
      </c>
      <c r="BP114" s="417">
        <f t="shared" si="83"/>
        <v>0</v>
      </c>
      <c r="BQ114" s="417">
        <f t="shared" si="83"/>
        <v>0</v>
      </c>
      <c r="BR114" s="417">
        <f t="shared" si="83"/>
        <v>0</v>
      </c>
      <c r="BS114" s="417">
        <f t="shared" si="83"/>
        <v>0.32374083382262742</v>
      </c>
      <c r="BT114" s="525">
        <f t="shared" si="84"/>
        <v>0.99999999999999989</v>
      </c>
      <c r="BV114" s="527">
        <f t="shared" si="62"/>
        <v>78.901898908481755</v>
      </c>
      <c r="BW114" s="114">
        <f t="shared" si="63"/>
        <v>0.68088802642801638</v>
      </c>
      <c r="BX114" s="1695">
        <f t="shared" si="24"/>
        <v>38.249557304784318</v>
      </c>
      <c r="BY114" s="527">
        <f t="shared" si="64"/>
        <v>78.901898908481755</v>
      </c>
      <c r="BZ114" s="417">
        <f t="shared" si="65"/>
        <v>0.68088802642801638</v>
      </c>
      <c r="CA114" s="544">
        <f t="shared" si="25"/>
        <v>38.249557304784318</v>
      </c>
      <c r="CB114" s="649">
        <f t="shared" si="26"/>
        <v>0.34108865163413971</v>
      </c>
      <c r="CC114" s="525">
        <f t="shared" si="66"/>
        <v>0.31322500466537995</v>
      </c>
      <c r="CD114" s="417">
        <f t="shared" si="27"/>
        <v>0.34108865163413971</v>
      </c>
      <c r="CE114" s="525">
        <f t="shared" si="67"/>
        <v>0.31322500466537995</v>
      </c>
      <c r="CG114" s="527">
        <f t="shared" si="68"/>
        <v>1808.2254134665175</v>
      </c>
      <c r="CH114" s="528">
        <f t="shared" si="69"/>
        <v>796.25052039381262</v>
      </c>
      <c r="CI114" s="528">
        <f t="shared" si="70"/>
        <v>3032.5169494548468</v>
      </c>
      <c r="CJ114" s="528">
        <f t="shared" si="71"/>
        <v>3838.7853043955847</v>
      </c>
      <c r="CK114" s="528">
        <f t="shared" si="72"/>
        <v>46.203503650666732</v>
      </c>
      <c r="CL114" s="528">
        <f t="shared" si="73"/>
        <v>9521.9816913614286</v>
      </c>
      <c r="CM114" s="646">
        <f t="shared" si="74"/>
        <v>0</v>
      </c>
    </row>
    <row r="115" spans="1:91">
      <c r="A115" s="873">
        <f>'Input data'!A135</f>
        <v>2035</v>
      </c>
      <c r="B115" s="1553">
        <f>'Input data'!B135</f>
        <v>68.818976000000006</v>
      </c>
      <c r="C115" s="1552">
        <f>'Input data'!C135</f>
        <v>0</v>
      </c>
      <c r="D115" s="1552">
        <f>'Input data'!D135</f>
        <v>38181094.662935674</v>
      </c>
      <c r="E115" s="1457">
        <f t="shared" si="89"/>
        <v>1</v>
      </c>
      <c r="F115" s="1451">
        <f t="shared" si="89"/>
        <v>0.37</v>
      </c>
      <c r="G115" s="1556">
        <f>B115*F115*'Input data'!$C$9</f>
        <v>779.34899035624392</v>
      </c>
      <c r="H115" s="1544">
        <f>'Input data'!I135</f>
        <v>424.26313389388866</v>
      </c>
      <c r="I115" s="1511">
        <f>'Input data'!K135</f>
        <v>29197.354429128314</v>
      </c>
      <c r="J115" s="1511">
        <f t="shared" si="91"/>
        <v>2228.8062963921584</v>
      </c>
      <c r="K115" s="1513">
        <f t="shared" si="77"/>
        <v>11339.742942837889</v>
      </c>
      <c r="L115" s="1506">
        <f t="shared" si="90"/>
        <v>0.7</v>
      </c>
      <c r="M115" s="1506">
        <f t="shared" si="88"/>
        <v>0.6</v>
      </c>
      <c r="N115" s="1506">
        <f t="shared" si="88"/>
        <v>0.9</v>
      </c>
      <c r="O115" s="1506">
        <f t="shared" si="88"/>
        <v>0.9</v>
      </c>
      <c r="P115" s="1506">
        <f t="shared" si="88"/>
        <v>0.23600000000000002</v>
      </c>
      <c r="Q115" s="1510">
        <f t="shared" si="33"/>
        <v>312.62696578197756</v>
      </c>
      <c r="R115" s="1511">
        <f t="shared" si="34"/>
        <v>218.16081333496061</v>
      </c>
      <c r="S115" s="1511">
        <f t="shared" si="35"/>
        <v>638.86520812960043</v>
      </c>
      <c r="T115" s="1511">
        <f t="shared" si="36"/>
        <v>430.17183789841056</v>
      </c>
      <c r="U115" s="1513">
        <f t="shared" si="37"/>
        <v>0</v>
      </c>
      <c r="V115" s="1511">
        <f t="shared" si="38"/>
        <v>1599.824825144949</v>
      </c>
      <c r="W115" s="1456">
        <f t="shared" si="87"/>
        <v>0.5</v>
      </c>
      <c r="X115" s="530">
        <f t="shared" si="39"/>
        <v>3033.4854703020706</v>
      </c>
      <c r="Y115" s="1510">
        <f t="shared" si="78"/>
        <v>4633.3102954470196</v>
      </c>
      <c r="Z115" s="1511">
        <f t="shared" si="79"/>
        <v>8935.2389437830279</v>
      </c>
      <c r="AA115" s="1513">
        <f t="shared" si="80"/>
        <v>6706.4326473908695</v>
      </c>
      <c r="AB115" s="1091">
        <f t="shared" si="40"/>
        <v>0.75055996706804129</v>
      </c>
      <c r="AC115" s="135" t="str">
        <f t="shared" si="41"/>
        <v>Yes</v>
      </c>
      <c r="AD115" s="1091">
        <f t="shared" si="42"/>
        <v>0.75055996706804129</v>
      </c>
      <c r="AE115" s="649">
        <f t="shared" si="10"/>
        <v>0.34396919974586804</v>
      </c>
      <c r="AF115" s="530">
        <f t="shared" si="43"/>
        <v>278.32968324673374</v>
      </c>
      <c r="AG115" s="528">
        <f t="shared" si="44"/>
        <v>2228.8062963921584</v>
      </c>
      <c r="AH115" s="528">
        <f t="shared" si="81"/>
        <v>9603.2448700008808</v>
      </c>
      <c r="AI115" s="528">
        <f t="shared" si="82"/>
        <v>6437.6604656145792</v>
      </c>
      <c r="AJ115" s="528">
        <f t="shared" si="11"/>
        <v>884.65215943695455</v>
      </c>
      <c r="AK115" s="528">
        <f t="shared" si="45"/>
        <v>19154.363791444572</v>
      </c>
      <c r="AL115" s="716">
        <f t="shared" si="12"/>
        <v>0</v>
      </c>
      <c r="AM115" s="417">
        <f t="shared" si="46"/>
        <v>0.11636023627094678</v>
      </c>
      <c r="AN115" s="417">
        <f t="shared" si="47"/>
        <v>0.50136068075987139</v>
      </c>
      <c r="AO115" s="417">
        <f t="shared" si="48"/>
        <v>0.33609367221531022</v>
      </c>
      <c r="AP115" s="417">
        <f t="shared" si="49"/>
        <v>4.6185410753871683E-2</v>
      </c>
      <c r="AQ115" s="417">
        <f t="shared" si="50"/>
        <v>1.0000000000000002</v>
      </c>
      <c r="AR115" s="1086">
        <f t="shared" si="13"/>
        <v>478.74323369818387</v>
      </c>
      <c r="AS115" s="938">
        <f t="shared" si="14"/>
        <v>607.17593790279147</v>
      </c>
      <c r="AT115" s="938">
        <f t="shared" si="15"/>
        <v>121.70018742208988</v>
      </c>
      <c r="AU115" s="938">
        <f t="shared" si="16"/>
        <v>0</v>
      </c>
      <c r="AV115" s="938">
        <f t="shared" si="17"/>
        <v>0</v>
      </c>
      <c r="AW115" s="938">
        <f t="shared" si="18"/>
        <v>0</v>
      </c>
      <c r="AX115" s="938">
        <f t="shared" si="19"/>
        <v>849.91349230251683</v>
      </c>
      <c r="AY115" s="938">
        <f t="shared" si="20"/>
        <v>68.460072519048694</v>
      </c>
      <c r="AZ115" s="938">
        <f t="shared" si="21"/>
        <v>19.244144371420276</v>
      </c>
      <c r="BA115" s="938">
        <f t="shared" si="22"/>
        <v>49.703876431064366</v>
      </c>
      <c r="BB115" s="938">
        <f t="shared" si="23"/>
        <v>33.86535174504214</v>
      </c>
      <c r="BC115" s="530">
        <f t="shared" si="51"/>
        <v>2228.806296392157</v>
      </c>
      <c r="BD115" s="724">
        <f t="shared" si="52"/>
        <v>0</v>
      </c>
      <c r="BE115" s="436">
        <f t="shared" si="53"/>
        <v>0.21479804434918434</v>
      </c>
      <c r="BF115" s="624">
        <f t="shared" si="54"/>
        <v>0.27242203097041112</v>
      </c>
      <c r="BG115" s="624">
        <f t="shared" si="55"/>
        <v>5.4603303848831559E-2</v>
      </c>
      <c r="BH115" s="624">
        <f t="shared" si="56"/>
        <v>0</v>
      </c>
      <c r="BI115" s="624">
        <f t="shared" si="57"/>
        <v>0</v>
      </c>
      <c r="BJ115" s="624">
        <f t="shared" si="58"/>
        <v>0</v>
      </c>
      <c r="BK115" s="624">
        <f t="shared" si="59"/>
        <v>0.45817662083157323</v>
      </c>
      <c r="BL115" s="624">
        <f t="shared" si="60"/>
        <v>1.0000000000000002</v>
      </c>
      <c r="BM115" s="649">
        <f t="shared" ref="BM115:BS130" si="92">BM114</f>
        <v>0.29028184578274857</v>
      </c>
      <c r="BN115" s="417">
        <f t="shared" si="92"/>
        <v>0.30317187715157518</v>
      </c>
      <c r="BO115" s="417">
        <f t="shared" si="92"/>
        <v>8.2805443243048754E-2</v>
      </c>
      <c r="BP115" s="417">
        <f t="shared" si="92"/>
        <v>0</v>
      </c>
      <c r="BQ115" s="417">
        <f t="shared" si="92"/>
        <v>0</v>
      </c>
      <c r="BR115" s="417">
        <f t="shared" si="92"/>
        <v>0</v>
      </c>
      <c r="BS115" s="417">
        <f t="shared" si="92"/>
        <v>0.32374083382262742</v>
      </c>
      <c r="BT115" s="525">
        <f t="shared" si="84"/>
        <v>0.99999999999999989</v>
      </c>
      <c r="BV115" s="527">
        <f t="shared" si="62"/>
        <v>57.335458454380252</v>
      </c>
      <c r="BW115" s="114">
        <f t="shared" si="63"/>
        <v>0.57468647235887615</v>
      </c>
      <c r="BX115" s="1695">
        <f t="shared" si="24"/>
        <v>38.181094662935671</v>
      </c>
      <c r="BY115" s="527">
        <f t="shared" si="64"/>
        <v>57.335458454380252</v>
      </c>
      <c r="BZ115" s="417">
        <f t="shared" si="65"/>
        <v>0.57468647235887615</v>
      </c>
      <c r="CA115" s="544">
        <f t="shared" si="25"/>
        <v>38.181094662935671</v>
      </c>
      <c r="CB115" s="649">
        <f t="shared" si="26"/>
        <v>0.34396919974586804</v>
      </c>
      <c r="CC115" s="525">
        <f t="shared" si="66"/>
        <v>0</v>
      </c>
      <c r="CD115" s="417">
        <f t="shared" si="27"/>
        <v>0.34396919974586804</v>
      </c>
      <c r="CE115" s="525">
        <f t="shared" si="67"/>
        <v>0</v>
      </c>
      <c r="CG115" s="527">
        <f t="shared" si="68"/>
        <v>1823.6573003948697</v>
      </c>
      <c r="CH115" s="528">
        <f t="shared" si="69"/>
        <v>803.04593865629693</v>
      </c>
      <c r="CI115" s="528">
        <f t="shared" si="70"/>
        <v>3058.3972729608545</v>
      </c>
      <c r="CJ115" s="528">
        <f t="shared" si="71"/>
        <v>3871.5465410856968</v>
      </c>
      <c r="CK115" s="528">
        <f t="shared" si="72"/>
        <v>46.597816903163221</v>
      </c>
      <c r="CL115" s="528">
        <f t="shared" si="73"/>
        <v>9603.244870000879</v>
      </c>
      <c r="CM115" s="646">
        <f t="shared" si="74"/>
        <v>0</v>
      </c>
    </row>
    <row r="116" spans="1:91">
      <c r="A116" s="873">
        <f>'Input data'!A136</f>
        <v>2036</v>
      </c>
      <c r="B116" s="1553">
        <f>'Input data'!B136</f>
        <v>69.322810489383542</v>
      </c>
      <c r="C116" s="1552">
        <f>'Input data'!C136</f>
        <v>0</v>
      </c>
      <c r="D116" s="1552">
        <f>'Input data'!D136</f>
        <v>32537026.437175773</v>
      </c>
      <c r="E116" s="1457">
        <f t="shared" si="89"/>
        <v>1</v>
      </c>
      <c r="F116" s="1451">
        <f t="shared" si="89"/>
        <v>0.37</v>
      </c>
      <c r="G116" s="1556">
        <f>B116*F116*'Input data'!$C$9</f>
        <v>785.05472623652952</v>
      </c>
      <c r="H116" s="1544">
        <f>'Input data'!I136</f>
        <v>424.26313389388866</v>
      </c>
      <c r="I116" s="1511">
        <f>'Input data'!K136</f>
        <v>29411.112828557998</v>
      </c>
      <c r="J116" s="1511">
        <f t="shared" si="91"/>
        <v>2228.8062963921584</v>
      </c>
      <c r="K116" s="1513">
        <f t="shared" si="77"/>
        <v>11439.080414491387</v>
      </c>
      <c r="L116" s="1506">
        <f t="shared" si="90"/>
        <v>0.7</v>
      </c>
      <c r="M116" s="1506">
        <f t="shared" si="88"/>
        <v>0.6</v>
      </c>
      <c r="N116" s="1506">
        <f t="shared" si="88"/>
        <v>0.9</v>
      </c>
      <c r="O116" s="1506">
        <f t="shared" si="88"/>
        <v>0.9</v>
      </c>
      <c r="P116" s="1506">
        <f t="shared" si="88"/>
        <v>0.23600000000000002</v>
      </c>
      <c r="Q116" s="1510">
        <f t="shared" si="33"/>
        <v>314.91575670604311</v>
      </c>
      <c r="R116" s="1511">
        <f t="shared" si="34"/>
        <v>219.75800277861231</v>
      </c>
      <c r="S116" s="1511">
        <f t="shared" si="35"/>
        <v>643.54244026282595</v>
      </c>
      <c r="T116" s="1511">
        <f t="shared" si="36"/>
        <v>433.32119322004019</v>
      </c>
      <c r="U116" s="1513">
        <f t="shared" si="37"/>
        <v>0</v>
      </c>
      <c r="V116" s="1511">
        <f t="shared" si="38"/>
        <v>1611.5373929675216</v>
      </c>
      <c r="W116" s="1456">
        <f t="shared" si="87"/>
        <v>0.5</v>
      </c>
      <c r="X116" s="530">
        <f t="shared" si="39"/>
        <v>3033.4854703020706</v>
      </c>
      <c r="Y116" s="1510">
        <f t="shared" si="78"/>
        <v>4645.0228632695926</v>
      </c>
      <c r="Z116" s="1511">
        <f t="shared" si="79"/>
        <v>9022.8638476139531</v>
      </c>
      <c r="AA116" s="1513">
        <f t="shared" si="80"/>
        <v>6794.0575512217947</v>
      </c>
      <c r="AB116" s="1091">
        <f t="shared" si="40"/>
        <v>0.75298238629838643</v>
      </c>
      <c r="AC116" s="135" t="str">
        <f t="shared" si="41"/>
        <v>Yes</v>
      </c>
      <c r="AD116" s="1091">
        <f t="shared" si="42"/>
        <v>0.75298238629838643</v>
      </c>
      <c r="AE116" s="649">
        <f t="shared" si="10"/>
        <v>0.34642074566368197</v>
      </c>
      <c r="AF116" s="530">
        <f t="shared" si="43"/>
        <v>277.28958269275716</v>
      </c>
      <c r="AG116" s="528">
        <f t="shared" si="44"/>
        <v>2228.8062963921584</v>
      </c>
      <c r="AH116" s="528">
        <f t="shared" si="81"/>
        <v>9673.5517280323329</v>
      </c>
      <c r="AI116" s="528">
        <f t="shared" si="82"/>
        <v>6437.6604656145792</v>
      </c>
      <c r="AJ116" s="528">
        <f t="shared" si="11"/>
        <v>882.47470165118193</v>
      </c>
      <c r="AK116" s="528">
        <f t="shared" si="45"/>
        <v>19222.493191690253</v>
      </c>
      <c r="AL116" s="716">
        <f t="shared" si="12"/>
        <v>0</v>
      </c>
      <c r="AM116" s="417">
        <f t="shared" si="46"/>
        <v>0.11594782602683691</v>
      </c>
      <c r="AN116" s="417">
        <f t="shared" si="47"/>
        <v>0.5032412617638039</v>
      </c>
      <c r="AO116" s="417">
        <f t="shared" si="48"/>
        <v>0.33490247084064695</v>
      </c>
      <c r="AP116" s="417">
        <f t="shared" si="49"/>
        <v>4.5908441368712229E-2</v>
      </c>
      <c r="AQ116" s="417">
        <f t="shared" si="50"/>
        <v>1</v>
      </c>
      <c r="AR116" s="1086">
        <f t="shared" si="13"/>
        <v>479.98341646074488</v>
      </c>
      <c r="AS116" s="938">
        <f t="shared" si="14"/>
        <v>608.74882516056437</v>
      </c>
      <c r="AT116" s="938">
        <f t="shared" si="15"/>
        <v>121.4006380254085</v>
      </c>
      <c r="AU116" s="938">
        <f t="shared" si="16"/>
        <v>0</v>
      </c>
      <c r="AV116" s="938">
        <f t="shared" si="17"/>
        <v>0</v>
      </c>
      <c r="AW116" s="938">
        <f t="shared" si="18"/>
        <v>0</v>
      </c>
      <c r="AX116" s="938">
        <f t="shared" si="19"/>
        <v>847.82153928877506</v>
      </c>
      <c r="AY116" s="938">
        <f t="shared" si="20"/>
        <v>68.291566834265154</v>
      </c>
      <c r="AZ116" s="938">
        <f t="shared" si="21"/>
        <v>19.196777379156618</v>
      </c>
      <c r="BA116" s="938">
        <f t="shared" si="22"/>
        <v>49.581536716450756</v>
      </c>
      <c r="BB116" s="938">
        <f t="shared" si="23"/>
        <v>33.781996526792177</v>
      </c>
      <c r="BC116" s="530">
        <f t="shared" si="51"/>
        <v>2228.8062963921579</v>
      </c>
      <c r="BD116" s="724">
        <f t="shared" si="52"/>
        <v>0</v>
      </c>
      <c r="BE116" s="436">
        <f t="shared" si="53"/>
        <v>0.21535447797222657</v>
      </c>
      <c r="BF116" s="624">
        <f t="shared" si="54"/>
        <v>0.27312773934009704</v>
      </c>
      <c r="BG116" s="624">
        <f t="shared" si="55"/>
        <v>5.4468904822246644E-2</v>
      </c>
      <c r="BH116" s="624">
        <f t="shared" si="56"/>
        <v>0</v>
      </c>
      <c r="BI116" s="624">
        <f t="shared" si="57"/>
        <v>0</v>
      </c>
      <c r="BJ116" s="624">
        <f t="shared" si="58"/>
        <v>0</v>
      </c>
      <c r="BK116" s="624">
        <f t="shared" si="59"/>
        <v>0.45704887786542958</v>
      </c>
      <c r="BL116" s="624">
        <f t="shared" si="60"/>
        <v>0.99999999999999978</v>
      </c>
      <c r="BM116" s="649">
        <f t="shared" si="92"/>
        <v>0.29028184578274857</v>
      </c>
      <c r="BN116" s="417">
        <f t="shared" si="92"/>
        <v>0.30317187715157518</v>
      </c>
      <c r="BO116" s="417">
        <f t="shared" si="92"/>
        <v>8.2805443243048754E-2</v>
      </c>
      <c r="BP116" s="417">
        <f t="shared" si="92"/>
        <v>0</v>
      </c>
      <c r="BQ116" s="417">
        <f t="shared" si="92"/>
        <v>0</v>
      </c>
      <c r="BR116" s="417">
        <f t="shared" si="92"/>
        <v>0</v>
      </c>
      <c r="BS116" s="417">
        <f t="shared" si="92"/>
        <v>0.32374083382262742</v>
      </c>
      <c r="BT116" s="525">
        <f t="shared" si="84"/>
        <v>0.99999999999999989</v>
      </c>
      <c r="BV116" s="527">
        <f t="shared" si="62"/>
        <v>51.759519628866023</v>
      </c>
      <c r="BW116" s="114">
        <f t="shared" si="63"/>
        <v>0.59429482133395761</v>
      </c>
      <c r="BX116" s="1695">
        <f t="shared" si="24"/>
        <v>32.537026437175776</v>
      </c>
      <c r="BY116" s="527">
        <f t="shared" si="64"/>
        <v>51.759519628866023</v>
      </c>
      <c r="BZ116" s="417">
        <f t="shared" si="65"/>
        <v>0.59429482133395761</v>
      </c>
      <c r="CA116" s="544">
        <f t="shared" si="25"/>
        <v>32.537026437175776</v>
      </c>
      <c r="CB116" s="649">
        <f t="shared" si="26"/>
        <v>0.34642074566368197</v>
      </c>
      <c r="CC116" s="525">
        <f t="shared" si="66"/>
        <v>0</v>
      </c>
      <c r="CD116" s="417">
        <f t="shared" si="27"/>
        <v>0.34642074566368197</v>
      </c>
      <c r="CE116" s="525">
        <f t="shared" si="67"/>
        <v>0</v>
      </c>
      <c r="CG116" s="527">
        <f t="shared" si="68"/>
        <v>1837.0085807852522</v>
      </c>
      <c r="CH116" s="528">
        <f t="shared" si="69"/>
        <v>808.92516360225397</v>
      </c>
      <c r="CI116" s="528">
        <f t="shared" si="70"/>
        <v>3080.7882778539556</v>
      </c>
      <c r="CJ116" s="528">
        <f t="shared" si="71"/>
        <v>3899.8907389803658</v>
      </c>
      <c r="CK116" s="528">
        <f t="shared" si="72"/>
        <v>46.938966810505526</v>
      </c>
      <c r="CL116" s="528">
        <f t="shared" si="73"/>
        <v>9673.5517280323329</v>
      </c>
      <c r="CM116" s="646">
        <f t="shared" si="74"/>
        <v>0</v>
      </c>
    </row>
    <row r="117" spans="1:91" s="1" customFormat="1">
      <c r="A117" s="873">
        <f>'Input data'!A137</f>
        <v>2037</v>
      </c>
      <c r="B117" s="1553">
        <f>'Input data'!B137</f>
        <v>69.830333629884052</v>
      </c>
      <c r="C117" s="1552">
        <f>'Input data'!C137</f>
        <v>0</v>
      </c>
      <c r="D117" s="1552">
        <f>'Input data'!D137</f>
        <v>27502394.556130182</v>
      </c>
      <c r="E117" s="1457">
        <f t="shared" si="89"/>
        <v>1</v>
      </c>
      <c r="F117" s="1451">
        <f t="shared" si="89"/>
        <v>0.37</v>
      </c>
      <c r="G117" s="1556">
        <f>B117*F117*'Input data'!$C$9</f>
        <v>790.80223470180374</v>
      </c>
      <c r="H117" s="1544">
        <f>'Input data'!I137</f>
        <v>424.26313389388866</v>
      </c>
      <c r="I117" s="1511">
        <f>'Input data'!K137</f>
        <v>29626.436186670413</v>
      </c>
      <c r="J117" s="1511">
        <f t="shared" si="91"/>
        <v>2228.8062963921584</v>
      </c>
      <c r="K117" s="1513">
        <f t="shared" si="77"/>
        <v>11539.145151315281</v>
      </c>
      <c r="L117" s="1506">
        <f t="shared" si="90"/>
        <v>0.7</v>
      </c>
      <c r="M117" s="1506">
        <f t="shared" si="88"/>
        <v>0.6</v>
      </c>
      <c r="N117" s="1506">
        <f t="shared" si="88"/>
        <v>0.9</v>
      </c>
      <c r="O117" s="1506">
        <f t="shared" si="88"/>
        <v>0.9</v>
      </c>
      <c r="P117" s="1506">
        <f>P116</f>
        <v>0.23600000000000002</v>
      </c>
      <c r="Q117" s="1510">
        <f t="shared" si="33"/>
        <v>317.2213042265239</v>
      </c>
      <c r="R117" s="1511">
        <f t="shared" si="34"/>
        <v>221.36688549604628</v>
      </c>
      <c r="S117" s="1511">
        <f t="shared" si="35"/>
        <v>648.25391514420789</v>
      </c>
      <c r="T117" s="1511">
        <f t="shared" si="36"/>
        <v>436.49360546466687</v>
      </c>
      <c r="U117" s="1513">
        <f t="shared" si="37"/>
        <v>0</v>
      </c>
      <c r="V117" s="1511">
        <f t="shared" si="38"/>
        <v>1623.3357103314449</v>
      </c>
      <c r="W117" s="1456">
        <f t="shared" si="87"/>
        <v>0.5</v>
      </c>
      <c r="X117" s="530">
        <f t="shared" si="39"/>
        <v>3033.4854703020706</v>
      </c>
      <c r="Y117" s="1510">
        <f t="shared" si="78"/>
        <v>4656.8211806335157</v>
      </c>
      <c r="Z117" s="1511">
        <f t="shared" si="79"/>
        <v>9111.1302670739242</v>
      </c>
      <c r="AA117" s="1513">
        <f t="shared" si="80"/>
        <v>6882.3239706817658</v>
      </c>
      <c r="AB117" s="1091">
        <f t="shared" si="40"/>
        <v>0.75537543300783594</v>
      </c>
      <c r="AC117" s="135" t="str">
        <f t="shared" si="41"/>
        <v>Yes</v>
      </c>
      <c r="AD117" s="1091">
        <f t="shared" si="42"/>
        <v>0.75537543300783594</v>
      </c>
      <c r="AE117" s="649">
        <f t="shared" si="10"/>
        <v>0.34885304461912336</v>
      </c>
      <c r="AF117" s="530">
        <f t="shared" si="43"/>
        <v>276.25764791535482</v>
      </c>
      <c r="AG117" s="528">
        <f t="shared" si="44"/>
        <v>2228.8062963921584</v>
      </c>
      <c r="AH117" s="528">
        <f t="shared" si="81"/>
        <v>9744.373313570286</v>
      </c>
      <c r="AI117" s="528">
        <f t="shared" si="82"/>
        <v>6437.6604656145792</v>
      </c>
      <c r="AJ117" s="528">
        <f t="shared" si="11"/>
        <v>880.32364615924473</v>
      </c>
      <c r="AK117" s="528">
        <f t="shared" si="45"/>
        <v>19291.16372173627</v>
      </c>
      <c r="AL117" s="716">
        <f t="shared" si="12"/>
        <v>0</v>
      </c>
      <c r="AM117" s="417">
        <f t="shared" si="46"/>
        <v>0.11553508790560191</v>
      </c>
      <c r="AN117" s="417">
        <f t="shared" si="47"/>
        <v>0.50512107274227513</v>
      </c>
      <c r="AO117" s="417">
        <f t="shared" si="48"/>
        <v>0.3337103224291732</v>
      </c>
      <c r="AP117" s="417">
        <f t="shared" si="49"/>
        <v>4.5633516922949667E-2</v>
      </c>
      <c r="AQ117" s="417">
        <f t="shared" si="50"/>
        <v>1</v>
      </c>
      <c r="AR117" s="1086">
        <f t="shared" si="13"/>
        <v>481.20856165522059</v>
      </c>
      <c r="AS117" s="938">
        <f t="shared" si="14"/>
        <v>610.30264071379247</v>
      </c>
      <c r="AT117" s="938">
        <f t="shared" si="15"/>
        <v>121.10472075020429</v>
      </c>
      <c r="AU117" s="938">
        <f t="shared" si="16"/>
        <v>0</v>
      </c>
      <c r="AV117" s="938">
        <f t="shared" si="17"/>
        <v>0</v>
      </c>
      <c r="AW117" s="938">
        <f t="shared" si="18"/>
        <v>0</v>
      </c>
      <c r="AX117" s="938">
        <f t="shared" si="19"/>
        <v>845.75495179923291</v>
      </c>
      <c r="AY117" s="938">
        <f t="shared" si="20"/>
        <v>68.125104328748591</v>
      </c>
      <c r="AZ117" s="938">
        <f t="shared" si="21"/>
        <v>19.149984725121765</v>
      </c>
      <c r="BA117" s="938">
        <f t="shared" si="22"/>
        <v>49.460680405609196</v>
      </c>
      <c r="BB117" s="938">
        <f t="shared" si="23"/>
        <v>33.699652014228135</v>
      </c>
      <c r="BC117" s="530">
        <f t="shared" si="51"/>
        <v>2228.8062963921575</v>
      </c>
      <c r="BD117" s="724">
        <f t="shared" si="52"/>
        <v>0</v>
      </c>
      <c r="BE117" s="436">
        <f t="shared" si="53"/>
        <v>0.21590416467961743</v>
      </c>
      <c r="BF117" s="624">
        <f t="shared" si="54"/>
        <v>0.27382489079544936</v>
      </c>
      <c r="BG117" s="624">
        <f t="shared" si="55"/>
        <v>5.4336135422015146E-2</v>
      </c>
      <c r="BH117" s="624">
        <f t="shared" si="56"/>
        <v>0</v>
      </c>
      <c r="BI117" s="624">
        <f t="shared" si="57"/>
        <v>0</v>
      </c>
      <c r="BJ117" s="624">
        <f t="shared" si="58"/>
        <v>0</v>
      </c>
      <c r="BK117" s="624">
        <f t="shared" si="59"/>
        <v>0.45593480910291828</v>
      </c>
      <c r="BL117" s="624">
        <f t="shared" si="60"/>
        <v>1.0000000000000002</v>
      </c>
      <c r="BM117" s="649">
        <f t="shared" si="92"/>
        <v>0.29028184578274857</v>
      </c>
      <c r="BN117" s="417">
        <f t="shared" si="92"/>
        <v>0.30317187715157518</v>
      </c>
      <c r="BO117" s="417">
        <f t="shared" si="92"/>
        <v>8.2805443243048754E-2</v>
      </c>
      <c r="BP117" s="417">
        <f t="shared" si="92"/>
        <v>0</v>
      </c>
      <c r="BQ117" s="417">
        <f t="shared" si="92"/>
        <v>0</v>
      </c>
      <c r="BR117" s="417">
        <f t="shared" si="92"/>
        <v>0</v>
      </c>
      <c r="BS117" s="417">
        <f t="shared" si="92"/>
        <v>0.32374083382262742</v>
      </c>
      <c r="BT117" s="525">
        <f t="shared" si="84"/>
        <v>0.99999999999999989</v>
      </c>
      <c r="BV117" s="527">
        <f t="shared" si="62"/>
        <v>46.793558277866452</v>
      </c>
      <c r="BW117" s="114">
        <f t="shared" si="63"/>
        <v>0.61579485100678721</v>
      </c>
      <c r="BX117" s="1695">
        <f t="shared" si="24"/>
        <v>27.502394556130181</v>
      </c>
      <c r="BY117" s="527">
        <f t="shared" si="64"/>
        <v>46.793558277866452</v>
      </c>
      <c r="BZ117" s="417">
        <f t="shared" si="65"/>
        <v>0.61579485100678721</v>
      </c>
      <c r="CA117" s="544">
        <f t="shared" si="25"/>
        <v>27.502394556130181</v>
      </c>
      <c r="CB117" s="649">
        <f t="shared" si="26"/>
        <v>0.34885304461912336</v>
      </c>
      <c r="CC117" s="525">
        <f t="shared" si="66"/>
        <v>0</v>
      </c>
      <c r="CD117" s="417">
        <f t="shared" si="27"/>
        <v>0.34885304461912336</v>
      </c>
      <c r="CE117" s="525">
        <f t="shared" si="67"/>
        <v>0</v>
      </c>
      <c r="CG117" s="527">
        <f t="shared" si="68"/>
        <v>1850.4576079880558</v>
      </c>
      <c r="CH117" s="528">
        <f t="shared" si="69"/>
        <v>814.84743127379011</v>
      </c>
      <c r="CI117" s="528">
        <f t="shared" si="70"/>
        <v>3103.3432107967428</v>
      </c>
      <c r="CJ117" s="528">
        <f t="shared" si="71"/>
        <v>3928.4424491820068</v>
      </c>
      <c r="CK117" s="528">
        <f t="shared" si="72"/>
        <v>47.28261432968921</v>
      </c>
      <c r="CL117" s="528">
        <f t="shared" si="73"/>
        <v>9744.373313570286</v>
      </c>
      <c r="CM117" s="646">
        <f t="shared" si="74"/>
        <v>0</v>
      </c>
    </row>
    <row r="118" spans="1:91">
      <c r="A118" s="873">
        <f>'Input data'!A138</f>
        <v>2038</v>
      </c>
      <c r="B118" s="1553">
        <f>'Input data'!B138</f>
        <v>70.341572426693446</v>
      </c>
      <c r="C118" s="1552">
        <f>'Input data'!C138</f>
        <v>0</v>
      </c>
      <c r="D118" s="1552">
        <f>'Input data'!D138</f>
        <v>25672806.243326273</v>
      </c>
      <c r="E118" s="1457">
        <f t="shared" si="89"/>
        <v>1</v>
      </c>
      <c r="F118" s="1451">
        <f t="shared" si="89"/>
        <v>0.37</v>
      </c>
      <c r="G118" s="1556">
        <f>B118*F118*'Input data'!$C$9</f>
        <v>796.5918215756966</v>
      </c>
      <c r="H118" s="1544">
        <f>'Input data'!I138</f>
        <v>424.26313389388866</v>
      </c>
      <c r="I118" s="1511">
        <f>'Input data'!K138</f>
        <v>29843.335960772907</v>
      </c>
      <c r="J118" s="1511">
        <f t="shared" si="91"/>
        <v>2228.8062963921584</v>
      </c>
      <c r="K118" s="1513">
        <f t="shared" si="77"/>
        <v>11639.94247773166</v>
      </c>
      <c r="L118" s="1506">
        <f t="shared" si="90"/>
        <v>0.7</v>
      </c>
      <c r="M118" s="1506">
        <f t="shared" si="88"/>
        <v>0.6</v>
      </c>
      <c r="N118" s="1506">
        <f t="shared" si="88"/>
        <v>0.9</v>
      </c>
      <c r="O118" s="1506">
        <f t="shared" si="88"/>
        <v>0.9</v>
      </c>
      <c r="P118" s="1506">
        <f t="shared" si="88"/>
        <v>0.23600000000000002</v>
      </c>
      <c r="Q118" s="1510">
        <f t="shared" si="33"/>
        <v>319.54373102108343</v>
      </c>
      <c r="R118" s="1511">
        <f t="shared" si="34"/>
        <v>222.9875470955493</v>
      </c>
      <c r="S118" s="1511">
        <f t="shared" si="35"/>
        <v>652.99988347026374</v>
      </c>
      <c r="T118" s="1511">
        <f t="shared" si="36"/>
        <v>439.68924343563094</v>
      </c>
      <c r="U118" s="1513">
        <f t="shared" si="37"/>
        <v>0</v>
      </c>
      <c r="V118" s="1511">
        <f t="shared" si="38"/>
        <v>1635.2204050225273</v>
      </c>
      <c r="W118" s="1456">
        <f t="shared" si="87"/>
        <v>0.5</v>
      </c>
      <c r="X118" s="530">
        <f t="shared" si="39"/>
        <v>3033.4854703020706</v>
      </c>
      <c r="Y118" s="1510">
        <f t="shared" si="78"/>
        <v>4668.7058753245983</v>
      </c>
      <c r="Z118" s="1511">
        <f t="shared" si="79"/>
        <v>9200.04289879922</v>
      </c>
      <c r="AA118" s="1513">
        <f t="shared" si="80"/>
        <v>6971.2366024070616</v>
      </c>
      <c r="AB118" s="1091">
        <f t="shared" si="40"/>
        <v>0.75773957568360251</v>
      </c>
      <c r="AC118" s="135" t="str">
        <f t="shared" si="41"/>
        <v>Yes</v>
      </c>
      <c r="AD118" s="1091">
        <f t="shared" si="42"/>
        <v>0.75773957568360251</v>
      </c>
      <c r="AE118" s="649">
        <f t="shared" si="10"/>
        <v>0.35126626747362921</v>
      </c>
      <c r="AF118" s="530">
        <f t="shared" si="43"/>
        <v>275.23380642431778</v>
      </c>
      <c r="AG118" s="528">
        <f t="shared" si="44"/>
        <v>2228.8062963921584</v>
      </c>
      <c r="AH118" s="528">
        <f t="shared" si="81"/>
        <v>9815.7133950153402</v>
      </c>
      <c r="AI118" s="528">
        <f t="shared" si="82"/>
        <v>6437.6604656145792</v>
      </c>
      <c r="AJ118" s="528">
        <f t="shared" si="11"/>
        <v>878.19857184859723</v>
      </c>
      <c r="AK118" s="528">
        <f t="shared" si="45"/>
        <v>19360.378728870674</v>
      </c>
      <c r="AL118" s="716">
        <f t="shared" si="12"/>
        <v>0</v>
      </c>
      <c r="AM118" s="417">
        <f t="shared" si="46"/>
        <v>0.11512204010082239</v>
      </c>
      <c r="AN118" s="417">
        <f t="shared" si="47"/>
        <v>0.50700007125263036</v>
      </c>
      <c r="AO118" s="417">
        <f t="shared" si="48"/>
        <v>0.33251727953103422</v>
      </c>
      <c r="AP118" s="417">
        <f t="shared" si="49"/>
        <v>4.5360609115513109E-2</v>
      </c>
      <c r="AQ118" s="417">
        <f t="shared" si="50"/>
        <v>1.0000000000000002</v>
      </c>
      <c r="AR118" s="1086">
        <f t="shared" si="13"/>
        <v>482.41890912852034</v>
      </c>
      <c r="AS118" s="938">
        <f t="shared" si="14"/>
        <v>611.83768875324381</v>
      </c>
      <c r="AT118" s="938">
        <f t="shared" si="15"/>
        <v>120.81237766469563</v>
      </c>
      <c r="AU118" s="938">
        <f t="shared" si="16"/>
        <v>0</v>
      </c>
      <c r="AV118" s="938">
        <f t="shared" si="17"/>
        <v>0</v>
      </c>
      <c r="AW118" s="938">
        <f t="shared" si="18"/>
        <v>0</v>
      </c>
      <c r="AX118" s="938">
        <f t="shared" si="19"/>
        <v>843.71332525766161</v>
      </c>
      <c r="AY118" s="938">
        <f t="shared" si="20"/>
        <v>67.960652414102398</v>
      </c>
      <c r="AZ118" s="938">
        <f t="shared" si="21"/>
        <v>19.103757248708586</v>
      </c>
      <c r="BA118" s="938">
        <f t="shared" si="22"/>
        <v>49.341283838476528</v>
      </c>
      <c r="BB118" s="938">
        <f t="shared" si="23"/>
        <v>33.618302086749033</v>
      </c>
      <c r="BC118" s="530">
        <f t="shared" si="51"/>
        <v>2228.8062963921575</v>
      </c>
      <c r="BD118" s="724">
        <f t="shared" si="52"/>
        <v>0</v>
      </c>
      <c r="BE118" s="436">
        <f t="shared" si="53"/>
        <v>0.21644721208362872</v>
      </c>
      <c r="BF118" s="624">
        <f t="shared" si="54"/>
        <v>0.27451362181794159</v>
      </c>
      <c r="BG118" s="624">
        <f t="shared" si="55"/>
        <v>5.4204969655846105E-2</v>
      </c>
      <c r="BH118" s="624">
        <f t="shared" si="56"/>
        <v>0</v>
      </c>
      <c r="BI118" s="624">
        <f t="shared" si="57"/>
        <v>0</v>
      </c>
      <c r="BJ118" s="624">
        <f t="shared" si="58"/>
        <v>0</v>
      </c>
      <c r="BK118" s="624">
        <f t="shared" si="59"/>
        <v>0.45483419644258377</v>
      </c>
      <c r="BL118" s="624">
        <f t="shared" si="60"/>
        <v>1.0000000000000002</v>
      </c>
      <c r="BM118" s="649">
        <f t="shared" si="92"/>
        <v>0.29028184578274857</v>
      </c>
      <c r="BN118" s="417">
        <f t="shared" si="92"/>
        <v>0.30317187715157518</v>
      </c>
      <c r="BO118" s="417">
        <f t="shared" si="92"/>
        <v>8.2805443243048754E-2</v>
      </c>
      <c r="BP118" s="417">
        <f t="shared" si="92"/>
        <v>0</v>
      </c>
      <c r="BQ118" s="417">
        <f t="shared" si="92"/>
        <v>0</v>
      </c>
      <c r="BR118" s="417">
        <f t="shared" si="92"/>
        <v>0</v>
      </c>
      <c r="BS118" s="417">
        <f t="shared" si="92"/>
        <v>0.32374083382262742</v>
      </c>
      <c r="BT118" s="525">
        <f t="shared" si="84"/>
        <v>0.99999999999999989</v>
      </c>
      <c r="BV118" s="527">
        <f t="shared" si="62"/>
        <v>45.033184972196949</v>
      </c>
      <c r="BW118" s="114">
        <f t="shared" si="63"/>
        <v>0.62515258352679648</v>
      </c>
      <c r="BX118" s="1695">
        <f t="shared" si="24"/>
        <v>25.672806243326274</v>
      </c>
      <c r="BY118" s="527">
        <f t="shared" si="64"/>
        <v>45.033184972196949</v>
      </c>
      <c r="BZ118" s="417">
        <f t="shared" si="65"/>
        <v>0.62515258352679648</v>
      </c>
      <c r="CA118" s="544">
        <f t="shared" si="25"/>
        <v>25.672806243326274</v>
      </c>
      <c r="CB118" s="649">
        <f t="shared" si="26"/>
        <v>0.35126626747362921</v>
      </c>
      <c r="CC118" s="525">
        <f t="shared" si="66"/>
        <v>-2.2204460492503131E-16</v>
      </c>
      <c r="CD118" s="417">
        <f t="shared" si="27"/>
        <v>0.35126626747362921</v>
      </c>
      <c r="CE118" s="525">
        <f t="shared" si="67"/>
        <v>-2.2204460492503131E-16</v>
      </c>
      <c r="CG118" s="527">
        <f t="shared" si="68"/>
        <v>1864.0050976229863</v>
      </c>
      <c r="CH118" s="528">
        <f t="shared" si="69"/>
        <v>820.81305679343336</v>
      </c>
      <c r="CI118" s="528">
        <f t="shared" si="70"/>
        <v>3126.0632719321143</v>
      </c>
      <c r="CJ118" s="528">
        <f t="shared" si="71"/>
        <v>3957.2031909206844</v>
      </c>
      <c r="CK118" s="528">
        <f t="shared" si="72"/>
        <v>47.628777746121287</v>
      </c>
      <c r="CL118" s="528">
        <f t="shared" si="73"/>
        <v>9815.7133950153402</v>
      </c>
      <c r="CM118" s="646">
        <f t="shared" si="74"/>
        <v>0</v>
      </c>
    </row>
    <row r="119" spans="1:91">
      <c r="A119" s="873">
        <f>'Input data'!A139</f>
        <v>2039</v>
      </c>
      <c r="B119" s="1553">
        <f>'Input data'!B139</f>
        <v>70.856554082712819</v>
      </c>
      <c r="C119" s="1552">
        <f>'Input data'!C139</f>
        <v>0</v>
      </c>
      <c r="D119" s="1552">
        <f>'Input data'!D139</f>
        <v>23843217.930522356</v>
      </c>
      <c r="E119" s="1457">
        <f t="shared" si="89"/>
        <v>1</v>
      </c>
      <c r="F119" s="1451">
        <f t="shared" si="89"/>
        <v>0.37</v>
      </c>
      <c r="G119" s="1556">
        <f>B119*F119*'Input data'!$C$9</f>
        <v>802.42379492081989</v>
      </c>
      <c r="H119" s="1544">
        <f>'Input data'!I139</f>
        <v>424.26313389388866</v>
      </c>
      <c r="I119" s="1511">
        <f>'Input data'!K139</f>
        <v>30061.823692053553</v>
      </c>
      <c r="J119" s="1511">
        <f t="shared" si="91"/>
        <v>2228.8062963921584</v>
      </c>
      <c r="K119" s="1513">
        <f t="shared" si="77"/>
        <v>11741.477757143535</v>
      </c>
      <c r="L119" s="1506">
        <f t="shared" si="90"/>
        <v>0.7</v>
      </c>
      <c r="M119" s="1506">
        <f t="shared" si="88"/>
        <v>0.6</v>
      </c>
      <c r="N119" s="1506">
        <f t="shared" si="88"/>
        <v>0.9</v>
      </c>
      <c r="O119" s="1506">
        <f t="shared" si="88"/>
        <v>0.9</v>
      </c>
      <c r="P119" s="1506">
        <f t="shared" si="88"/>
        <v>0.23600000000000002</v>
      </c>
      <c r="Q119" s="1510">
        <f t="shared" si="33"/>
        <v>321.88316066552784</v>
      </c>
      <c r="R119" s="1511">
        <f t="shared" si="34"/>
        <v>224.62007381215983</v>
      </c>
      <c r="S119" s="1511">
        <f t="shared" si="35"/>
        <v>657.78059777289627</v>
      </c>
      <c r="T119" s="1511">
        <f t="shared" si="36"/>
        <v>442.90827717210823</v>
      </c>
      <c r="U119" s="1513">
        <f t="shared" si="37"/>
        <v>0</v>
      </c>
      <c r="V119" s="1511">
        <f t="shared" si="38"/>
        <v>1647.1921094226923</v>
      </c>
      <c r="W119" s="1456">
        <f t="shared" si="87"/>
        <v>0.5</v>
      </c>
      <c r="X119" s="530">
        <f t="shared" si="39"/>
        <v>3033.4854703020706</v>
      </c>
      <c r="Y119" s="1510">
        <f t="shared" si="78"/>
        <v>4680.6775797247628</v>
      </c>
      <c r="Z119" s="1511">
        <f t="shared" si="79"/>
        <v>9289.6064738109308</v>
      </c>
      <c r="AA119" s="1513">
        <f t="shared" si="80"/>
        <v>7060.8001774187724</v>
      </c>
      <c r="AB119" s="1091">
        <f t="shared" si="40"/>
        <v>0.76007527308335787</v>
      </c>
      <c r="AC119" s="135" t="str">
        <f t="shared" si="41"/>
        <v>Yes</v>
      </c>
      <c r="AD119" s="1091">
        <f t="shared" si="42"/>
        <v>0.76007527308335787</v>
      </c>
      <c r="AE119" s="649">
        <f t="shared" si="10"/>
        <v>0.35366058307858594</v>
      </c>
      <c r="AF119" s="530">
        <f t="shared" si="43"/>
        <v>274.21798658222781</v>
      </c>
      <c r="AG119" s="528">
        <f t="shared" si="44"/>
        <v>2228.8062963921584</v>
      </c>
      <c r="AH119" s="528">
        <f t="shared" si="81"/>
        <v>9887.5757683571446</v>
      </c>
      <c r="AI119" s="528">
        <f t="shared" si="82"/>
        <v>6437.6604656145792</v>
      </c>
      <c r="AJ119" s="528">
        <f t="shared" si="11"/>
        <v>876.09906635235745</v>
      </c>
      <c r="AK119" s="528">
        <f t="shared" si="45"/>
        <v>19430.141596716243</v>
      </c>
      <c r="AL119" s="716">
        <f t="shared" si="12"/>
        <v>0</v>
      </c>
      <c r="AM119" s="417">
        <f t="shared" si="46"/>
        <v>0.11470870066993408</v>
      </c>
      <c r="AN119" s="417">
        <f t="shared" si="47"/>
        <v>0.50887821476443473</v>
      </c>
      <c r="AO119" s="417">
        <f t="shared" si="48"/>
        <v>0.33132339430313595</v>
      </c>
      <c r="AP119" s="417">
        <f t="shared" si="49"/>
        <v>4.5089690262495104E-2</v>
      </c>
      <c r="AQ119" s="417">
        <f t="shared" si="50"/>
        <v>0.99999999999999989</v>
      </c>
      <c r="AR119" s="1086">
        <f t="shared" si="13"/>
        <v>483.61469374641342</v>
      </c>
      <c r="AS119" s="938">
        <f t="shared" si="14"/>
        <v>613.35426715225412</v>
      </c>
      <c r="AT119" s="938">
        <f t="shared" si="15"/>
        <v>120.52355204022797</v>
      </c>
      <c r="AU119" s="938">
        <f t="shared" si="16"/>
        <v>0</v>
      </c>
      <c r="AV119" s="938">
        <f t="shared" si="17"/>
        <v>0</v>
      </c>
      <c r="AW119" s="938">
        <f t="shared" si="18"/>
        <v>0</v>
      </c>
      <c r="AX119" s="938">
        <f t="shared" si="19"/>
        <v>841.69626349007024</v>
      </c>
      <c r="AY119" s="938">
        <f t="shared" si="20"/>
        <v>67.798179178725647</v>
      </c>
      <c r="AZ119" s="938">
        <f t="shared" si="21"/>
        <v>19.058085979558189</v>
      </c>
      <c r="BA119" s="938">
        <f t="shared" si="22"/>
        <v>49.223323846361851</v>
      </c>
      <c r="BB119" s="938">
        <f t="shared" si="23"/>
        <v>33.53793095854644</v>
      </c>
      <c r="BC119" s="530">
        <f t="shared" si="51"/>
        <v>2228.8062963921579</v>
      </c>
      <c r="BD119" s="724">
        <f t="shared" si="52"/>
        <v>0</v>
      </c>
      <c r="BE119" s="436">
        <f t="shared" si="53"/>
        <v>0.21698372556164097</v>
      </c>
      <c r="BF119" s="624">
        <f t="shared" si="54"/>
        <v>0.27519406605460101</v>
      </c>
      <c r="BG119" s="624">
        <f t="shared" si="55"/>
        <v>5.4075382071256443E-2</v>
      </c>
      <c r="BH119" s="624">
        <f t="shared" si="56"/>
        <v>0</v>
      </c>
      <c r="BI119" s="624">
        <f t="shared" si="57"/>
        <v>0</v>
      </c>
      <c r="BJ119" s="624">
        <f t="shared" si="58"/>
        <v>0</v>
      </c>
      <c r="BK119" s="624">
        <f t="shared" si="59"/>
        <v>0.45374682631250152</v>
      </c>
      <c r="BL119" s="624">
        <f t="shared" si="60"/>
        <v>0.99999999999999989</v>
      </c>
      <c r="BM119" s="649">
        <f t="shared" si="92"/>
        <v>0.29028184578274857</v>
      </c>
      <c r="BN119" s="417">
        <f t="shared" si="92"/>
        <v>0.30317187715157518</v>
      </c>
      <c r="BO119" s="417">
        <f t="shared" si="92"/>
        <v>8.2805443243048754E-2</v>
      </c>
      <c r="BP119" s="417">
        <f t="shared" si="92"/>
        <v>0</v>
      </c>
      <c r="BQ119" s="417">
        <f t="shared" si="92"/>
        <v>0</v>
      </c>
      <c r="BR119" s="417">
        <f t="shared" si="92"/>
        <v>0</v>
      </c>
      <c r="BS119" s="417">
        <f t="shared" si="92"/>
        <v>0.32374083382262742</v>
      </c>
      <c r="BT119" s="525">
        <f t="shared" si="84"/>
        <v>0.99999999999999989</v>
      </c>
      <c r="BV119" s="527">
        <f t="shared" si="62"/>
        <v>43.407287438448272</v>
      </c>
      <c r="BW119" s="114">
        <f t="shared" si="63"/>
        <v>0.6333162262561266</v>
      </c>
      <c r="BX119" s="1695">
        <f t="shared" si="24"/>
        <v>23.843217930522357</v>
      </c>
      <c r="BY119" s="527">
        <f t="shared" si="64"/>
        <v>43.407287438448272</v>
      </c>
      <c r="BZ119" s="417">
        <f t="shared" si="65"/>
        <v>0.6333162262561266</v>
      </c>
      <c r="CA119" s="544">
        <f t="shared" si="25"/>
        <v>23.843217930522357</v>
      </c>
      <c r="CB119" s="649">
        <f t="shared" si="26"/>
        <v>0.35366058307858594</v>
      </c>
      <c r="CC119" s="525">
        <f t="shared" si="66"/>
        <v>-5.6170233229393407E-3</v>
      </c>
      <c r="CD119" s="417">
        <f t="shared" si="27"/>
        <v>0.35366058307858594</v>
      </c>
      <c r="CE119" s="525">
        <f t="shared" si="67"/>
        <v>-5.6170233229393407E-3</v>
      </c>
      <c r="CG119" s="527">
        <f t="shared" si="68"/>
        <v>1877.6517705489127</v>
      </c>
      <c r="CH119" s="528">
        <f t="shared" si="69"/>
        <v>826.82235759077241</v>
      </c>
      <c r="CI119" s="528">
        <f t="shared" si="70"/>
        <v>3148.9496701893991</v>
      </c>
      <c r="CJ119" s="528">
        <f t="shared" si="71"/>
        <v>3986.17449454898</v>
      </c>
      <c r="CK119" s="528">
        <f t="shared" si="72"/>
        <v>47.977475479079111</v>
      </c>
      <c r="CL119" s="528">
        <f t="shared" si="73"/>
        <v>9887.5757683571446</v>
      </c>
      <c r="CM119" s="646">
        <f t="shared" si="74"/>
        <v>0</v>
      </c>
    </row>
    <row r="120" spans="1:91">
      <c r="A120" s="873">
        <f>'Input data'!A140</f>
        <v>2040</v>
      </c>
      <c r="B120" s="1553">
        <f>'Input data'!B140</f>
        <v>71.375305999999995</v>
      </c>
      <c r="C120" s="1552">
        <f>'Input data'!C140</f>
        <v>0</v>
      </c>
      <c r="D120" s="1552">
        <f>'Input data'!D140</f>
        <v>22013629.617718432</v>
      </c>
      <c r="E120" s="1457">
        <f t="shared" si="89"/>
        <v>1</v>
      </c>
      <c r="F120" s="1451">
        <f t="shared" si="89"/>
        <v>0.37</v>
      </c>
      <c r="G120" s="1556">
        <f>B120*F120*'Input data'!$C$9</f>
        <v>808.29846505516082</v>
      </c>
      <c r="H120" s="1544">
        <f>'Input data'!I140</f>
        <v>424.26313389388866</v>
      </c>
      <c r="I120" s="1511">
        <f>'Input data'!K140</f>
        <v>30281.911006195274</v>
      </c>
      <c r="J120" s="1511">
        <f t="shared" si="91"/>
        <v>2228.8062963921584</v>
      </c>
      <c r="K120" s="1513">
        <f t="shared" si="77"/>
        <v>11843.756392220233</v>
      </c>
      <c r="L120" s="1506">
        <f t="shared" si="90"/>
        <v>0.7</v>
      </c>
      <c r="M120" s="1506">
        <f t="shared" si="88"/>
        <v>0.6</v>
      </c>
      <c r="N120" s="1506">
        <f t="shared" si="88"/>
        <v>0.9</v>
      </c>
      <c r="O120" s="1506">
        <f t="shared" si="88"/>
        <v>0.9</v>
      </c>
      <c r="P120" s="1506">
        <f t="shared" si="88"/>
        <v>0.23600000000000002</v>
      </c>
      <c r="Q120" s="1510">
        <f t="shared" si="33"/>
        <v>324.23971764038129</v>
      </c>
      <c r="R120" s="1511">
        <f t="shared" si="34"/>
        <v>226.26455251225605</v>
      </c>
      <c r="S120" s="1511">
        <f t="shared" si="35"/>
        <v>662.59631243283729</v>
      </c>
      <c r="T120" s="1511">
        <f t="shared" si="36"/>
        <v>446.15087795815862</v>
      </c>
      <c r="U120" s="1513">
        <f t="shared" si="37"/>
        <v>0</v>
      </c>
      <c r="V120" s="1511">
        <f t="shared" si="38"/>
        <v>1659.2514605436331</v>
      </c>
      <c r="W120" s="1456">
        <f t="shared" si="87"/>
        <v>0.5</v>
      </c>
      <c r="X120" s="530">
        <f t="shared" si="39"/>
        <v>3033.4854703020706</v>
      </c>
      <c r="Y120" s="1510">
        <f t="shared" si="78"/>
        <v>4692.7369308457037</v>
      </c>
      <c r="Z120" s="1511">
        <f t="shared" si="79"/>
        <v>9379.8257577666882</v>
      </c>
      <c r="AA120" s="1513">
        <f t="shared" si="80"/>
        <v>7151.0194613745298</v>
      </c>
      <c r="AB120" s="1091">
        <f t="shared" si="40"/>
        <v>0.762382974486849</v>
      </c>
      <c r="AC120" s="135" t="str">
        <f t="shared" si="41"/>
        <v>Yes</v>
      </c>
      <c r="AD120" s="1091">
        <f t="shared" si="42"/>
        <v>0.762382974486849</v>
      </c>
      <c r="AE120" s="649">
        <f t="shared" si="10"/>
        <v>0.3560361583119136</v>
      </c>
      <c r="AF120" s="530">
        <f t="shared" si="43"/>
        <v>273.21011758893553</v>
      </c>
      <c r="AG120" s="528">
        <f t="shared" si="44"/>
        <v>2228.8062963921584</v>
      </c>
      <c r="AH120" s="528">
        <f t="shared" si="81"/>
        <v>9959.9642573763831</v>
      </c>
      <c r="AI120" s="528">
        <f t="shared" si="82"/>
        <v>6437.6604656145792</v>
      </c>
      <c r="AJ120" s="528">
        <f t="shared" si="11"/>
        <v>874.0247258231359</v>
      </c>
      <c r="AK120" s="528">
        <f t="shared" si="45"/>
        <v>19500.455745206255</v>
      </c>
      <c r="AL120" s="716">
        <f t="shared" si="12"/>
        <v>0</v>
      </c>
      <c r="AM120" s="417">
        <f t="shared" si="46"/>
        <v>0.11429508753609822</v>
      </c>
      <c r="AN120" s="417">
        <f t="shared" si="47"/>
        <v>0.51075546066787769</v>
      </c>
      <c r="AO120" s="417">
        <f t="shared" si="48"/>
        <v>0.33012871851454711</v>
      </c>
      <c r="AP120" s="417">
        <f t="shared" si="49"/>
        <v>4.4820733281477031E-2</v>
      </c>
      <c r="AQ120" s="417">
        <f t="shared" si="50"/>
        <v>1</v>
      </c>
      <c r="AR120" s="1086">
        <f t="shared" si="13"/>
        <v>484.79614552234727</v>
      </c>
      <c r="AS120" s="938">
        <f t="shared" si="14"/>
        <v>614.85266763010145</v>
      </c>
      <c r="AT120" s="938">
        <f t="shared" si="15"/>
        <v>120.23818832015957</v>
      </c>
      <c r="AU120" s="938">
        <f t="shared" si="16"/>
        <v>0</v>
      </c>
      <c r="AV120" s="938">
        <f t="shared" si="17"/>
        <v>0</v>
      </c>
      <c r="AW120" s="938">
        <f t="shared" si="18"/>
        <v>0</v>
      </c>
      <c r="AX120" s="938">
        <f t="shared" si="19"/>
        <v>839.70337850741521</v>
      </c>
      <c r="AY120" s="938">
        <f t="shared" si="20"/>
        <v>67.637653370310673</v>
      </c>
      <c r="AZ120" s="938">
        <f t="shared" si="21"/>
        <v>19.012962132638126</v>
      </c>
      <c r="BA120" s="938">
        <f t="shared" si="22"/>
        <v>49.10677773923868</v>
      </c>
      <c r="BB120" s="938">
        <f t="shared" si="23"/>
        <v>33.45852316994646</v>
      </c>
      <c r="BC120" s="530">
        <f t="shared" si="51"/>
        <v>2228.8062963921575</v>
      </c>
      <c r="BD120" s="724">
        <f t="shared" si="52"/>
        <v>0</v>
      </c>
      <c r="BE120" s="436">
        <f t="shared" si="53"/>
        <v>0.21751380831394043</v>
      </c>
      <c r="BF120" s="624">
        <f t="shared" si="54"/>
        <v>0.27586635439130974</v>
      </c>
      <c r="BG120" s="624">
        <f t="shared" si="55"/>
        <v>5.3947347741610877E-2</v>
      </c>
      <c r="BH120" s="624">
        <f t="shared" si="56"/>
        <v>0</v>
      </c>
      <c r="BI120" s="624">
        <f t="shared" si="57"/>
        <v>0</v>
      </c>
      <c r="BJ120" s="624">
        <f t="shared" si="58"/>
        <v>0</v>
      </c>
      <c r="BK120" s="624">
        <f t="shared" si="59"/>
        <v>0.45267248955313888</v>
      </c>
      <c r="BL120" s="624">
        <f t="shared" si="60"/>
        <v>1</v>
      </c>
      <c r="BM120" s="649">
        <f t="shared" si="92"/>
        <v>0.29028184578274857</v>
      </c>
      <c r="BN120" s="417">
        <f t="shared" si="92"/>
        <v>0.30317187715157518</v>
      </c>
      <c r="BO120" s="417">
        <f t="shared" si="92"/>
        <v>8.2805443243048754E-2</v>
      </c>
      <c r="BP120" s="417">
        <f t="shared" si="92"/>
        <v>0</v>
      </c>
      <c r="BQ120" s="417">
        <f t="shared" si="92"/>
        <v>0</v>
      </c>
      <c r="BR120" s="417">
        <f t="shared" si="92"/>
        <v>0</v>
      </c>
      <c r="BS120" s="417">
        <f t="shared" si="92"/>
        <v>0.32374083382262742</v>
      </c>
      <c r="BT120" s="525">
        <f t="shared" si="84"/>
        <v>0.99999999999999989</v>
      </c>
      <c r="BV120" s="527">
        <f t="shared" si="62"/>
        <v>42.266002362924688</v>
      </c>
      <c r="BW120" s="114">
        <f t="shared" si="63"/>
        <v>0.63476592996728776</v>
      </c>
      <c r="BX120" s="1695">
        <f t="shared" si="24"/>
        <v>22.013629617718433</v>
      </c>
      <c r="BY120" s="527">
        <f t="shared" si="64"/>
        <v>42.266002362924688</v>
      </c>
      <c r="BZ120" s="417">
        <f t="shared" si="65"/>
        <v>0.63476592996728776</v>
      </c>
      <c r="CA120" s="544">
        <f t="shared" si="25"/>
        <v>22.013629617718433</v>
      </c>
      <c r="CB120" s="649">
        <f t="shared" si="26"/>
        <v>0.3560361583119136</v>
      </c>
      <c r="CC120" s="525">
        <f t="shared" si="66"/>
        <v>-3.4156884305657442E-2</v>
      </c>
      <c r="CD120" s="417">
        <f t="shared" si="27"/>
        <v>0.3560361583119136</v>
      </c>
      <c r="CE120" s="525">
        <f t="shared" si="67"/>
        <v>-3.4156884305657442E-2</v>
      </c>
      <c r="CG120" s="527">
        <f t="shared" si="68"/>
        <v>1891.3983529022248</v>
      </c>
      <c r="CH120" s="528">
        <f t="shared" si="69"/>
        <v>832.87565341934783</v>
      </c>
      <c r="CI120" s="528">
        <f t="shared" si="70"/>
        <v>3172.003623348689</v>
      </c>
      <c r="CJ120" s="528">
        <f t="shared" si="71"/>
        <v>4015.3579016234294</v>
      </c>
      <c r="CK120" s="528">
        <f t="shared" si="72"/>
        <v>48.328726082690423</v>
      </c>
      <c r="CL120" s="528">
        <f t="shared" si="73"/>
        <v>9959.9642573763813</v>
      </c>
      <c r="CM120" s="646">
        <f t="shared" si="74"/>
        <v>0</v>
      </c>
    </row>
    <row r="121" spans="1:91">
      <c r="A121" s="873">
        <f>'Input data'!A141</f>
        <v>2041</v>
      </c>
      <c r="B121" s="1553">
        <f>'Input data'!B141</f>
        <v>71.818612994947316</v>
      </c>
      <c r="C121" s="1552">
        <f>'Input data'!C141</f>
        <v>0</v>
      </c>
      <c r="D121" s="1552">
        <f>'Input data'!D141</f>
        <v>20405559.977125086</v>
      </c>
      <c r="E121" s="1457">
        <f t="shared" si="89"/>
        <v>1</v>
      </c>
      <c r="F121" s="1451">
        <f t="shared" si="89"/>
        <v>0.37</v>
      </c>
      <c r="G121" s="1556">
        <f>B121*F121*'Input data'!$C$9</f>
        <v>813.31874985175614</v>
      </c>
      <c r="H121" s="1544">
        <f>'Input data'!I141</f>
        <v>424.26313389388866</v>
      </c>
      <c r="I121" s="1511">
        <f>'Input data'!K141</f>
        <v>30469.989821148705</v>
      </c>
      <c r="J121" s="1511">
        <f t="shared" si="91"/>
        <v>2228.8062963921584</v>
      </c>
      <c r="K121" s="1513">
        <f t="shared" si="77"/>
        <v>11931.16008722781</v>
      </c>
      <c r="L121" s="1506">
        <f t="shared" si="90"/>
        <v>0.7</v>
      </c>
      <c r="M121" s="1506">
        <f t="shared" si="88"/>
        <v>0.6</v>
      </c>
      <c r="N121" s="1506">
        <f t="shared" si="88"/>
        <v>0.9</v>
      </c>
      <c r="O121" s="1506">
        <f t="shared" si="88"/>
        <v>0.9</v>
      </c>
      <c r="P121" s="1506">
        <f t="shared" si="88"/>
        <v>0.23600000000000002</v>
      </c>
      <c r="Q121" s="1510">
        <f t="shared" si="33"/>
        <v>326.25354767383487</v>
      </c>
      <c r="R121" s="1511">
        <f t="shared" si="34"/>
        <v>227.6698657005079</v>
      </c>
      <c r="S121" s="1511">
        <f t="shared" si="35"/>
        <v>666.71165142876043</v>
      </c>
      <c r="T121" s="1511">
        <f t="shared" si="36"/>
        <v>448.92188961589818</v>
      </c>
      <c r="U121" s="1513">
        <f t="shared" si="37"/>
        <v>0</v>
      </c>
      <c r="V121" s="1511">
        <f t="shared" si="38"/>
        <v>1669.5569544190014</v>
      </c>
      <c r="W121" s="1456">
        <f t="shared" si="87"/>
        <v>0.5</v>
      </c>
      <c r="X121" s="530">
        <f t="shared" si="39"/>
        <v>3033.4854703020706</v>
      </c>
      <c r="Y121" s="1510">
        <f t="shared" si="78"/>
        <v>4703.0424247210722</v>
      </c>
      <c r="Z121" s="1511">
        <f t="shared" si="79"/>
        <v>9456.9239588988967</v>
      </c>
      <c r="AA121" s="1513">
        <f t="shared" si="80"/>
        <v>7228.1176625067383</v>
      </c>
      <c r="AB121" s="1091">
        <f t="shared" si="40"/>
        <v>0.76432016308063178</v>
      </c>
      <c r="AC121" s="135" t="str">
        <f t="shared" si="41"/>
        <v>Yes</v>
      </c>
      <c r="AD121" s="1091">
        <f t="shared" si="42"/>
        <v>0.76432016308063178</v>
      </c>
      <c r="AE121" s="649">
        <f t="shared" si="10"/>
        <v>0.35803801704304605</v>
      </c>
      <c r="AF121" s="530">
        <f t="shared" si="43"/>
        <v>272.36080273005246</v>
      </c>
      <c r="AG121" s="528">
        <f t="shared" si="44"/>
        <v>2228.8062963921584</v>
      </c>
      <c r="AH121" s="528">
        <f t="shared" si="81"/>
        <v>10021.82489338851</v>
      </c>
      <c r="AI121" s="528">
        <f t="shared" si="82"/>
        <v>6437.6604656145792</v>
      </c>
      <c r="AJ121" s="528">
        <f t="shared" si="11"/>
        <v>872.2834308675798</v>
      </c>
      <c r="AK121" s="528">
        <f t="shared" si="45"/>
        <v>19560.575086262827</v>
      </c>
      <c r="AL121" s="716">
        <f t="shared" si="12"/>
        <v>0</v>
      </c>
      <c r="AM121" s="417">
        <f t="shared" si="46"/>
        <v>0.11394380208981811</v>
      </c>
      <c r="AN121" s="417">
        <f t="shared" si="47"/>
        <v>0.51234817223889928</v>
      </c>
      <c r="AO121" s="417">
        <f t="shared" si="48"/>
        <v>0.32911406935758636</v>
      </c>
      <c r="AP121" s="417">
        <f t="shared" si="49"/>
        <v>4.4593956313696254E-2</v>
      </c>
      <c r="AQ121" s="417">
        <f t="shared" si="50"/>
        <v>1</v>
      </c>
      <c r="AR121" s="1086">
        <f t="shared" si="13"/>
        <v>485.78790940522276</v>
      </c>
      <c r="AS121" s="938">
        <f t="shared" si="14"/>
        <v>616.11049254203056</v>
      </c>
      <c r="AT121" s="938">
        <f t="shared" si="15"/>
        <v>119.9986411487795</v>
      </c>
      <c r="AU121" s="938">
        <f t="shared" si="16"/>
        <v>0</v>
      </c>
      <c r="AV121" s="938">
        <f t="shared" si="17"/>
        <v>0</v>
      </c>
      <c r="AW121" s="938">
        <f t="shared" si="18"/>
        <v>0</v>
      </c>
      <c r="AX121" s="938">
        <f t="shared" si="19"/>
        <v>838.03046100982215</v>
      </c>
      <c r="AY121" s="938">
        <f t="shared" si="20"/>
        <v>67.502900769909758</v>
      </c>
      <c r="AZ121" s="938">
        <f t="shared" si="21"/>
        <v>18.97508314126237</v>
      </c>
      <c r="BA121" s="938">
        <f t="shared" si="22"/>
        <v>49.008943682793195</v>
      </c>
      <c r="BB121" s="938">
        <f t="shared" si="23"/>
        <v>33.391864692337244</v>
      </c>
      <c r="BC121" s="530">
        <f t="shared" si="51"/>
        <v>2228.8062963921579</v>
      </c>
      <c r="BD121" s="724">
        <f t="shared" si="52"/>
        <v>0</v>
      </c>
      <c r="BE121" s="436">
        <f t="shared" si="53"/>
        <v>0.2179587836733877</v>
      </c>
      <c r="BF121" s="624">
        <f t="shared" si="54"/>
        <v>0.276430703529216</v>
      </c>
      <c r="BG121" s="624">
        <f t="shared" si="55"/>
        <v>5.3839869953268366E-2</v>
      </c>
      <c r="BH121" s="624">
        <f t="shared" si="56"/>
        <v>0</v>
      </c>
      <c r="BI121" s="624">
        <f t="shared" si="57"/>
        <v>0</v>
      </c>
      <c r="BJ121" s="624">
        <f t="shared" si="58"/>
        <v>0</v>
      </c>
      <c r="BK121" s="624">
        <f t="shared" si="59"/>
        <v>0.45177064284412771</v>
      </c>
      <c r="BL121" s="624">
        <f t="shared" si="60"/>
        <v>0.99999999999999978</v>
      </c>
      <c r="BM121" s="649">
        <f t="shared" si="92"/>
        <v>0.29028184578274857</v>
      </c>
      <c r="BN121" s="417">
        <f t="shared" si="92"/>
        <v>0.30317187715157518</v>
      </c>
      <c r="BO121" s="417">
        <f t="shared" si="92"/>
        <v>8.2805443243048754E-2</v>
      </c>
      <c r="BP121" s="417">
        <f t="shared" si="92"/>
        <v>0</v>
      </c>
      <c r="BQ121" s="417">
        <f t="shared" si="92"/>
        <v>0</v>
      </c>
      <c r="BR121" s="417">
        <f t="shared" si="92"/>
        <v>0</v>
      </c>
      <c r="BS121" s="417">
        <f t="shared" si="92"/>
        <v>0.32374083382262742</v>
      </c>
      <c r="BT121" s="525">
        <f t="shared" si="84"/>
        <v>0.99999999999999989</v>
      </c>
      <c r="BV121" s="527">
        <f t="shared" si="62"/>
        <v>40.718052063387915</v>
      </c>
      <c r="BW121" s="114">
        <f t="shared" si="63"/>
        <v>0.64457675283341964</v>
      </c>
      <c r="BX121" s="1695">
        <f t="shared" si="24"/>
        <v>20.405559977125087</v>
      </c>
      <c r="BY121" s="527">
        <f t="shared" si="64"/>
        <v>40.718052063387915</v>
      </c>
      <c r="BZ121" s="417">
        <f t="shared" si="65"/>
        <v>0.64457675283341964</v>
      </c>
      <c r="CA121" s="544">
        <f t="shared" si="25"/>
        <v>20.405559977125087</v>
      </c>
      <c r="CB121" s="649">
        <f t="shared" si="26"/>
        <v>0.35803801704304605</v>
      </c>
      <c r="CC121" s="525">
        <f t="shared" si="66"/>
        <v>-3.6848633452985835E-2</v>
      </c>
      <c r="CD121" s="417">
        <f t="shared" si="27"/>
        <v>0.35803801704304605</v>
      </c>
      <c r="CE121" s="525">
        <f t="shared" si="67"/>
        <v>-3.6848633452985835E-2</v>
      </c>
      <c r="CG121" s="527">
        <f t="shared" si="68"/>
        <v>1903.1456947640361</v>
      </c>
      <c r="CH121" s="528">
        <f t="shared" si="69"/>
        <v>838.04858540064276</v>
      </c>
      <c r="CI121" s="528">
        <f t="shared" si="70"/>
        <v>3191.7047142866213</v>
      </c>
      <c r="CJ121" s="528">
        <f t="shared" si="71"/>
        <v>4040.2970065430868</v>
      </c>
      <c r="CK121" s="528">
        <f t="shared" si="72"/>
        <v>48.628892394122417</v>
      </c>
      <c r="CL121" s="528">
        <f t="shared" si="73"/>
        <v>10021.82489338851</v>
      </c>
      <c r="CM121" s="646">
        <f t="shared" si="74"/>
        <v>0</v>
      </c>
    </row>
    <row r="122" spans="1:91">
      <c r="A122" s="873">
        <f>'Input data'!A142</f>
        <v>2042</v>
      </c>
      <c r="B122" s="1553">
        <f>'Input data'!B142</f>
        <v>72.264673338395411</v>
      </c>
      <c r="C122" s="1552">
        <f>'Input data'!C142</f>
        <v>0</v>
      </c>
      <c r="D122" s="1552">
        <f>'Input data'!D142</f>
        <v>18797490.33653174</v>
      </c>
      <c r="E122" s="1457">
        <f t="shared" si="89"/>
        <v>1</v>
      </c>
      <c r="F122" s="1451">
        <f t="shared" si="89"/>
        <v>0.37</v>
      </c>
      <c r="G122" s="1556">
        <f>B122*F122*'Input data'!$C$9</f>
        <v>818.37021528338698</v>
      </c>
      <c r="H122" s="1544">
        <f>'Input data'!I142</f>
        <v>424.26313389388866</v>
      </c>
      <c r="I122" s="1511">
        <f>'Input data'!K142</f>
        <v>30659.23678036578</v>
      </c>
      <c r="J122" s="1511">
        <f t="shared" si="91"/>
        <v>2228.8062963921584</v>
      </c>
      <c r="K122" s="1513">
        <f t="shared" si="77"/>
        <v>12019.106640424758</v>
      </c>
      <c r="L122" s="1506">
        <f t="shared" si="90"/>
        <v>0.7</v>
      </c>
      <c r="M122" s="1506">
        <f t="shared" si="88"/>
        <v>0.6</v>
      </c>
      <c r="N122" s="1506">
        <f t="shared" si="88"/>
        <v>0.9</v>
      </c>
      <c r="O122" s="1506">
        <f t="shared" si="88"/>
        <v>0.9</v>
      </c>
      <c r="P122" s="1506">
        <f t="shared" si="88"/>
        <v>0.23600000000000002</v>
      </c>
      <c r="Q122" s="1510">
        <f t="shared" si="33"/>
        <v>328.27988546368874</v>
      </c>
      <c r="R122" s="1511">
        <f t="shared" si="34"/>
        <v>229.08390718992371</v>
      </c>
      <c r="S122" s="1511">
        <f t="shared" si="35"/>
        <v>670.85255050513342</v>
      </c>
      <c r="T122" s="1511">
        <f t="shared" si="36"/>
        <v>451.7101118317396</v>
      </c>
      <c r="U122" s="1513">
        <f t="shared" si="37"/>
        <v>0</v>
      </c>
      <c r="V122" s="1511">
        <f t="shared" si="38"/>
        <v>1679.9264549904856</v>
      </c>
      <c r="W122" s="1456">
        <f t="shared" si="87"/>
        <v>0.5</v>
      </c>
      <c r="X122" s="530">
        <f t="shared" si="39"/>
        <v>3033.4854703020706</v>
      </c>
      <c r="Y122" s="1510">
        <f t="shared" si="78"/>
        <v>4713.4119252925557</v>
      </c>
      <c r="Z122" s="1511">
        <f t="shared" si="79"/>
        <v>9534.5010115243604</v>
      </c>
      <c r="AA122" s="1513">
        <f t="shared" si="80"/>
        <v>7305.694715132202</v>
      </c>
      <c r="AB122" s="1091">
        <f t="shared" si="40"/>
        <v>0.76623776181908232</v>
      </c>
      <c r="AC122" s="135" t="str">
        <f t="shared" si="41"/>
        <v>Yes</v>
      </c>
      <c r="AD122" s="1091">
        <f t="shared" si="42"/>
        <v>0.76623776181908232</v>
      </c>
      <c r="AE122" s="649">
        <f t="shared" si="10"/>
        <v>0.36002659202487586</v>
      </c>
      <c r="AF122" s="530">
        <f t="shared" si="43"/>
        <v>271.51712367627835</v>
      </c>
      <c r="AG122" s="528">
        <f t="shared" si="44"/>
        <v>2228.8062963921584</v>
      </c>
      <c r="AH122" s="528">
        <f t="shared" si="81"/>
        <v>10084.069741450892</v>
      </c>
      <c r="AI122" s="528">
        <f t="shared" si="82"/>
        <v>6437.6604656145792</v>
      </c>
      <c r="AJ122" s="528">
        <f t="shared" si="11"/>
        <v>870.55974478933149</v>
      </c>
      <c r="AK122" s="528">
        <f t="shared" si="45"/>
        <v>19621.096248246962</v>
      </c>
      <c r="AL122" s="716">
        <f t="shared" si="12"/>
        <v>0</v>
      </c>
      <c r="AM122" s="417">
        <f t="shared" si="46"/>
        <v>0.11359234306754344</v>
      </c>
      <c r="AN122" s="417">
        <f t="shared" si="47"/>
        <v>0.51394018019517385</v>
      </c>
      <c r="AO122" s="417">
        <f t="shared" si="48"/>
        <v>0.32809891884556391</v>
      </c>
      <c r="AP122" s="417">
        <f t="shared" si="49"/>
        <v>4.4368557891718778E-2</v>
      </c>
      <c r="AQ122" s="417">
        <f t="shared" si="50"/>
        <v>1</v>
      </c>
      <c r="AR122" s="1086">
        <f t="shared" si="13"/>
        <v>486.76964405756706</v>
      </c>
      <c r="AS122" s="938">
        <f t="shared" si="14"/>
        <v>617.35559767637187</v>
      </c>
      <c r="AT122" s="938">
        <f t="shared" si="15"/>
        <v>119.76151640258189</v>
      </c>
      <c r="AU122" s="938">
        <f t="shared" si="16"/>
        <v>0</v>
      </c>
      <c r="AV122" s="938">
        <f t="shared" si="17"/>
        <v>0</v>
      </c>
      <c r="AW122" s="938">
        <f t="shared" si="18"/>
        <v>0</v>
      </c>
      <c r="AX122" s="938">
        <f t="shared" si="19"/>
        <v>836.374460921234</v>
      </c>
      <c r="AY122" s="938">
        <f t="shared" si="20"/>
        <v>67.369510857662121</v>
      </c>
      <c r="AZ122" s="938">
        <f t="shared" si="21"/>
        <v>18.937587201884394</v>
      </c>
      <c r="BA122" s="938">
        <f t="shared" si="22"/>
        <v>48.912098975045339</v>
      </c>
      <c r="BB122" s="938">
        <f t="shared" si="23"/>
        <v>33.325880299810507</v>
      </c>
      <c r="BC122" s="530">
        <f t="shared" si="51"/>
        <v>2228.8062963921575</v>
      </c>
      <c r="BD122" s="724">
        <f t="shared" si="52"/>
        <v>0</v>
      </c>
      <c r="BE122" s="436">
        <f t="shared" si="53"/>
        <v>0.21839925921131736</v>
      </c>
      <c r="BF122" s="624">
        <f t="shared" si="54"/>
        <v>0.27698934567607147</v>
      </c>
      <c r="BG122" s="624">
        <f t="shared" si="55"/>
        <v>5.373347903603997E-2</v>
      </c>
      <c r="BH122" s="624">
        <f t="shared" si="56"/>
        <v>0</v>
      </c>
      <c r="BI122" s="624">
        <f t="shared" si="57"/>
        <v>0</v>
      </c>
      <c r="BJ122" s="624">
        <f t="shared" si="58"/>
        <v>0</v>
      </c>
      <c r="BK122" s="624">
        <f t="shared" si="59"/>
        <v>0.45087791607657107</v>
      </c>
      <c r="BL122" s="624">
        <f t="shared" si="60"/>
        <v>0.99999999999999978</v>
      </c>
      <c r="BM122" s="649">
        <f t="shared" si="92"/>
        <v>0.29028184578274857</v>
      </c>
      <c r="BN122" s="417">
        <f t="shared" si="92"/>
        <v>0.30317187715157518</v>
      </c>
      <c r="BO122" s="417">
        <f t="shared" si="92"/>
        <v>8.2805443243048754E-2</v>
      </c>
      <c r="BP122" s="417">
        <f t="shared" si="92"/>
        <v>0</v>
      </c>
      <c r="BQ122" s="417">
        <f t="shared" si="92"/>
        <v>0</v>
      </c>
      <c r="BR122" s="417">
        <f t="shared" si="92"/>
        <v>0</v>
      </c>
      <c r="BS122" s="417">
        <f t="shared" si="92"/>
        <v>0.32374083382262742</v>
      </c>
      <c r="BT122" s="525">
        <f t="shared" si="84"/>
        <v>0.99999999999999989</v>
      </c>
      <c r="BV122" s="527">
        <f t="shared" si="62"/>
        <v>39.170503584778714</v>
      </c>
      <c r="BW122" s="114">
        <f t="shared" si="63"/>
        <v>0.65516653445425665</v>
      </c>
      <c r="BX122" s="1695">
        <f t="shared" si="24"/>
        <v>18.797490336531741</v>
      </c>
      <c r="BY122" s="527">
        <f t="shared" si="64"/>
        <v>39.170503584778714</v>
      </c>
      <c r="BZ122" s="417">
        <f t="shared" si="65"/>
        <v>0.65516653445425665</v>
      </c>
      <c r="CA122" s="544">
        <f t="shared" si="25"/>
        <v>18.797490336531741</v>
      </c>
      <c r="CB122" s="649">
        <f t="shared" si="26"/>
        <v>0.36002659202487586</v>
      </c>
      <c r="CC122" s="525">
        <f t="shared" si="66"/>
        <v>-4.0000924939362692E-2</v>
      </c>
      <c r="CD122" s="417">
        <f t="shared" si="27"/>
        <v>0.36002659202487586</v>
      </c>
      <c r="CE122" s="525">
        <f t="shared" si="67"/>
        <v>-4.0000924939362692E-2</v>
      </c>
      <c r="CG122" s="527">
        <f t="shared" si="68"/>
        <v>1914.9659985381836</v>
      </c>
      <c r="CH122" s="528">
        <f t="shared" si="69"/>
        <v>843.25364609787891</v>
      </c>
      <c r="CI122" s="528">
        <f t="shared" si="70"/>
        <v>3211.5281673118106</v>
      </c>
      <c r="CJ122" s="528">
        <f t="shared" si="71"/>
        <v>4065.3910064856605</v>
      </c>
      <c r="CK122" s="528">
        <f t="shared" si="72"/>
        <v>48.930923017358609</v>
      </c>
      <c r="CL122" s="528">
        <f t="shared" si="73"/>
        <v>10084.069741450892</v>
      </c>
      <c r="CM122" s="646">
        <f t="shared" si="74"/>
        <v>0</v>
      </c>
    </row>
    <row r="123" spans="1:91">
      <c r="A123" s="873">
        <f>'Input data'!A143</f>
        <v>2043</v>
      </c>
      <c r="B123" s="1553">
        <f>'Input data'!B143</f>
        <v>72.713504131197794</v>
      </c>
      <c r="C123" s="1552">
        <f>'Input data'!C143</f>
        <v>0</v>
      </c>
      <c r="D123" s="1552">
        <f>'Input data'!D143</f>
        <v>17189420.695938386</v>
      </c>
      <c r="E123" s="1457">
        <f t="shared" si="89"/>
        <v>1</v>
      </c>
      <c r="F123" s="1451">
        <f t="shared" si="89"/>
        <v>0.37</v>
      </c>
      <c r="G123" s="1556">
        <f>B123*F123*'Input data'!$C$9</f>
        <v>823.4530550107803</v>
      </c>
      <c r="H123" s="1544">
        <f>'Input data'!I143</f>
        <v>424.26313389388866</v>
      </c>
      <c r="I123" s="1511">
        <f>'Input data'!K143</f>
        <v>30849.659139108197</v>
      </c>
      <c r="J123" s="1511">
        <f t="shared" si="91"/>
        <v>2228.8062963921584</v>
      </c>
      <c r="K123" s="1513">
        <f t="shared" si="77"/>
        <v>12107.59942346503</v>
      </c>
      <c r="L123" s="1506">
        <f t="shared" si="90"/>
        <v>0.7</v>
      </c>
      <c r="M123" s="1506">
        <f t="shared" si="88"/>
        <v>0.6</v>
      </c>
      <c r="N123" s="1506">
        <f t="shared" si="88"/>
        <v>0.9</v>
      </c>
      <c r="O123" s="1506">
        <f t="shared" si="88"/>
        <v>0.9</v>
      </c>
      <c r="P123" s="1506">
        <f t="shared" si="88"/>
        <v>0.23600000000000002</v>
      </c>
      <c r="Q123" s="1510">
        <f t="shared" si="33"/>
        <v>330.31880869473662</v>
      </c>
      <c r="R123" s="1511">
        <f t="shared" si="34"/>
        <v>230.50673119136695</v>
      </c>
      <c r="S123" s="1511">
        <f t="shared" si="35"/>
        <v>675.01916841381399</v>
      </c>
      <c r="T123" s="1511">
        <f t="shared" si="36"/>
        <v>454.51565149924636</v>
      </c>
      <c r="U123" s="1513">
        <f t="shared" si="37"/>
        <v>0</v>
      </c>
      <c r="V123" s="1511">
        <f t="shared" si="38"/>
        <v>1690.3603597991639</v>
      </c>
      <c r="W123" s="1456">
        <f t="shared" si="87"/>
        <v>0.5</v>
      </c>
      <c r="X123" s="530">
        <f t="shared" si="39"/>
        <v>3033.4854703020706</v>
      </c>
      <c r="Y123" s="1510">
        <f t="shared" si="78"/>
        <v>4723.8458301012342</v>
      </c>
      <c r="Z123" s="1511">
        <f t="shared" si="79"/>
        <v>9612.5598897559539</v>
      </c>
      <c r="AA123" s="1513">
        <f t="shared" si="80"/>
        <v>7383.7535933637955</v>
      </c>
      <c r="AB123" s="1091">
        <f t="shared" si="40"/>
        <v>0.7681360301570257</v>
      </c>
      <c r="AC123" s="135" t="str">
        <f t="shared" si="41"/>
        <v>Yes</v>
      </c>
      <c r="AD123" s="1091">
        <f t="shared" si="42"/>
        <v>0.7681360301570257</v>
      </c>
      <c r="AE123" s="649">
        <f t="shared" si="10"/>
        <v>0.36200198208013235</v>
      </c>
      <c r="AF123" s="530">
        <f t="shared" si="43"/>
        <v>270.67903850077238</v>
      </c>
      <c r="AG123" s="528">
        <f t="shared" si="44"/>
        <v>2228.8062963921584</v>
      </c>
      <c r="AH123" s="528">
        <f t="shared" si="81"/>
        <v>10146.701187877499</v>
      </c>
      <c r="AI123" s="528">
        <f t="shared" si="82"/>
        <v>6437.6604656145792</v>
      </c>
      <c r="AJ123" s="528">
        <f t="shared" si="11"/>
        <v>868.85343437032486</v>
      </c>
      <c r="AK123" s="528">
        <f t="shared" si="45"/>
        <v>19682.02138425456</v>
      </c>
      <c r="AL123" s="716">
        <f t="shared" si="12"/>
        <v>0</v>
      </c>
      <c r="AM123" s="417">
        <f t="shared" si="46"/>
        <v>0.11324072120840105</v>
      </c>
      <c r="AN123" s="417">
        <f t="shared" si="47"/>
        <v>0.51553145836914749</v>
      </c>
      <c r="AO123" s="417">
        <f t="shared" si="48"/>
        <v>0.32708329799726005</v>
      </c>
      <c r="AP123" s="417">
        <f t="shared" si="49"/>
        <v>4.414452242519154E-2</v>
      </c>
      <c r="AQ123" s="417">
        <f t="shared" si="50"/>
        <v>1</v>
      </c>
      <c r="AR123" s="1086">
        <f t="shared" si="13"/>
        <v>487.74148230998145</v>
      </c>
      <c r="AS123" s="938">
        <f t="shared" si="14"/>
        <v>618.58815149826364</v>
      </c>
      <c r="AT123" s="938">
        <f t="shared" si="15"/>
        <v>119.52678199812902</v>
      </c>
      <c r="AU123" s="938">
        <f t="shared" si="16"/>
        <v>0</v>
      </c>
      <c r="AV123" s="938">
        <f t="shared" si="17"/>
        <v>0</v>
      </c>
      <c r="AW123" s="938">
        <f t="shared" si="18"/>
        <v>0</v>
      </c>
      <c r="AX123" s="938">
        <f t="shared" si="19"/>
        <v>834.73515418163026</v>
      </c>
      <c r="AY123" s="938">
        <f t="shared" si="20"/>
        <v>67.237465585654235</v>
      </c>
      <c r="AZ123" s="938">
        <f t="shared" si="21"/>
        <v>18.900469241231164</v>
      </c>
      <c r="BA123" s="938">
        <f t="shared" si="22"/>
        <v>48.816230512718512</v>
      </c>
      <c r="BB123" s="938">
        <f t="shared" si="23"/>
        <v>33.260561064550103</v>
      </c>
      <c r="BC123" s="530">
        <f t="shared" si="51"/>
        <v>2228.8062963921584</v>
      </c>
      <c r="BD123" s="724">
        <f t="shared" si="52"/>
        <v>0</v>
      </c>
      <c r="BE123" s="436">
        <f t="shared" si="53"/>
        <v>0.21883529452492329</v>
      </c>
      <c r="BF123" s="624">
        <f t="shared" si="54"/>
        <v>0.27754235641724118</v>
      </c>
      <c r="BG123" s="624">
        <f t="shared" si="55"/>
        <v>5.3628160595028347E-2</v>
      </c>
      <c r="BH123" s="624">
        <f t="shared" si="56"/>
        <v>0</v>
      </c>
      <c r="BI123" s="624">
        <f t="shared" si="57"/>
        <v>0</v>
      </c>
      <c r="BJ123" s="624">
        <f t="shared" si="58"/>
        <v>0</v>
      </c>
      <c r="BK123" s="624">
        <f t="shared" si="59"/>
        <v>0.4499941884628072</v>
      </c>
      <c r="BL123" s="624">
        <f t="shared" si="60"/>
        <v>1</v>
      </c>
      <c r="BM123" s="649">
        <f t="shared" si="92"/>
        <v>0.29028184578274857</v>
      </c>
      <c r="BN123" s="417">
        <f t="shared" si="92"/>
        <v>0.30317187715157518</v>
      </c>
      <c r="BO123" s="417">
        <f t="shared" si="92"/>
        <v>8.2805443243048754E-2</v>
      </c>
      <c r="BP123" s="417">
        <f t="shared" si="92"/>
        <v>0</v>
      </c>
      <c r="BQ123" s="417">
        <f t="shared" si="92"/>
        <v>0</v>
      </c>
      <c r="BR123" s="417">
        <f t="shared" si="92"/>
        <v>0</v>
      </c>
      <c r="BS123" s="417">
        <f t="shared" si="92"/>
        <v>0.32374083382262742</v>
      </c>
      <c r="BT123" s="525">
        <f t="shared" si="84"/>
        <v>0.99999999999999989</v>
      </c>
      <c r="BV123" s="527">
        <f t="shared" si="62"/>
        <v>37.623359080192948</v>
      </c>
      <c r="BW123" s="114">
        <f t="shared" si="63"/>
        <v>0.66663107652824538</v>
      </c>
      <c r="BX123" s="1695">
        <f t="shared" si="24"/>
        <v>17.189420695938384</v>
      </c>
      <c r="BY123" s="527">
        <f t="shared" si="64"/>
        <v>37.623359080192948</v>
      </c>
      <c r="BZ123" s="417">
        <f t="shared" si="65"/>
        <v>0.66663107652824538</v>
      </c>
      <c r="CA123" s="544">
        <f t="shared" si="25"/>
        <v>17.189420695938384</v>
      </c>
      <c r="CB123" s="649">
        <f t="shared" si="26"/>
        <v>0.36200198208013235</v>
      </c>
      <c r="CC123" s="525">
        <f t="shared" si="66"/>
        <v>-4.3743009918750131E-2</v>
      </c>
      <c r="CD123" s="417">
        <f t="shared" si="27"/>
        <v>0.36200198208013235</v>
      </c>
      <c r="CE123" s="525">
        <f t="shared" si="67"/>
        <v>-4.3743009918750131E-2</v>
      </c>
      <c r="CG123" s="527">
        <f t="shared" si="68"/>
        <v>1926.8597173859628</v>
      </c>
      <c r="CH123" s="528">
        <f t="shared" si="69"/>
        <v>848.49103506024642</v>
      </c>
      <c r="CI123" s="528">
        <f t="shared" si="70"/>
        <v>3231.4747424065586</v>
      </c>
      <c r="CJ123" s="528">
        <f t="shared" si="71"/>
        <v>4090.6408634932222</v>
      </c>
      <c r="CK123" s="528">
        <f t="shared" si="72"/>
        <v>49.23482953150824</v>
      </c>
      <c r="CL123" s="528">
        <f t="shared" si="73"/>
        <v>10146.701187877499</v>
      </c>
      <c r="CM123" s="646">
        <f t="shared" si="74"/>
        <v>0</v>
      </c>
    </row>
    <row r="124" spans="1:91">
      <c r="A124" s="873">
        <f>'Input data'!A144</f>
        <v>2044</v>
      </c>
      <c r="B124" s="1553">
        <f>'Input data'!B144</f>
        <v>73.165122580420132</v>
      </c>
      <c r="C124" s="1552">
        <f>'Input data'!C144</f>
        <v>0</v>
      </c>
      <c r="D124" s="1552">
        <f>'Input data'!D144</f>
        <v>15581351.055345042</v>
      </c>
      <c r="E124" s="1457">
        <f t="shared" si="89"/>
        <v>1</v>
      </c>
      <c r="F124" s="1451">
        <f t="shared" si="89"/>
        <v>0.37</v>
      </c>
      <c r="G124" s="1556">
        <f>B124*F124*'Input data'!$C$9</f>
        <v>828.56746389747582</v>
      </c>
      <c r="H124" s="1544">
        <f>'Input data'!I144</f>
        <v>424.26313389388866</v>
      </c>
      <c r="I124" s="1511">
        <f>'Input data'!K144</f>
        <v>31041.264197699562</v>
      </c>
      <c r="J124" s="1511">
        <f t="shared" si="91"/>
        <v>2228.8062963921584</v>
      </c>
      <c r="K124" s="1513">
        <f t="shared" si="77"/>
        <v>12196.641828943688</v>
      </c>
      <c r="L124" s="1506">
        <f t="shared" si="90"/>
        <v>0.7</v>
      </c>
      <c r="M124" s="1506">
        <f t="shared" si="88"/>
        <v>0.6</v>
      </c>
      <c r="N124" s="1506">
        <f t="shared" si="88"/>
        <v>0.9</v>
      </c>
      <c r="O124" s="1506">
        <f t="shared" si="88"/>
        <v>0.9</v>
      </c>
      <c r="P124" s="1506">
        <f t="shared" si="88"/>
        <v>0.23600000000000002</v>
      </c>
      <c r="Q124" s="1510">
        <f t="shared" si="33"/>
        <v>332.37039553426666</v>
      </c>
      <c r="R124" s="1511">
        <f t="shared" si="34"/>
        <v>231.93839225240072</v>
      </c>
      <c r="S124" s="1511">
        <f t="shared" si="35"/>
        <v>679.21166489265715</v>
      </c>
      <c r="T124" s="1511">
        <f t="shared" si="36"/>
        <v>457.33861617588991</v>
      </c>
      <c r="U124" s="1513">
        <f t="shared" si="37"/>
        <v>0</v>
      </c>
      <c r="V124" s="1511">
        <f t="shared" si="38"/>
        <v>1700.8590688552144</v>
      </c>
      <c r="W124" s="1456">
        <f t="shared" si="87"/>
        <v>0.5</v>
      </c>
      <c r="X124" s="530">
        <f t="shared" si="39"/>
        <v>3033.4854703020706</v>
      </c>
      <c r="Y124" s="1510">
        <f t="shared" si="78"/>
        <v>4734.344539157285</v>
      </c>
      <c r="Z124" s="1511">
        <f t="shared" si="79"/>
        <v>9691.1035861785604</v>
      </c>
      <c r="AA124" s="1513">
        <f t="shared" si="80"/>
        <v>7462.297289786402</v>
      </c>
      <c r="AB124" s="1091">
        <f t="shared" si="40"/>
        <v>0.77001522307832115</v>
      </c>
      <c r="AC124" s="135" t="str">
        <f t="shared" si="41"/>
        <v>Yes</v>
      </c>
      <c r="AD124" s="1091">
        <f t="shared" si="42"/>
        <v>0.77001522307832115</v>
      </c>
      <c r="AE124" s="649">
        <f t="shared" si="10"/>
        <v>0.36396428507300427</v>
      </c>
      <c r="AF124" s="530">
        <f t="shared" si="43"/>
        <v>269.84650568336718</v>
      </c>
      <c r="AG124" s="528">
        <f t="shared" si="44"/>
        <v>2228.8062963921584</v>
      </c>
      <c r="AH124" s="528">
        <f t="shared" si="81"/>
        <v>10209.721633803518</v>
      </c>
      <c r="AI124" s="528">
        <f t="shared" si="82"/>
        <v>6437.6604656145792</v>
      </c>
      <c r="AJ124" s="528">
        <f t="shared" si="11"/>
        <v>867.16427041134273</v>
      </c>
      <c r="AK124" s="528">
        <f t="shared" si="45"/>
        <v>19743.352666221599</v>
      </c>
      <c r="AL124" s="716">
        <f t="shared" si="12"/>
        <v>0</v>
      </c>
      <c r="AM124" s="417">
        <f t="shared" si="46"/>
        <v>0.11288894718501212</v>
      </c>
      <c r="AN124" s="417">
        <f t="shared" si="47"/>
        <v>0.51712198056772152</v>
      </c>
      <c r="AO124" s="417">
        <f t="shared" si="48"/>
        <v>0.32606723763936046</v>
      </c>
      <c r="AP124" s="417">
        <f t="shared" si="49"/>
        <v>4.3921834607905885E-2</v>
      </c>
      <c r="AQ124" s="417">
        <f t="shared" si="50"/>
        <v>0.99999999999999989</v>
      </c>
      <c r="AR124" s="1086">
        <f t="shared" si="13"/>
        <v>488.70355470410806</v>
      </c>
      <c r="AS124" s="938">
        <f t="shared" si="14"/>
        <v>619.80831956982433</v>
      </c>
      <c r="AT124" s="938">
        <f t="shared" si="15"/>
        <v>119.29440640485001</v>
      </c>
      <c r="AU124" s="938">
        <f t="shared" si="16"/>
        <v>0</v>
      </c>
      <c r="AV124" s="938">
        <f t="shared" si="17"/>
        <v>0</v>
      </c>
      <c r="AW124" s="938">
        <f t="shared" si="18"/>
        <v>0</v>
      </c>
      <c r="AX124" s="938">
        <f t="shared" si="19"/>
        <v>833.11232059202621</v>
      </c>
      <c r="AY124" s="938">
        <f t="shared" si="20"/>
        <v>67.106747216976913</v>
      </c>
      <c r="AZ124" s="938">
        <f t="shared" si="21"/>
        <v>18.863724273452689</v>
      </c>
      <c r="BA124" s="938">
        <f t="shared" si="22"/>
        <v>48.721325418333805</v>
      </c>
      <c r="BB124" s="938">
        <f t="shared" si="23"/>
        <v>33.195898212585334</v>
      </c>
      <c r="BC124" s="530">
        <f t="shared" si="51"/>
        <v>2228.8062963921575</v>
      </c>
      <c r="BD124" s="724">
        <f t="shared" si="52"/>
        <v>0</v>
      </c>
      <c r="BE124" s="436">
        <f t="shared" si="53"/>
        <v>0.21926694818441095</v>
      </c>
      <c r="BF124" s="624">
        <f t="shared" si="54"/>
        <v>0.27808981003559108</v>
      </c>
      <c r="BG124" s="624">
        <f t="shared" si="55"/>
        <v>5.3523900483391409E-2</v>
      </c>
      <c r="BH124" s="624">
        <f t="shared" si="56"/>
        <v>0</v>
      </c>
      <c r="BI124" s="624">
        <f t="shared" si="57"/>
        <v>0</v>
      </c>
      <c r="BJ124" s="624">
        <f t="shared" si="58"/>
        <v>0</v>
      </c>
      <c r="BK124" s="624">
        <f t="shared" si="59"/>
        <v>0.44911934129660652</v>
      </c>
      <c r="BL124" s="624">
        <f t="shared" si="60"/>
        <v>1</v>
      </c>
      <c r="BM124" s="649">
        <f t="shared" si="92"/>
        <v>0.29028184578274857</v>
      </c>
      <c r="BN124" s="417">
        <f t="shared" si="92"/>
        <v>0.30317187715157518</v>
      </c>
      <c r="BO124" s="417">
        <f t="shared" si="92"/>
        <v>8.2805443243048754E-2</v>
      </c>
      <c r="BP124" s="417">
        <f t="shared" si="92"/>
        <v>0</v>
      </c>
      <c r="BQ124" s="417">
        <f t="shared" si="92"/>
        <v>0</v>
      </c>
      <c r="BR124" s="417">
        <f t="shared" si="92"/>
        <v>0</v>
      </c>
      <c r="BS124" s="417">
        <f t="shared" si="92"/>
        <v>0.32374083382262742</v>
      </c>
      <c r="BT124" s="525">
        <f t="shared" si="84"/>
        <v>0.99999999999999989</v>
      </c>
      <c r="BV124" s="527">
        <f t="shared" si="62"/>
        <v>36.076620721566641</v>
      </c>
      <c r="BW124" s="114">
        <f t="shared" si="63"/>
        <v>0.67908255546013296</v>
      </c>
      <c r="BX124" s="1695">
        <f t="shared" si="24"/>
        <v>15.581351055345042</v>
      </c>
      <c r="BY124" s="527">
        <f t="shared" si="64"/>
        <v>36.076620721566641</v>
      </c>
      <c r="BZ124" s="417">
        <f t="shared" si="65"/>
        <v>0.67908255546013296</v>
      </c>
      <c r="CA124" s="544">
        <f t="shared" si="25"/>
        <v>15.581351055345042</v>
      </c>
      <c r="CB124" s="649">
        <f t="shared" si="26"/>
        <v>0.36396428507300427</v>
      </c>
      <c r="CC124" s="525">
        <f t="shared" si="66"/>
        <v>-4.8257496883882922E-2</v>
      </c>
      <c r="CD124" s="417">
        <f t="shared" si="27"/>
        <v>0.36396428507300427</v>
      </c>
      <c r="CE124" s="525">
        <f t="shared" si="67"/>
        <v>-4.8257496883882922E-2</v>
      </c>
      <c r="CG124" s="527">
        <f t="shared" si="68"/>
        <v>1938.8273072832219</v>
      </c>
      <c r="CH124" s="528">
        <f t="shared" si="69"/>
        <v>853.76095307632158</v>
      </c>
      <c r="CI124" s="528">
        <f t="shared" si="70"/>
        <v>3251.5452042733609</v>
      </c>
      <c r="CJ124" s="528">
        <f t="shared" si="71"/>
        <v>4116.0475455830165</v>
      </c>
      <c r="CK124" s="528">
        <f t="shared" si="72"/>
        <v>49.540623587597544</v>
      </c>
      <c r="CL124" s="528">
        <f t="shared" si="73"/>
        <v>10209.72163380352</v>
      </c>
      <c r="CM124" s="646">
        <f t="shared" si="74"/>
        <v>0</v>
      </c>
    </row>
    <row r="125" spans="1:91">
      <c r="A125" s="873">
        <f>'Input data'!A145</f>
        <v>2045</v>
      </c>
      <c r="B125" s="1553">
        <f>'Input data'!B145</f>
        <v>73.619545999999971</v>
      </c>
      <c r="C125" s="1552">
        <f>'Input data'!C145</f>
        <v>0</v>
      </c>
      <c r="D125" s="1552">
        <f>'Input data'!D145</f>
        <v>13973281.414751694</v>
      </c>
      <c r="E125" s="1457">
        <f t="shared" si="89"/>
        <v>1</v>
      </c>
      <c r="F125" s="1451">
        <f t="shared" si="89"/>
        <v>0.37</v>
      </c>
      <c r="G125" s="1556">
        <f>B125*F125*'Input data'!$C$9</f>
        <v>833.71363801729672</v>
      </c>
      <c r="H125" s="1544">
        <f>'Input data'!I145</f>
        <v>424.26313389388866</v>
      </c>
      <c r="I125" s="1511">
        <f>'Input data'!K145</f>
        <v>31234.059301805282</v>
      </c>
      <c r="J125" s="1511">
        <f t="shared" si="91"/>
        <v>2228.8062963921584</v>
      </c>
      <c r="K125" s="1513">
        <f t="shared" si="77"/>
        <v>12286.237270526955</v>
      </c>
      <c r="L125" s="1506">
        <f t="shared" si="90"/>
        <v>0.7</v>
      </c>
      <c r="M125" s="1506">
        <f t="shared" si="88"/>
        <v>0.6</v>
      </c>
      <c r="N125" s="1506">
        <f t="shared" si="88"/>
        <v>0.9</v>
      </c>
      <c r="O125" s="1506">
        <f t="shared" si="88"/>
        <v>0.9</v>
      </c>
      <c r="P125" s="1506">
        <f t="shared" si="88"/>
        <v>0.23600000000000002</v>
      </c>
      <c r="Q125" s="1510">
        <f t="shared" si="33"/>
        <v>334.43472463505896</v>
      </c>
      <c r="R125" s="1511">
        <f t="shared" si="34"/>
        <v>233.37894525937941</v>
      </c>
      <c r="S125" s="1511">
        <f t="shared" si="35"/>
        <v>683.43020067163843</v>
      </c>
      <c r="T125" s="1511">
        <f t="shared" si="36"/>
        <v>460.17911408717418</v>
      </c>
      <c r="U125" s="1513">
        <f t="shared" si="37"/>
        <v>0</v>
      </c>
      <c r="V125" s="1511">
        <f t="shared" si="38"/>
        <v>1711.422984653251</v>
      </c>
      <c r="W125" s="1456">
        <f t="shared" si="87"/>
        <v>0.5</v>
      </c>
      <c r="X125" s="530">
        <f t="shared" si="39"/>
        <v>3033.4854703020706</v>
      </c>
      <c r="Y125" s="1510">
        <f t="shared" si="78"/>
        <v>4744.9084549553218</v>
      </c>
      <c r="Z125" s="1511">
        <f t="shared" si="79"/>
        <v>9770.1351119637911</v>
      </c>
      <c r="AA125" s="1513">
        <f t="shared" si="80"/>
        <v>7541.3288155716327</v>
      </c>
      <c r="AB125" s="1091">
        <f t="shared" si="40"/>
        <v>0.77187559119188376</v>
      </c>
      <c r="AC125" s="135" t="str">
        <f t="shared" si="41"/>
        <v>Yes</v>
      </c>
      <c r="AD125" s="1091">
        <f t="shared" si="42"/>
        <v>0.77187559119188376</v>
      </c>
      <c r="AE125" s="649">
        <f t="shared" si="10"/>
        <v>0.36591359792336786</v>
      </c>
      <c r="AF125" s="530">
        <f t="shared" si="43"/>
        <v>269.0194841045323</v>
      </c>
      <c r="AG125" s="528">
        <f t="shared" si="44"/>
        <v>2228.8062963921584</v>
      </c>
      <c r="AH125" s="528">
        <f t="shared" si="81"/>
        <v>10273.133495277429</v>
      </c>
      <c r="AI125" s="528">
        <f t="shared" si="82"/>
        <v>6437.6604656145792</v>
      </c>
      <c r="AJ125" s="528">
        <f t="shared" si="11"/>
        <v>865.49202764570771</v>
      </c>
      <c r="AK125" s="528">
        <f t="shared" si="45"/>
        <v>19805.092284929877</v>
      </c>
      <c r="AL125" s="716">
        <f t="shared" si="12"/>
        <v>0</v>
      </c>
      <c r="AM125" s="417">
        <f t="shared" si="46"/>
        <v>0.11253703160414483</v>
      </c>
      <c r="AN125" s="417">
        <f t="shared" si="47"/>
        <v>0.51871172057574699</v>
      </c>
      <c r="AO125" s="417">
        <f t="shared" si="48"/>
        <v>0.32505076840834185</v>
      </c>
      <c r="AP125" s="417">
        <f t="shared" si="49"/>
        <v>4.3700479411766198E-2</v>
      </c>
      <c r="AQ125" s="417">
        <f t="shared" si="50"/>
        <v>0.99999999999999989</v>
      </c>
      <c r="AR125" s="1086">
        <f t="shared" si="13"/>
        <v>489.65598954179325</v>
      </c>
      <c r="AS125" s="938">
        <f t="shared" si="14"/>
        <v>621.01626461250521</v>
      </c>
      <c r="AT125" s="938">
        <f t="shared" si="15"/>
        <v>119.06435863316699</v>
      </c>
      <c r="AU125" s="938">
        <f t="shared" si="16"/>
        <v>0</v>
      </c>
      <c r="AV125" s="938">
        <f t="shared" si="17"/>
        <v>0</v>
      </c>
      <c r="AW125" s="938">
        <f t="shared" si="18"/>
        <v>0</v>
      </c>
      <c r="AX125" s="938">
        <f t="shared" si="19"/>
        <v>831.50574373155371</v>
      </c>
      <c r="AY125" s="938">
        <f t="shared" si="20"/>
        <v>66.977338319046126</v>
      </c>
      <c r="AZ125" s="938">
        <f t="shared" si="21"/>
        <v>18.827347398245077</v>
      </c>
      <c r="BA125" s="938">
        <f t="shared" si="22"/>
        <v>48.627371035360618</v>
      </c>
      <c r="BB125" s="938">
        <f t="shared" si="23"/>
        <v>33.131883120487025</v>
      </c>
      <c r="BC125" s="530">
        <f t="shared" si="51"/>
        <v>2228.8062963921584</v>
      </c>
      <c r="BD125" s="724">
        <f t="shared" si="52"/>
        <v>0</v>
      </c>
      <c r="BE125" s="436">
        <f t="shared" si="53"/>
        <v>0.21969427775505454</v>
      </c>
      <c r="BF125" s="624">
        <f t="shared" si="54"/>
        <v>0.27863177953946222</v>
      </c>
      <c r="BG125" s="624">
        <f t="shared" si="55"/>
        <v>5.3420684797014596E-2</v>
      </c>
      <c r="BH125" s="624">
        <f t="shared" si="56"/>
        <v>0</v>
      </c>
      <c r="BI125" s="624">
        <f t="shared" si="57"/>
        <v>0</v>
      </c>
      <c r="BJ125" s="624">
        <f t="shared" si="58"/>
        <v>0</v>
      </c>
      <c r="BK125" s="624">
        <f t="shared" si="59"/>
        <v>0.44825325790846843</v>
      </c>
      <c r="BL125" s="624">
        <f t="shared" si="60"/>
        <v>0.99999999999999978</v>
      </c>
      <c r="BM125" s="649">
        <f t="shared" si="92"/>
        <v>0.29028184578274857</v>
      </c>
      <c r="BN125" s="417">
        <f t="shared" si="92"/>
        <v>0.30317187715157518</v>
      </c>
      <c r="BO125" s="417">
        <f t="shared" si="92"/>
        <v>8.2805443243048754E-2</v>
      </c>
      <c r="BP125" s="417">
        <f t="shared" si="92"/>
        <v>0</v>
      </c>
      <c r="BQ125" s="417">
        <f t="shared" si="92"/>
        <v>0</v>
      </c>
      <c r="BR125" s="417">
        <f t="shared" si="92"/>
        <v>0</v>
      </c>
      <c r="BS125" s="417">
        <f t="shared" si="92"/>
        <v>0.32374083382262742</v>
      </c>
      <c r="BT125" s="525">
        <f t="shared" si="84"/>
        <v>0.99999999999999989</v>
      </c>
      <c r="BV125" s="527">
        <f t="shared" si="62"/>
        <v>34.530290699681565</v>
      </c>
      <c r="BW125" s="114">
        <f t="shared" si="63"/>
        <v>0.69265317695859885</v>
      </c>
      <c r="BX125" s="1695">
        <f t="shared" si="24"/>
        <v>13.973281414751694</v>
      </c>
      <c r="BY125" s="527">
        <f t="shared" si="64"/>
        <v>34.530290699681565</v>
      </c>
      <c r="BZ125" s="417">
        <f t="shared" si="65"/>
        <v>0.69265317695859885</v>
      </c>
      <c r="CA125" s="544">
        <f t="shared" si="25"/>
        <v>13.973281414751694</v>
      </c>
      <c r="CB125" s="649">
        <f t="shared" si="26"/>
        <v>0.36591359792336786</v>
      </c>
      <c r="CC125" s="525">
        <f t="shared" si="66"/>
        <v>-5.3811053945152398E-2</v>
      </c>
      <c r="CD125" s="417">
        <f t="shared" si="27"/>
        <v>0.36591359792336786</v>
      </c>
      <c r="CE125" s="525">
        <f t="shared" si="67"/>
        <v>-5.3811053945152398E-2</v>
      </c>
      <c r="CG125" s="527">
        <f t="shared" si="68"/>
        <v>1950.8692270378426</v>
      </c>
      <c r="CH125" s="528">
        <f t="shared" si="69"/>
        <v>859.06360218176451</v>
      </c>
      <c r="CI125" s="528">
        <f t="shared" si="70"/>
        <v>3271.7403223642282</v>
      </c>
      <c r="CJ125" s="528">
        <f t="shared" si="71"/>
        <v>4141.6120267845772</v>
      </c>
      <c r="CK125" s="528">
        <f t="shared" si="72"/>
        <v>49.848316909016496</v>
      </c>
      <c r="CL125" s="528">
        <f t="shared" si="73"/>
        <v>10273.133495277429</v>
      </c>
      <c r="CM125" s="646">
        <f t="shared" si="74"/>
        <v>0</v>
      </c>
    </row>
    <row r="126" spans="1:91">
      <c r="A126" s="873">
        <f>'Input data'!A146</f>
        <v>2046</v>
      </c>
      <c r="B126" s="1553">
        <f>'Input data'!B146</f>
        <v>73.995362001779526</v>
      </c>
      <c r="C126" s="1552">
        <f>'Input data'!C146</f>
        <v>0</v>
      </c>
      <c r="D126" s="1552">
        <f>'Input data'!D146</f>
        <v>11178944.368399095</v>
      </c>
      <c r="E126" s="1457">
        <f t="shared" si="89"/>
        <v>1</v>
      </c>
      <c r="F126" s="1451">
        <f t="shared" si="89"/>
        <v>0.37</v>
      </c>
      <c r="G126" s="1556">
        <f>B126*F126*'Input data'!$C$9</f>
        <v>837.96961272907708</v>
      </c>
      <c r="H126" s="1544">
        <f>'Input data'!I146</f>
        <v>424.26313389388866</v>
      </c>
      <c r="I126" s="1511">
        <f>'Input data'!K146</f>
        <v>31393.50417648775</v>
      </c>
      <c r="J126" s="1511">
        <f t="shared" si="91"/>
        <v>2228.8062963921584</v>
      </c>
      <c r="K126" s="1513">
        <f t="shared" si="77"/>
        <v>12360.334245248529</v>
      </c>
      <c r="L126" s="1506">
        <f t="shared" si="90"/>
        <v>0.7</v>
      </c>
      <c r="M126" s="1506">
        <f t="shared" si="88"/>
        <v>0.6</v>
      </c>
      <c r="N126" s="1506">
        <f t="shared" si="88"/>
        <v>0.9</v>
      </c>
      <c r="O126" s="1506">
        <f t="shared" si="88"/>
        <v>0.9</v>
      </c>
      <c r="P126" s="1506">
        <f t="shared" si="88"/>
        <v>0.23600000000000002</v>
      </c>
      <c r="Q126" s="1510">
        <f t="shared" si="33"/>
        <v>336.14196038830005</v>
      </c>
      <c r="R126" s="1511">
        <f t="shared" si="34"/>
        <v>234.57030742978588</v>
      </c>
      <c r="S126" s="1511">
        <f t="shared" si="35"/>
        <v>686.91900248402408</v>
      </c>
      <c r="T126" s="1511">
        <f t="shared" si="36"/>
        <v>462.52825482703656</v>
      </c>
      <c r="U126" s="1513">
        <f t="shared" si="37"/>
        <v>0</v>
      </c>
      <c r="V126" s="1511">
        <f t="shared" si="38"/>
        <v>1720.1595251291465</v>
      </c>
      <c r="W126" s="1456">
        <f t="shared" si="87"/>
        <v>0.5</v>
      </c>
      <c r="X126" s="530">
        <f t="shared" si="39"/>
        <v>3033.4854703020706</v>
      </c>
      <c r="Y126" s="1510">
        <f t="shared" si="78"/>
        <v>4753.6449954312175</v>
      </c>
      <c r="Z126" s="1511">
        <f t="shared" si="79"/>
        <v>9835.4955462094695</v>
      </c>
      <c r="AA126" s="1513">
        <f t="shared" si="80"/>
        <v>7606.6892498173111</v>
      </c>
      <c r="AB126" s="1091">
        <f t="shared" si="40"/>
        <v>0.77339156060610237</v>
      </c>
      <c r="AC126" s="135" t="str">
        <f t="shared" si="41"/>
        <v>Yes</v>
      </c>
      <c r="AD126" s="1091">
        <f t="shared" si="42"/>
        <v>0.77339156060610237</v>
      </c>
      <c r="AE126" s="649">
        <f t="shared" si="10"/>
        <v>0.36750697834425616</v>
      </c>
      <c r="AF126" s="530">
        <f t="shared" si="43"/>
        <v>268.34347153368111</v>
      </c>
      <c r="AG126" s="528">
        <f t="shared" si="44"/>
        <v>2228.8062963921584</v>
      </c>
      <c r="AH126" s="528">
        <f t="shared" si="81"/>
        <v>10325.57619787088</v>
      </c>
      <c r="AI126" s="528">
        <f t="shared" si="82"/>
        <v>6437.6604656145792</v>
      </c>
      <c r="AJ126" s="528">
        <f t="shared" si="11"/>
        <v>864.12935707133613</v>
      </c>
      <c r="AK126" s="528">
        <f t="shared" si="45"/>
        <v>19856.172316948952</v>
      </c>
      <c r="AL126" s="716">
        <f t="shared" si="12"/>
        <v>0</v>
      </c>
      <c r="AM126" s="417">
        <f t="shared" si="46"/>
        <v>0.11224752992749164</v>
      </c>
      <c r="AN126" s="417">
        <f t="shared" si="47"/>
        <v>0.52001846242324923</v>
      </c>
      <c r="AO126" s="417">
        <f t="shared" si="48"/>
        <v>0.32421457483623273</v>
      </c>
      <c r="AP126" s="417">
        <f t="shared" si="49"/>
        <v>4.3519432813026476E-2</v>
      </c>
      <c r="AQ126" s="417">
        <f t="shared" si="50"/>
        <v>1</v>
      </c>
      <c r="AR126" s="1086">
        <f t="shared" si="13"/>
        <v>490.43210587728646</v>
      </c>
      <c r="AS126" s="938">
        <f t="shared" si="14"/>
        <v>622.00059009379629</v>
      </c>
      <c r="AT126" s="938">
        <f t="shared" si="15"/>
        <v>118.87689821437245</v>
      </c>
      <c r="AU126" s="938">
        <f t="shared" si="16"/>
        <v>0</v>
      </c>
      <c r="AV126" s="938">
        <f t="shared" si="17"/>
        <v>0</v>
      </c>
      <c r="AW126" s="938">
        <f t="shared" si="18"/>
        <v>0</v>
      </c>
      <c r="AX126" s="938">
        <f t="shared" si="19"/>
        <v>830.19658273039909</v>
      </c>
      <c r="AY126" s="938">
        <f t="shared" si="20"/>
        <v>66.871886107862451</v>
      </c>
      <c r="AZ126" s="938">
        <f t="shared" si="21"/>
        <v>18.797704753976223</v>
      </c>
      <c r="BA126" s="938">
        <f t="shared" si="22"/>
        <v>48.550809859171196</v>
      </c>
      <c r="BB126" s="938">
        <f t="shared" si="23"/>
        <v>33.079718755293953</v>
      </c>
      <c r="BC126" s="530">
        <f t="shared" si="51"/>
        <v>2228.8062963921579</v>
      </c>
      <c r="BD126" s="724">
        <f t="shared" si="52"/>
        <v>0</v>
      </c>
      <c r="BE126" s="436">
        <f t="shared" si="53"/>
        <v>0.22004249838631784</v>
      </c>
      <c r="BF126" s="624">
        <f t="shared" si="54"/>
        <v>0.27907341750633474</v>
      </c>
      <c r="BG126" s="624">
        <f t="shared" si="55"/>
        <v>5.3336576806518536E-2</v>
      </c>
      <c r="BH126" s="624">
        <f t="shared" si="56"/>
        <v>0</v>
      </c>
      <c r="BI126" s="624">
        <f t="shared" si="57"/>
        <v>0</v>
      </c>
      <c r="BJ126" s="624">
        <f t="shared" si="58"/>
        <v>0</v>
      </c>
      <c r="BK126" s="624">
        <f t="shared" si="59"/>
        <v>0.44754750730082893</v>
      </c>
      <c r="BL126" s="624">
        <f t="shared" si="60"/>
        <v>1</v>
      </c>
      <c r="BM126" s="649">
        <f t="shared" si="92"/>
        <v>0.29028184578274857</v>
      </c>
      <c r="BN126" s="417">
        <f t="shared" si="92"/>
        <v>0.30317187715157518</v>
      </c>
      <c r="BO126" s="417">
        <f t="shared" si="92"/>
        <v>8.2805443243048754E-2</v>
      </c>
      <c r="BP126" s="417">
        <f t="shared" si="92"/>
        <v>0</v>
      </c>
      <c r="BQ126" s="417">
        <f t="shared" si="92"/>
        <v>0</v>
      </c>
      <c r="BR126" s="417">
        <f t="shared" si="92"/>
        <v>0</v>
      </c>
      <c r="BS126" s="417">
        <f t="shared" si="92"/>
        <v>0.32374083382262742</v>
      </c>
      <c r="BT126" s="525">
        <f t="shared" si="84"/>
        <v>0.99999999999999989</v>
      </c>
      <c r="BV126" s="527">
        <f t="shared" si="62"/>
        <v>31.78703368534805</v>
      </c>
      <c r="BW126" s="114">
        <f t="shared" si="63"/>
        <v>0.71887364496201267</v>
      </c>
      <c r="BX126" s="1695">
        <f t="shared" si="24"/>
        <v>11.178944368399096</v>
      </c>
      <c r="BY126" s="527">
        <f t="shared" si="64"/>
        <v>31.78703368534805</v>
      </c>
      <c r="BZ126" s="417">
        <f t="shared" si="65"/>
        <v>0.71887364496201267</v>
      </c>
      <c r="CA126" s="544">
        <f t="shared" si="25"/>
        <v>11.178944368399096</v>
      </c>
      <c r="CB126" s="649">
        <f t="shared" si="26"/>
        <v>0.36750697834425616</v>
      </c>
      <c r="CC126" s="525">
        <f t="shared" si="66"/>
        <v>-6.7261896581714442E-2</v>
      </c>
      <c r="CD126" s="417">
        <f t="shared" si="27"/>
        <v>0.36750697834425616</v>
      </c>
      <c r="CE126" s="525">
        <f t="shared" si="67"/>
        <v>-6.7261896581714442E-2</v>
      </c>
      <c r="CG126" s="527">
        <f t="shared" si="68"/>
        <v>1960.828102265084</v>
      </c>
      <c r="CH126" s="528">
        <f t="shared" si="69"/>
        <v>863.44898440412021</v>
      </c>
      <c r="CI126" s="528">
        <f t="shared" si="70"/>
        <v>3288.4420331682022</v>
      </c>
      <c r="CJ126" s="528">
        <f t="shared" si="71"/>
        <v>4162.7542934433304</v>
      </c>
      <c r="CK126" s="528">
        <f t="shared" si="72"/>
        <v>50.10278459014274</v>
      </c>
      <c r="CL126" s="528">
        <f t="shared" si="73"/>
        <v>10325.57619787088</v>
      </c>
      <c r="CM126" s="646">
        <f t="shared" si="74"/>
        <v>0</v>
      </c>
    </row>
    <row r="127" spans="1:91" s="1" customFormat="1">
      <c r="A127" s="873">
        <f>'Input data'!A147</f>
        <v>2047</v>
      </c>
      <c r="B127" s="1553">
        <f>'Input data'!B147</f>
        <v>74.373096484110363</v>
      </c>
      <c r="C127" s="1552">
        <f>'Input data'!C147</f>
        <v>0</v>
      </c>
      <c r="D127" s="1552">
        <f>'Input data'!D147</f>
        <v>8384607.3220464904</v>
      </c>
      <c r="E127" s="1457">
        <f t="shared" si="89"/>
        <v>1</v>
      </c>
      <c r="F127" s="1451">
        <f t="shared" si="89"/>
        <v>0.37</v>
      </c>
      <c r="G127" s="1556">
        <f>B127*F127*'Input data'!$C$9</f>
        <v>842.24731351072307</v>
      </c>
      <c r="H127" s="1544">
        <f>'Input data'!I147</f>
        <v>424.26313389388866</v>
      </c>
      <c r="I127" s="1511">
        <f>'Input data'!K147</f>
        <v>31553.762991741216</v>
      </c>
      <c r="J127" s="1511">
        <f t="shared" si="91"/>
        <v>2228.8062963921584</v>
      </c>
      <c r="K127" s="1513">
        <f t="shared" si="77"/>
        <v>12434.809473169109</v>
      </c>
      <c r="L127" s="1506">
        <f t="shared" si="90"/>
        <v>0.7</v>
      </c>
      <c r="M127" s="1506">
        <f t="shared" si="90"/>
        <v>0.6</v>
      </c>
      <c r="N127" s="1506">
        <f t="shared" si="90"/>
        <v>0.9</v>
      </c>
      <c r="O127" s="1506">
        <f t="shared" si="90"/>
        <v>0.9</v>
      </c>
      <c r="P127" s="1506">
        <f t="shared" si="90"/>
        <v>0.23600000000000002</v>
      </c>
      <c r="Q127" s="1510">
        <f t="shared" si="33"/>
        <v>337.8579113068713</v>
      </c>
      <c r="R127" s="1511">
        <f t="shared" si="34"/>
        <v>235.76775131343163</v>
      </c>
      <c r="S127" s="1511">
        <f t="shared" si="35"/>
        <v>690.42561407138692</v>
      </c>
      <c r="T127" s="1511">
        <f t="shared" si="36"/>
        <v>464.88938755446634</v>
      </c>
      <c r="U127" s="1513">
        <f t="shared" si="37"/>
        <v>0</v>
      </c>
      <c r="V127" s="1511">
        <f t="shared" si="38"/>
        <v>1728.9406642461563</v>
      </c>
      <c r="W127" s="1456">
        <f t="shared" si="87"/>
        <v>0.5</v>
      </c>
      <c r="X127" s="530">
        <f t="shared" si="39"/>
        <v>3033.4854703020706</v>
      </c>
      <c r="Y127" s="1510">
        <f t="shared" si="78"/>
        <v>4762.4261345482264</v>
      </c>
      <c r="Z127" s="1511">
        <f t="shared" si="79"/>
        <v>9901.189635013041</v>
      </c>
      <c r="AA127" s="1513">
        <f t="shared" si="80"/>
        <v>7672.3833386208826</v>
      </c>
      <c r="AB127" s="1091">
        <f t="shared" si="40"/>
        <v>0.7748951006341146</v>
      </c>
      <c r="AC127" s="135" t="str">
        <f t="shared" si="41"/>
        <v>Yes</v>
      </c>
      <c r="AD127" s="1091">
        <f t="shared" si="42"/>
        <v>0.7748951006341146</v>
      </c>
      <c r="AE127" s="649">
        <f t="shared" si="10"/>
        <v>0.36909169159072286</v>
      </c>
      <c r="AF127" s="530">
        <f t="shared" si="43"/>
        <v>267.67113612541198</v>
      </c>
      <c r="AG127" s="528">
        <f t="shared" si="44"/>
        <v>2228.8062963921584</v>
      </c>
      <c r="AH127" s="528">
        <f t="shared" si="81"/>
        <v>10378.286612069227</v>
      </c>
      <c r="AI127" s="528">
        <f t="shared" si="82"/>
        <v>6437.6604656145792</v>
      </c>
      <c r="AJ127" s="528">
        <f t="shared" si="11"/>
        <v>862.77785899073763</v>
      </c>
      <c r="AK127" s="528">
        <f t="shared" si="45"/>
        <v>19907.531233066704</v>
      </c>
      <c r="AL127" s="716">
        <f t="shared" si="12"/>
        <v>0</v>
      </c>
      <c r="AM127" s="417">
        <f t="shared" si="46"/>
        <v>0.11195794547794445</v>
      </c>
      <c r="AN127" s="417">
        <f t="shared" si="47"/>
        <v>0.52132464294873182</v>
      </c>
      <c r="AO127" s="417">
        <f t="shared" si="48"/>
        <v>0.32337814218377464</v>
      </c>
      <c r="AP127" s="417">
        <f t="shared" si="49"/>
        <v>4.3339269389548955E-2</v>
      </c>
      <c r="AQ127" s="417">
        <f t="shared" si="50"/>
        <v>0.99999999999999978</v>
      </c>
      <c r="AR127" s="1086">
        <f t="shared" si="13"/>
        <v>491.20185885901765</v>
      </c>
      <c r="AS127" s="938">
        <f t="shared" si="14"/>
        <v>622.97684512099681</v>
      </c>
      <c r="AT127" s="938">
        <f t="shared" si="15"/>
        <v>118.69097477773697</v>
      </c>
      <c r="AU127" s="938">
        <f t="shared" si="16"/>
        <v>0</v>
      </c>
      <c r="AV127" s="938">
        <f t="shared" si="17"/>
        <v>0</v>
      </c>
      <c r="AW127" s="938">
        <f t="shared" si="18"/>
        <v>0</v>
      </c>
      <c r="AX127" s="938">
        <f t="shared" si="19"/>
        <v>828.8981554996866</v>
      </c>
      <c r="AY127" s="938">
        <f t="shared" si="20"/>
        <v>66.767298496087406</v>
      </c>
      <c r="AZ127" s="938">
        <f t="shared" si="21"/>
        <v>18.768305148828162</v>
      </c>
      <c r="BA127" s="938">
        <f t="shared" si="22"/>
        <v>48.474876405691035</v>
      </c>
      <c r="BB127" s="938">
        <f t="shared" si="23"/>
        <v>33.027982084113098</v>
      </c>
      <c r="BC127" s="530">
        <f t="shared" si="51"/>
        <v>2228.8062963921579</v>
      </c>
      <c r="BD127" s="724">
        <f t="shared" si="52"/>
        <v>0</v>
      </c>
      <c r="BE127" s="436">
        <f t="shared" si="53"/>
        <v>0.22038786396742607</v>
      </c>
      <c r="BF127" s="624">
        <f t="shared" si="54"/>
        <v>0.27951143449721488</v>
      </c>
      <c r="BG127" s="624">
        <f t="shared" si="55"/>
        <v>5.3253158414827681E-2</v>
      </c>
      <c r="BH127" s="624">
        <f t="shared" si="56"/>
        <v>0</v>
      </c>
      <c r="BI127" s="624">
        <f t="shared" si="57"/>
        <v>0</v>
      </c>
      <c r="BJ127" s="624">
        <f t="shared" si="58"/>
        <v>0</v>
      </c>
      <c r="BK127" s="624">
        <f t="shared" si="59"/>
        <v>0.44684754312053121</v>
      </c>
      <c r="BL127" s="624">
        <f t="shared" si="60"/>
        <v>0.99999999999999989</v>
      </c>
      <c r="BM127" s="649">
        <f t="shared" si="92"/>
        <v>0.29028184578274857</v>
      </c>
      <c r="BN127" s="417">
        <f t="shared" si="92"/>
        <v>0.30317187715157518</v>
      </c>
      <c r="BO127" s="417">
        <f t="shared" si="92"/>
        <v>8.2805443243048754E-2</v>
      </c>
      <c r="BP127" s="417">
        <f t="shared" si="92"/>
        <v>0</v>
      </c>
      <c r="BQ127" s="417">
        <f t="shared" si="92"/>
        <v>0</v>
      </c>
      <c r="BR127" s="417">
        <f t="shared" si="92"/>
        <v>0</v>
      </c>
      <c r="BS127" s="417">
        <f t="shared" si="92"/>
        <v>0.32374083382262742</v>
      </c>
      <c r="BT127" s="525">
        <f t="shared" si="84"/>
        <v>0.99999999999999989</v>
      </c>
      <c r="BV127" s="527">
        <f t="shared" si="62"/>
        <v>29.044055555113193</v>
      </c>
      <c r="BW127" s="114">
        <f t="shared" si="63"/>
        <v>0.75004969000129851</v>
      </c>
      <c r="BX127" s="1695">
        <f t="shared" si="24"/>
        <v>8.3846073220464898</v>
      </c>
      <c r="BY127" s="527">
        <f t="shared" si="64"/>
        <v>29.044055555113193</v>
      </c>
      <c r="BZ127" s="417">
        <f t="shared" si="65"/>
        <v>0.75004969000129851</v>
      </c>
      <c r="CA127" s="544">
        <f t="shared" si="25"/>
        <v>8.3846073220464898</v>
      </c>
      <c r="CB127" s="649">
        <f t="shared" si="26"/>
        <v>0.36909169159072286</v>
      </c>
      <c r="CC127" s="525">
        <f t="shared" si="66"/>
        <v>-8.9678260545715593E-2</v>
      </c>
      <c r="CD127" s="417">
        <f t="shared" si="27"/>
        <v>0.36909169159072286</v>
      </c>
      <c r="CE127" s="525">
        <f t="shared" si="67"/>
        <v>-8.9678260545715593E-2</v>
      </c>
      <c r="CG127" s="527">
        <f t="shared" si="68"/>
        <v>1970.8378159567483</v>
      </c>
      <c r="CH127" s="528">
        <f t="shared" si="69"/>
        <v>867.85675330097536</v>
      </c>
      <c r="CI127" s="528">
        <f t="shared" si="70"/>
        <v>3305.2290035332353</v>
      </c>
      <c r="CJ127" s="528">
        <f t="shared" si="71"/>
        <v>4184.0044879902052</v>
      </c>
      <c r="CK127" s="528">
        <f t="shared" si="72"/>
        <v>50.358551288061392</v>
      </c>
      <c r="CL127" s="528">
        <f t="shared" si="73"/>
        <v>10378.286612069225</v>
      </c>
      <c r="CM127" s="646">
        <f t="shared" si="74"/>
        <v>0</v>
      </c>
    </row>
    <row r="128" spans="1:91">
      <c r="A128" s="873">
        <f>'Input data'!A148</f>
        <v>2048</v>
      </c>
      <c r="B128" s="1553">
        <f>'Input data'!B148</f>
        <v>74.752759240528661</v>
      </c>
      <c r="C128" s="1552">
        <f>'Input data'!C148</f>
        <v>0</v>
      </c>
      <c r="D128" s="1552">
        <f>'Input data'!D148</f>
        <v>5590270.2756938878</v>
      </c>
      <c r="E128" s="1457">
        <f t="shared" ref="E128:F130" si="93">E127</f>
        <v>1</v>
      </c>
      <c r="F128" s="1451">
        <f t="shared" si="93"/>
        <v>0.37</v>
      </c>
      <c r="G128" s="1556">
        <f>B128*F128*'Input data'!$C$9</f>
        <v>846.5468512703444</v>
      </c>
      <c r="H128" s="1544">
        <f>'Input data'!I148</f>
        <v>424.26313389388866</v>
      </c>
      <c r="I128" s="1511">
        <f>'Input data'!K148</f>
        <v>31714.839902602034</v>
      </c>
      <c r="J128" s="1511">
        <f t="shared" si="91"/>
        <v>2228.8062963921584</v>
      </c>
      <c r="K128" s="1513">
        <f t="shared" si="77"/>
        <v>12509.664885210746</v>
      </c>
      <c r="L128" s="1506">
        <f t="shared" ref="L128:P130" si="94">L127</f>
        <v>0.7</v>
      </c>
      <c r="M128" s="1506">
        <f t="shared" si="94"/>
        <v>0.6</v>
      </c>
      <c r="N128" s="1506">
        <f t="shared" si="94"/>
        <v>0.9</v>
      </c>
      <c r="O128" s="1506">
        <f t="shared" si="94"/>
        <v>0.9</v>
      </c>
      <c r="P128" s="1506">
        <f t="shared" si="94"/>
        <v>0.23600000000000002</v>
      </c>
      <c r="Q128" s="1510">
        <f t="shared" si="33"/>
        <v>339.58262188029607</v>
      </c>
      <c r="R128" s="1511">
        <f t="shared" si="34"/>
        <v>236.971307956489</v>
      </c>
      <c r="S128" s="1511">
        <f t="shared" si="35"/>
        <v>693.95012634977684</v>
      </c>
      <c r="T128" s="1511">
        <f t="shared" si="36"/>
        <v>467.26257348664376</v>
      </c>
      <c r="U128" s="1513">
        <f t="shared" si="37"/>
        <v>0</v>
      </c>
      <c r="V128" s="1511">
        <f t="shared" si="38"/>
        <v>1737.7666296732057</v>
      </c>
      <c r="W128" s="1456">
        <f t="shared" si="87"/>
        <v>0.5</v>
      </c>
      <c r="X128" s="530">
        <f t="shared" si="39"/>
        <v>3033.4854703020706</v>
      </c>
      <c r="Y128" s="1510">
        <f t="shared" si="78"/>
        <v>4771.252099975276</v>
      </c>
      <c r="Z128" s="1511">
        <f t="shared" si="79"/>
        <v>9967.2190816276288</v>
      </c>
      <c r="AA128" s="1513">
        <f t="shared" si="80"/>
        <v>7738.4127852354704</v>
      </c>
      <c r="AB128" s="1091">
        <f t="shared" si="40"/>
        <v>0.77638634426121211</v>
      </c>
      <c r="AC128" s="135" t="str">
        <f t="shared" si="41"/>
        <v>Yes</v>
      </c>
      <c r="AD128" s="1091">
        <f t="shared" si="42"/>
        <v>0.77638634426121211</v>
      </c>
      <c r="AE128" s="649">
        <f t="shared" si="10"/>
        <v>0.3706677901680655</v>
      </c>
      <c r="AF128" s="530">
        <f t="shared" si="43"/>
        <v>267.00245560366284</v>
      </c>
      <c r="AG128" s="528">
        <f t="shared" si="44"/>
        <v>2228.8062963921584</v>
      </c>
      <c r="AH128" s="528">
        <f t="shared" si="81"/>
        <v>10431.266104497367</v>
      </c>
      <c r="AI128" s="528">
        <f t="shared" si="82"/>
        <v>6437.6604656145792</v>
      </c>
      <c r="AJ128" s="528">
        <f t="shared" si="11"/>
        <v>861.43741386644547</v>
      </c>
      <c r="AK128" s="528">
        <f t="shared" si="45"/>
        <v>19959.170280370552</v>
      </c>
      <c r="AL128" s="716">
        <f t="shared" si="12"/>
        <v>0</v>
      </c>
      <c r="AM128" s="417">
        <f t="shared" si="46"/>
        <v>0.11166828405608349</v>
      </c>
      <c r="AN128" s="417">
        <f t="shared" si="47"/>
        <v>0.52263024754873255</v>
      </c>
      <c r="AO128" s="417">
        <f t="shared" si="48"/>
        <v>0.32254148720530185</v>
      </c>
      <c r="AP128" s="417">
        <f t="shared" si="49"/>
        <v>4.3159981189882027E-2</v>
      </c>
      <c r="AQ128" s="417">
        <f t="shared" si="50"/>
        <v>1</v>
      </c>
      <c r="AR128" s="1086">
        <f t="shared" si="13"/>
        <v>491.96531657019244</v>
      </c>
      <c r="AS128" s="938">
        <f t="shared" si="14"/>
        <v>623.94511604203069</v>
      </c>
      <c r="AT128" s="938">
        <f t="shared" si="15"/>
        <v>118.5065718786821</v>
      </c>
      <c r="AU128" s="938">
        <f t="shared" si="16"/>
        <v>0</v>
      </c>
      <c r="AV128" s="938">
        <f t="shared" si="17"/>
        <v>0</v>
      </c>
      <c r="AW128" s="938">
        <f t="shared" si="18"/>
        <v>0</v>
      </c>
      <c r="AX128" s="938">
        <f t="shared" si="19"/>
        <v>827.61034719596614</v>
      </c>
      <c r="AY128" s="938">
        <f t="shared" si="20"/>
        <v>66.663566233143229</v>
      </c>
      <c r="AZ128" s="938">
        <f t="shared" si="21"/>
        <v>18.739145982461341</v>
      </c>
      <c r="BA128" s="938">
        <f t="shared" si="22"/>
        <v>48.399563958748168</v>
      </c>
      <c r="BB128" s="938">
        <f t="shared" si="23"/>
        <v>32.976668530933082</v>
      </c>
      <c r="BC128" s="530">
        <f t="shared" si="51"/>
        <v>2228.806296392157</v>
      </c>
      <c r="BD128" s="724">
        <f t="shared" si="52"/>
        <v>0</v>
      </c>
      <c r="BE128" s="436">
        <f t="shared" si="53"/>
        <v>0.22073040504531644</v>
      </c>
      <c r="BF128" s="624">
        <f t="shared" si="54"/>
        <v>0.27994586925388332</v>
      </c>
      <c r="BG128" s="624">
        <f t="shared" si="55"/>
        <v>5.3170422243742146E-2</v>
      </c>
      <c r="BH128" s="624">
        <f t="shared" si="56"/>
        <v>0</v>
      </c>
      <c r="BI128" s="624">
        <f t="shared" si="57"/>
        <v>0</v>
      </c>
      <c r="BJ128" s="624">
        <f t="shared" si="58"/>
        <v>0</v>
      </c>
      <c r="BK128" s="624">
        <f t="shared" si="59"/>
        <v>0.44615330345705817</v>
      </c>
      <c r="BL128" s="624">
        <f t="shared" si="60"/>
        <v>1</v>
      </c>
      <c r="BM128" s="649">
        <f t="shared" si="92"/>
        <v>0.29028184578274857</v>
      </c>
      <c r="BN128" s="417">
        <f t="shared" si="92"/>
        <v>0.30317187715157518</v>
      </c>
      <c r="BO128" s="417">
        <f t="shared" si="92"/>
        <v>8.2805443243048754E-2</v>
      </c>
      <c r="BP128" s="417">
        <f t="shared" si="92"/>
        <v>0</v>
      </c>
      <c r="BQ128" s="417">
        <f t="shared" si="92"/>
        <v>0</v>
      </c>
      <c r="BR128" s="417">
        <f t="shared" si="92"/>
        <v>0</v>
      </c>
      <c r="BS128" s="417">
        <f t="shared" si="92"/>
        <v>0.32374083382262742</v>
      </c>
      <c r="BT128" s="525">
        <f t="shared" si="84"/>
        <v>0.99999999999999989</v>
      </c>
      <c r="BV128" s="527">
        <f t="shared" si="62"/>
        <v>26.301357556064438</v>
      </c>
      <c r="BW128" s="114">
        <f t="shared" si="63"/>
        <v>0.787730787283214</v>
      </c>
      <c r="BX128" s="1695">
        <f t="shared" si="24"/>
        <v>5.5902702756938876</v>
      </c>
      <c r="BY128" s="527">
        <f t="shared" si="64"/>
        <v>26.301357556064438</v>
      </c>
      <c r="BZ128" s="417">
        <f t="shared" si="65"/>
        <v>0.787730787283214</v>
      </c>
      <c r="CA128" s="544">
        <f t="shared" si="25"/>
        <v>5.5902702756938876</v>
      </c>
      <c r="CB128" s="649">
        <f t="shared" si="26"/>
        <v>0.3706677901680655</v>
      </c>
      <c r="CC128" s="525">
        <f t="shared" si="66"/>
        <v>-0.13450458795691578</v>
      </c>
      <c r="CD128" s="417">
        <f t="shared" si="27"/>
        <v>0.3706677901680655</v>
      </c>
      <c r="CE128" s="525">
        <f t="shared" si="67"/>
        <v>-0.13450458795691578</v>
      </c>
      <c r="CG128" s="527">
        <f t="shared" si="68"/>
        <v>1980.8986276350599</v>
      </c>
      <c r="CH128" s="528">
        <f t="shared" si="69"/>
        <v>872.28702315272039</v>
      </c>
      <c r="CI128" s="528">
        <f t="shared" si="70"/>
        <v>3322.101668695741</v>
      </c>
      <c r="CJ128" s="528">
        <f t="shared" si="71"/>
        <v>4205.3631613797997</v>
      </c>
      <c r="CK128" s="528">
        <f t="shared" si="72"/>
        <v>50.615623634045299</v>
      </c>
      <c r="CL128" s="528">
        <f t="shared" si="73"/>
        <v>10431.266104497367</v>
      </c>
      <c r="CM128" s="646">
        <f t="shared" si="74"/>
        <v>0</v>
      </c>
    </row>
    <row r="129" spans="1:91">
      <c r="A129" s="127">
        <f>'Input data'!A149</f>
        <v>2049</v>
      </c>
      <c r="B129" s="662">
        <f>'Input data'!B149</f>
        <v>75.134360114565098</v>
      </c>
      <c r="C129" s="236">
        <f>'Input data'!C149</f>
        <v>0</v>
      </c>
      <c r="D129" s="1552">
        <f>'Input data'!D149</f>
        <v>2795933.2293412867</v>
      </c>
      <c r="E129" s="1457">
        <f t="shared" si="93"/>
        <v>1</v>
      </c>
      <c r="F129" s="1451">
        <f t="shared" si="93"/>
        <v>0.37</v>
      </c>
      <c r="G129" s="1556">
        <f>B129*F129*'Input data'!$C$9</f>
        <v>850.86833748221932</v>
      </c>
      <c r="H129" s="1544">
        <f>'Input data'!I149</f>
        <v>424.26313389388866</v>
      </c>
      <c r="I129" s="1511">
        <f>'Input data'!K149</f>
        <v>31876.739085317382</v>
      </c>
      <c r="J129" s="1511">
        <f t="shared" si="91"/>
        <v>2228.8062963921584</v>
      </c>
      <c r="K129" s="1513">
        <f t="shared" si="77"/>
        <v>12584.902422152543</v>
      </c>
      <c r="L129" s="1506">
        <f t="shared" si="94"/>
        <v>0.7</v>
      </c>
      <c r="M129" s="1506">
        <f t="shared" si="94"/>
        <v>0.6</v>
      </c>
      <c r="N129" s="1506">
        <f t="shared" si="94"/>
        <v>0.9</v>
      </c>
      <c r="O129" s="1506">
        <f t="shared" si="94"/>
        <v>0.9</v>
      </c>
      <c r="P129" s="1506">
        <f t="shared" si="94"/>
        <v>0.23600000000000002</v>
      </c>
      <c r="Q129" s="1510">
        <f t="shared" si="33"/>
        <v>341.31613682521129</v>
      </c>
      <c r="R129" s="1511">
        <f t="shared" si="34"/>
        <v>238.18100856361684</v>
      </c>
      <c r="S129" s="1511">
        <f t="shared" si="35"/>
        <v>697.49263069935796</v>
      </c>
      <c r="T129" s="1511">
        <f t="shared" si="36"/>
        <v>469.64787415324872</v>
      </c>
      <c r="U129" s="1513">
        <f t="shared" si="37"/>
        <v>0</v>
      </c>
      <c r="V129" s="1511">
        <f t="shared" si="38"/>
        <v>1746.6376502414348</v>
      </c>
      <c r="W129" s="1456">
        <f t="shared" si="87"/>
        <v>0.5</v>
      </c>
      <c r="X129" s="530">
        <f t="shared" si="39"/>
        <v>3033.4854703020706</v>
      </c>
      <c r="Y129" s="1510">
        <f t="shared" si="78"/>
        <v>4780.1231205435051</v>
      </c>
      <c r="Z129" s="1511">
        <f t="shared" si="79"/>
        <v>10033.585598001197</v>
      </c>
      <c r="AA129" s="1513">
        <f t="shared" si="80"/>
        <v>7804.7793016090382</v>
      </c>
      <c r="AB129" s="1091">
        <f t="shared" si="40"/>
        <v>0.77786542262258052</v>
      </c>
      <c r="AC129" s="135" t="str">
        <f t="shared" si="41"/>
        <v>Yes</v>
      </c>
      <c r="AD129" s="1091">
        <f t="shared" si="42"/>
        <v>0.77786542262258052</v>
      </c>
      <c r="AE129" s="649">
        <f t="shared" si="10"/>
        <v>0.37223532617222466</v>
      </c>
      <c r="AF129" s="530">
        <f t="shared" si="43"/>
        <v>266.33740786604682</v>
      </c>
      <c r="AG129" s="528">
        <f t="shared" si="44"/>
        <v>2228.8062963921584</v>
      </c>
      <c r="AH129" s="528">
        <f t="shared" si="81"/>
        <v>10484.516048756612</v>
      </c>
      <c r="AI129" s="528">
        <f t="shared" si="82"/>
        <v>6437.6604656145792</v>
      </c>
      <c r="AJ129" s="528">
        <f t="shared" si="11"/>
        <v>860.10790382401149</v>
      </c>
      <c r="AK129" s="528">
        <f t="shared" si="45"/>
        <v>20011.090714587364</v>
      </c>
      <c r="AL129" s="716">
        <f t="shared" si="12"/>
        <v>0</v>
      </c>
      <c r="AM129" s="417">
        <f t="shared" si="46"/>
        <v>0.11137855143335285</v>
      </c>
      <c r="AN129" s="417">
        <f t="shared" si="47"/>
        <v>0.52393526161538895</v>
      </c>
      <c r="AO129" s="417">
        <f t="shared" si="48"/>
        <v>0.3217046265709923</v>
      </c>
      <c r="AP129" s="417">
        <f t="shared" si="49"/>
        <v>4.2981560380265717E-2</v>
      </c>
      <c r="AQ129" s="417">
        <f t="shared" si="50"/>
        <v>0.99999999999999978</v>
      </c>
      <c r="AR129" s="1086">
        <f t="shared" si="13"/>
        <v>492.72254614683573</v>
      </c>
      <c r="AS129" s="938">
        <f t="shared" si="14"/>
        <v>624.90548800354009</v>
      </c>
      <c r="AT129" s="938">
        <f t="shared" si="15"/>
        <v>118.32367330140767</v>
      </c>
      <c r="AU129" s="938">
        <f t="shared" si="16"/>
        <v>0</v>
      </c>
      <c r="AV129" s="938">
        <f t="shared" si="17"/>
        <v>0</v>
      </c>
      <c r="AW129" s="938">
        <f t="shared" si="18"/>
        <v>0</v>
      </c>
      <c r="AX129" s="938">
        <f t="shared" si="19"/>
        <v>826.33304457350323</v>
      </c>
      <c r="AY129" s="938">
        <f t="shared" si="20"/>
        <v>66.560680197147207</v>
      </c>
      <c r="AZ129" s="938">
        <f t="shared" si="21"/>
        <v>18.710224690711922</v>
      </c>
      <c r="BA129" s="938">
        <f t="shared" si="22"/>
        <v>48.324865895607729</v>
      </c>
      <c r="BB129" s="938">
        <f t="shared" si="23"/>
        <v>32.925773583404499</v>
      </c>
      <c r="BC129" s="530">
        <f t="shared" si="51"/>
        <v>2228.8062963921579</v>
      </c>
      <c r="BD129" s="724">
        <f t="shared" si="52"/>
        <v>0</v>
      </c>
      <c r="BE129" s="436">
        <f t="shared" si="53"/>
        <v>0.22107015174195349</v>
      </c>
      <c r="BF129" s="624">
        <f t="shared" si="54"/>
        <v>0.28037675997914002</v>
      </c>
      <c r="BG129" s="624">
        <f t="shared" si="55"/>
        <v>5.3088361017708037E-2</v>
      </c>
      <c r="BH129" s="624">
        <f t="shared" si="56"/>
        <v>0</v>
      </c>
      <c r="BI129" s="624">
        <f t="shared" si="57"/>
        <v>0</v>
      </c>
      <c r="BJ129" s="624">
        <f t="shared" si="58"/>
        <v>0</v>
      </c>
      <c r="BK129" s="624">
        <f t="shared" si="59"/>
        <v>0.44546472726119851</v>
      </c>
      <c r="BL129" s="624">
        <f t="shared" si="60"/>
        <v>1.0000000000000002</v>
      </c>
      <c r="BM129" s="649">
        <f t="shared" si="92"/>
        <v>0.29028184578274857</v>
      </c>
      <c r="BN129" s="417">
        <f t="shared" si="92"/>
        <v>0.30317187715157518</v>
      </c>
      <c r="BO129" s="417">
        <f t="shared" si="92"/>
        <v>8.2805443243048754E-2</v>
      </c>
      <c r="BP129" s="417">
        <f t="shared" si="92"/>
        <v>0</v>
      </c>
      <c r="BQ129" s="417">
        <f t="shared" si="92"/>
        <v>0</v>
      </c>
      <c r="BR129" s="417">
        <f t="shared" si="92"/>
        <v>0</v>
      </c>
      <c r="BS129" s="417">
        <f t="shared" si="92"/>
        <v>0.32374083382262742</v>
      </c>
      <c r="BT129" s="525">
        <f t="shared" si="84"/>
        <v>0.99999999999999989</v>
      </c>
      <c r="BV129" s="527">
        <f t="shared" si="62"/>
        <v>23.558940943928651</v>
      </c>
      <c r="BW129" s="114">
        <f t="shared" si="63"/>
        <v>0.83418752806867424</v>
      </c>
      <c r="BX129" s="1695">
        <f t="shared" si="24"/>
        <v>2.7959332293412866</v>
      </c>
      <c r="BY129" s="527">
        <f t="shared" si="64"/>
        <v>23.558940943928651</v>
      </c>
      <c r="BZ129" s="417">
        <f t="shared" si="65"/>
        <v>0.83418752806867424</v>
      </c>
      <c r="CA129" s="544">
        <f t="shared" si="25"/>
        <v>2.7959332293412866</v>
      </c>
      <c r="CB129" s="649">
        <f t="shared" si="26"/>
        <v>0.37223532617222466</v>
      </c>
      <c r="CC129" s="525">
        <f t="shared" si="66"/>
        <v>-0.2689323879802199</v>
      </c>
      <c r="CD129" s="417">
        <f t="shared" si="27"/>
        <v>0.37223532617222466</v>
      </c>
      <c r="CE129" s="525">
        <f t="shared" si="67"/>
        <v>-0.2689323879802199</v>
      </c>
      <c r="CG129" s="527">
        <f t="shared" si="68"/>
        <v>1991.0107981470655</v>
      </c>
      <c r="CH129" s="528">
        <f t="shared" si="69"/>
        <v>876.73990882312989</v>
      </c>
      <c r="CI129" s="528">
        <f t="shared" si="70"/>
        <v>3339.0604661139491</v>
      </c>
      <c r="CJ129" s="528">
        <f t="shared" si="71"/>
        <v>4226.830867379248</v>
      </c>
      <c r="CK129" s="528">
        <f t="shared" si="72"/>
        <v>50.874008293218921</v>
      </c>
      <c r="CL129" s="528">
        <f t="shared" si="73"/>
        <v>10484.516048756612</v>
      </c>
      <c r="CM129" s="646">
        <f t="shared" si="74"/>
        <v>0</v>
      </c>
    </row>
    <row r="130" spans="1:91" ht="15.75" thickBot="1">
      <c r="A130" s="172">
        <f>'Input data'!A150</f>
        <v>2050</v>
      </c>
      <c r="B130" s="664">
        <f>'Input data'!B150</f>
        <v>75.517908999999989</v>
      </c>
      <c r="C130" s="239">
        <f>'Input data'!C150</f>
        <v>0</v>
      </c>
      <c r="D130" s="239">
        <f>'Input data'!D150</f>
        <v>1596.1829886855978</v>
      </c>
      <c r="E130" s="1006">
        <f t="shared" si="93"/>
        <v>1</v>
      </c>
      <c r="F130" s="797">
        <f t="shared" si="93"/>
        <v>0.37</v>
      </c>
      <c r="G130" s="1007">
        <f>B130*F130*'Input data'!$C$9</f>
        <v>855.21188418968472</v>
      </c>
      <c r="H130" s="654">
        <f>'Input data'!I150</f>
        <v>424.26313389388866</v>
      </c>
      <c r="I130" s="667">
        <f>'Input data'!K150</f>
        <v>32039.464737453494</v>
      </c>
      <c r="J130" s="667">
        <f t="shared" si="91"/>
        <v>2228.8062963921584</v>
      </c>
      <c r="K130" s="659">
        <f t="shared" si="77"/>
        <v>12660.52403468097</v>
      </c>
      <c r="L130" s="651">
        <f t="shared" si="94"/>
        <v>0.7</v>
      </c>
      <c r="M130" s="651">
        <f t="shared" si="94"/>
        <v>0.6</v>
      </c>
      <c r="N130" s="651">
        <f t="shared" si="94"/>
        <v>0.9</v>
      </c>
      <c r="O130" s="651">
        <f t="shared" si="94"/>
        <v>0.9</v>
      </c>
      <c r="P130" s="651">
        <f t="shared" si="94"/>
        <v>0.23600000000000002</v>
      </c>
      <c r="Q130" s="670">
        <f t="shared" si="33"/>
        <v>343.0585010865243</v>
      </c>
      <c r="R130" s="667">
        <f t="shared" si="34"/>
        <v>239.39688449876871</v>
      </c>
      <c r="S130" s="667">
        <f t="shared" si="35"/>
        <v>701.05321896677469</v>
      </c>
      <c r="T130" s="667">
        <f t="shared" si="36"/>
        <v>472.04535139806285</v>
      </c>
      <c r="U130" s="659">
        <f t="shared" si="37"/>
        <v>0</v>
      </c>
      <c r="V130" s="667">
        <f t="shared" si="38"/>
        <v>1755.5539559501306</v>
      </c>
      <c r="W130" s="650">
        <f t="shared" si="87"/>
        <v>0.5</v>
      </c>
      <c r="X130" s="659">
        <f t="shared" si="39"/>
        <v>3033.4854703020706</v>
      </c>
      <c r="Y130" s="670">
        <f t="shared" si="78"/>
        <v>4789.0394262522013</v>
      </c>
      <c r="Z130" s="667">
        <f t="shared" si="79"/>
        <v>10100.290904820926</v>
      </c>
      <c r="AA130" s="659">
        <f t="shared" si="80"/>
        <v>7871.4846084287674</v>
      </c>
      <c r="AB130" s="1094">
        <f t="shared" si="40"/>
        <v>0.77933246503540443</v>
      </c>
      <c r="AC130" s="1105" t="str">
        <f t="shared" si="41"/>
        <v>Yes</v>
      </c>
      <c r="AD130" s="1094">
        <f t="shared" si="42"/>
        <v>0.77933246503540443</v>
      </c>
      <c r="AE130" s="650">
        <f t="shared" si="10"/>
        <v>0.37379435129462157</v>
      </c>
      <c r="AF130" s="659">
        <f t="shared" si="43"/>
        <v>265.67597098179937</v>
      </c>
      <c r="AG130" s="667">
        <f t="shared" si="44"/>
        <v>2228.8062963921584</v>
      </c>
      <c r="AH130" s="667">
        <f t="shared" si="81"/>
        <v>10538.037825460278</v>
      </c>
      <c r="AI130" s="667">
        <f t="shared" si="82"/>
        <v>6437.6604656145792</v>
      </c>
      <c r="AJ130" s="667">
        <f t="shared" si="11"/>
        <v>858.78921262314645</v>
      </c>
      <c r="AK130" s="667">
        <f t="shared" si="45"/>
        <v>20063.293800090163</v>
      </c>
      <c r="AL130" s="717">
        <f t="shared" si="12"/>
        <v>0</v>
      </c>
      <c r="AM130" s="651">
        <f t="shared" si="46"/>
        <v>0.11108875335226075</v>
      </c>
      <c r="AN130" s="651">
        <f t="shared" si="47"/>
        <v>0.52523967053769216</v>
      </c>
      <c r="AO130" s="651">
        <f t="shared" si="48"/>
        <v>0.32086757686744583</v>
      </c>
      <c r="AP130" s="651">
        <f t="shared" si="49"/>
        <v>4.2803999242601289E-2</v>
      </c>
      <c r="AQ130" s="651">
        <f t="shared" si="50"/>
        <v>1</v>
      </c>
      <c r="AR130" s="1476">
        <f t="shared" si="13"/>
        <v>493.47361379422671</v>
      </c>
      <c r="AS130" s="1477">
        <f t="shared" si="14"/>
        <v>625.85804497173024</v>
      </c>
      <c r="AT130" s="1477">
        <f t="shared" si="15"/>
        <v>118.14226305492249</v>
      </c>
      <c r="AU130" s="1477">
        <f t="shared" si="16"/>
        <v>0</v>
      </c>
      <c r="AV130" s="1477">
        <f t="shared" si="17"/>
        <v>0</v>
      </c>
      <c r="AW130" s="1477">
        <f t="shared" si="18"/>
        <v>0</v>
      </c>
      <c r="AX130" s="1477">
        <f t="shared" si="19"/>
        <v>825.06613595655131</v>
      </c>
      <c r="AY130" s="1477">
        <f t="shared" si="20"/>
        <v>66.458631392678186</v>
      </c>
      <c r="AZ130" s="1477">
        <f t="shared" si="21"/>
        <v>18.681538744964712</v>
      </c>
      <c r="BA130" s="1477">
        <f t="shared" si="22"/>
        <v>48.250775685348998</v>
      </c>
      <c r="BB130" s="1477">
        <f t="shared" si="23"/>
        <v>32.875292791735141</v>
      </c>
      <c r="BC130" s="659">
        <f t="shared" si="51"/>
        <v>2228.8062963921579</v>
      </c>
      <c r="BD130" s="725">
        <f t="shared" si="52"/>
        <v>0</v>
      </c>
      <c r="BE130" s="683">
        <f t="shared" si="53"/>
        <v>0.22140713376170404</v>
      </c>
      <c r="BF130" s="683">
        <f>AS130/BC130</f>
        <v>0.28080414434615841</v>
      </c>
      <c r="BG130" s="683">
        <f t="shared" si="55"/>
        <v>5.3006967562036801E-2</v>
      </c>
      <c r="BH130" s="683">
        <f t="shared" si="56"/>
        <v>0</v>
      </c>
      <c r="BI130" s="683">
        <f t="shared" si="57"/>
        <v>0</v>
      </c>
      <c r="BJ130" s="683">
        <f t="shared" si="58"/>
        <v>0</v>
      </c>
      <c r="BK130" s="683">
        <f t="shared" si="59"/>
        <v>0.44478175433010064</v>
      </c>
      <c r="BL130" s="683">
        <f t="shared" si="60"/>
        <v>1</v>
      </c>
      <c r="BM130" s="650">
        <f t="shared" si="92"/>
        <v>0.29028184578274857</v>
      </c>
      <c r="BN130" s="651">
        <f t="shared" si="92"/>
        <v>0.30317187715157518</v>
      </c>
      <c r="BO130" s="651">
        <f t="shared" si="92"/>
        <v>8.2805443243048754E-2</v>
      </c>
      <c r="BP130" s="651">
        <f t="shared" si="92"/>
        <v>0</v>
      </c>
      <c r="BQ130" s="651">
        <f t="shared" si="92"/>
        <v>0</v>
      </c>
      <c r="BR130" s="651">
        <f t="shared" si="92"/>
        <v>0</v>
      </c>
      <c r="BS130" s="651">
        <f t="shared" si="92"/>
        <v>0.32374083382262742</v>
      </c>
      <c r="BT130" s="652">
        <f t="shared" si="84"/>
        <v>0.99999999999999989</v>
      </c>
      <c r="BV130" s="670">
        <f t="shared" si="62"/>
        <v>20.816806983078848</v>
      </c>
      <c r="BW130" s="651">
        <f t="shared" si="63"/>
        <v>0.89288635822017004</v>
      </c>
      <c r="BX130" s="1696">
        <f t="shared" si="24"/>
        <v>1.5961829886855978E-3</v>
      </c>
      <c r="BY130" s="670">
        <f t="shared" si="64"/>
        <v>20.816806983078848</v>
      </c>
      <c r="BZ130" s="651">
        <f t="shared" si="65"/>
        <v>0.89288635822017004</v>
      </c>
      <c r="CA130" s="675">
        <f t="shared" si="25"/>
        <v>1.5961829886855978E-3</v>
      </c>
      <c r="CB130" s="650">
        <f t="shared" si="26"/>
        <v>0.37379435129462157</v>
      </c>
      <c r="CC130" s="652">
        <f t="shared" si="66"/>
        <v>-471.07192930252825</v>
      </c>
      <c r="CD130" s="651">
        <f t="shared" si="27"/>
        <v>0.37379435129462157</v>
      </c>
      <c r="CE130" s="652">
        <f t="shared" si="67"/>
        <v>-471.07192930252825</v>
      </c>
      <c r="CG130" s="670">
        <f t="shared" si="68"/>
        <v>2001.1745896713924</v>
      </c>
      <c r="CH130" s="667">
        <f t="shared" si="69"/>
        <v>881.21552576233921</v>
      </c>
      <c r="CI130" s="667">
        <f t="shared" si="70"/>
        <v>3356.1058354792422</v>
      </c>
      <c r="CJ130" s="667">
        <f t="shared" si="71"/>
        <v>4248.4081625825747</v>
      </c>
      <c r="CK130" s="667">
        <f t="shared" si="72"/>
        <v>51.13371196473107</v>
      </c>
      <c r="CL130" s="667">
        <f t="shared" si="73"/>
        <v>10538.037825460278</v>
      </c>
      <c r="CM130" s="653">
        <f t="shared" si="74"/>
        <v>0</v>
      </c>
    </row>
    <row r="131" spans="1:91">
      <c r="AM131" s="528"/>
      <c r="AN131" s="623"/>
      <c r="AO131" s="623"/>
      <c r="AP131" s="623"/>
      <c r="AS131" s="114"/>
    </row>
    <row r="132" spans="1:91" ht="23.25">
      <c r="A132" s="686" t="s">
        <v>663</v>
      </c>
      <c r="AM132" s="528"/>
      <c r="AO132" s="623"/>
      <c r="AS132" s="114"/>
    </row>
    <row r="133" spans="1:91" ht="15.75" thickBot="1">
      <c r="AM133" s="528"/>
    </row>
    <row r="134" spans="1:91" ht="21.6" customHeight="1" thickBot="1">
      <c r="A134" s="1874" t="s">
        <v>602</v>
      </c>
      <c r="B134" s="1875"/>
      <c r="C134" s="1875"/>
      <c r="D134" s="1876"/>
      <c r="E134" s="1806" t="s">
        <v>603</v>
      </c>
      <c r="F134" s="1807"/>
      <c r="G134" s="1807"/>
      <c r="H134" s="1807"/>
      <c r="I134" s="1808"/>
      <c r="J134" s="1823" t="s">
        <v>604</v>
      </c>
      <c r="K134" s="1824"/>
      <c r="L134" s="1825"/>
      <c r="M134" s="1826" t="s">
        <v>764</v>
      </c>
      <c r="N134" s="1809" t="s">
        <v>607</v>
      </c>
      <c r="O134" s="1898"/>
      <c r="P134" s="1896" t="s">
        <v>594</v>
      </c>
      <c r="Q134" s="1815" t="s">
        <v>772</v>
      </c>
      <c r="R134" s="1815" t="s">
        <v>775</v>
      </c>
      <c r="S134" s="1815" t="s">
        <v>774</v>
      </c>
      <c r="T134" s="1839" t="s">
        <v>776</v>
      </c>
      <c r="U134" s="1837" t="s">
        <v>777</v>
      </c>
      <c r="V134" s="1813" t="s">
        <v>767</v>
      </c>
      <c r="W134" s="1835" t="s">
        <v>768</v>
      </c>
      <c r="X134" s="1845" t="s">
        <v>592</v>
      </c>
      <c r="Y134" s="1846"/>
      <c r="Z134" s="1846"/>
      <c r="AA134" s="1846"/>
      <c r="AB134" s="1846"/>
      <c r="AC134" s="1846"/>
      <c r="AD134" s="1846"/>
      <c r="AE134" s="1847"/>
      <c r="AF134" s="1847"/>
      <c r="AG134" s="1847"/>
      <c r="AH134" s="1847"/>
      <c r="AI134" s="1847"/>
      <c r="AJ134" s="1848"/>
      <c r="AK134" s="1911" t="s">
        <v>735</v>
      </c>
      <c r="AL134" s="1912"/>
      <c r="AM134" s="1912"/>
      <c r="AN134" s="1912"/>
      <c r="AO134" s="1913"/>
    </row>
    <row r="135" spans="1:91" ht="43.15" customHeight="1">
      <c r="A135" s="1869" t="s">
        <v>217</v>
      </c>
      <c r="B135" s="703" t="s">
        <v>218</v>
      </c>
      <c r="C135" s="703" t="s">
        <v>390</v>
      </c>
      <c r="D135" s="513" t="s">
        <v>629</v>
      </c>
      <c r="E135" s="704" t="s">
        <v>786</v>
      </c>
      <c r="F135" s="704" t="s">
        <v>787</v>
      </c>
      <c r="G135" s="704" t="s">
        <v>771</v>
      </c>
      <c r="H135" s="705" t="s">
        <v>597</v>
      </c>
      <c r="I135" s="705" t="s">
        <v>626</v>
      </c>
      <c r="J135" s="1463" t="s">
        <v>326</v>
      </c>
      <c r="K135" s="1463" t="s">
        <v>765</v>
      </c>
      <c r="L135" s="706" t="s">
        <v>766</v>
      </c>
      <c r="M135" s="1827"/>
      <c r="N135" s="508" t="s">
        <v>605</v>
      </c>
      <c r="O135" s="559" t="s">
        <v>606</v>
      </c>
      <c r="P135" s="1897"/>
      <c r="Q135" s="1816"/>
      <c r="R135" s="1816"/>
      <c r="S135" s="1816"/>
      <c r="T135" s="1840"/>
      <c r="U135" s="1838"/>
      <c r="V135" s="1814"/>
      <c r="W135" s="1836"/>
      <c r="X135" s="1466" t="s">
        <v>473</v>
      </c>
      <c r="Y135" s="1467" t="s">
        <v>489</v>
      </c>
      <c r="Z135" s="1638" t="s">
        <v>814</v>
      </c>
      <c r="AA135" s="1467" t="s">
        <v>377</v>
      </c>
      <c r="AB135" s="1467" t="s">
        <v>477</v>
      </c>
      <c r="AC135" s="1467" t="s">
        <v>225</v>
      </c>
      <c r="AD135" s="713" t="s">
        <v>617</v>
      </c>
      <c r="AE135" s="1092" t="s">
        <v>473</v>
      </c>
      <c r="AF135" s="1467" t="s">
        <v>489</v>
      </c>
      <c r="AG135" s="1638" t="s">
        <v>814</v>
      </c>
      <c r="AH135" s="1467" t="s">
        <v>377</v>
      </c>
      <c r="AI135" s="1467" t="s">
        <v>477</v>
      </c>
      <c r="AJ135" s="1468" t="s">
        <v>225</v>
      </c>
      <c r="AK135" s="189" t="s">
        <v>731</v>
      </c>
      <c r="AL135" s="712" t="s">
        <v>493</v>
      </c>
      <c r="AM135" s="712" t="s">
        <v>732</v>
      </c>
      <c r="AN135" s="712" t="s">
        <v>225</v>
      </c>
      <c r="AO135" s="1185" t="s">
        <v>617</v>
      </c>
    </row>
    <row r="136" spans="1:91" ht="45" customHeight="1" thickBot="1">
      <c r="A136" s="1870"/>
      <c r="B136" s="458" t="s">
        <v>232</v>
      </c>
      <c r="C136" s="459" t="s">
        <v>482</v>
      </c>
      <c r="D136" s="477" t="s">
        <v>480</v>
      </c>
      <c r="E136" s="1129" t="s">
        <v>228</v>
      </c>
      <c r="F136" s="1129" t="s">
        <v>228</v>
      </c>
      <c r="G136" s="1129" t="s">
        <v>228</v>
      </c>
      <c r="H136" s="1481" t="str">
        <f>G136</f>
        <v>Gg</v>
      </c>
      <c r="I136" s="1129" t="s">
        <v>228</v>
      </c>
      <c r="J136" s="707" t="s">
        <v>229</v>
      </c>
      <c r="K136" s="1114" t="s">
        <v>228</v>
      </c>
      <c r="L136" s="1114" t="s">
        <v>228</v>
      </c>
      <c r="M136" s="1114" t="s">
        <v>228</v>
      </c>
      <c r="N136" s="688" t="s">
        <v>229</v>
      </c>
      <c r="O136" s="690" t="s">
        <v>228</v>
      </c>
      <c r="P136" s="1115" t="s">
        <v>228</v>
      </c>
      <c r="Q136" s="1116" t="s">
        <v>228</v>
      </c>
      <c r="R136" s="1116" t="s">
        <v>228</v>
      </c>
      <c r="S136" s="1117" t="s">
        <v>28</v>
      </c>
      <c r="T136" s="1840"/>
      <c r="U136" s="1117" t="s">
        <v>28</v>
      </c>
      <c r="V136" s="1116" t="s">
        <v>228</v>
      </c>
      <c r="W136" s="1498" t="s">
        <v>28</v>
      </c>
      <c r="X136" s="191" t="s">
        <v>228</v>
      </c>
      <c r="Y136" s="1095" t="s">
        <v>228</v>
      </c>
      <c r="Z136" s="1095" t="s">
        <v>228</v>
      </c>
      <c r="AA136" s="1095" t="s">
        <v>228</v>
      </c>
      <c r="AB136" s="1095" t="s">
        <v>228</v>
      </c>
      <c r="AC136" s="1095" t="s">
        <v>228</v>
      </c>
      <c r="AD136" s="1096" t="s">
        <v>769</v>
      </c>
      <c r="AE136" s="1093" t="s">
        <v>229</v>
      </c>
      <c r="AF136" s="711" t="s">
        <v>229</v>
      </c>
      <c r="AG136" s="711" t="s">
        <v>229</v>
      </c>
      <c r="AH136" s="711" t="s">
        <v>229</v>
      </c>
      <c r="AI136" s="711" t="s">
        <v>229</v>
      </c>
      <c r="AJ136" s="714" t="s">
        <v>229</v>
      </c>
      <c r="AK136" s="191" t="s">
        <v>228</v>
      </c>
      <c r="AL136" s="191" t="s">
        <v>228</v>
      </c>
      <c r="AM136" s="191" t="s">
        <v>228</v>
      </c>
      <c r="AN136" s="191" t="s">
        <v>228</v>
      </c>
      <c r="AO136" s="1096" t="s">
        <v>590</v>
      </c>
    </row>
    <row r="137" spans="1:91">
      <c r="A137" s="127">
        <f>'Input data'!A117</f>
        <v>2017</v>
      </c>
      <c r="B137" s="236">
        <f>'Input data'!B117</f>
        <v>56.521948041648095</v>
      </c>
      <c r="C137" s="236">
        <f>'Input data'!C117</f>
        <v>3107.1496601967842</v>
      </c>
      <c r="D137" s="1505">
        <f>'Input data'!D117</f>
        <v>49995051</v>
      </c>
      <c r="E137" s="956">
        <f>'Input data'!J117*C137</f>
        <v>37506.923384615395</v>
      </c>
      <c r="F137" s="957">
        <f>'Input data'!L117</f>
        <v>87501.974384615402</v>
      </c>
      <c r="G137" s="957">
        <f>F137*B11</f>
        <v>68439.708347615408</v>
      </c>
      <c r="H137" s="677">
        <f t="shared" ref="H137:H170" si="95">E137*$B$12+I137*$E$80-G137</f>
        <v>0</v>
      </c>
      <c r="I137" s="1469">
        <f>D137/1000</f>
        <v>49995.050999999999</v>
      </c>
      <c r="J137" s="649">
        <f>H17</f>
        <v>6.154773859516615E-2</v>
      </c>
      <c r="K137" s="957">
        <f>(I137)*J137-(I137)*$J$137</f>
        <v>0</v>
      </c>
      <c r="L137" s="957">
        <f>(E137)*$C$12*$G$12-(E137)*$C$12*$G$12</f>
        <v>0</v>
      </c>
      <c r="M137" s="1469">
        <f>L137+K137</f>
        <v>0</v>
      </c>
      <c r="N137" s="708">
        <v>0</v>
      </c>
      <c r="O137" s="1469">
        <f>N137*$E$137*($C$85)*$B$12</f>
        <v>0</v>
      </c>
      <c r="P137" s="1700">
        <f>O137+M137</f>
        <v>0</v>
      </c>
      <c r="Q137" s="1486">
        <f>E137*$B$12+(1-$J$137)*I137-P137</f>
        <v>68439.708347615408</v>
      </c>
      <c r="R137" s="1486">
        <f>Q137-G137</f>
        <v>0</v>
      </c>
      <c r="S137" s="1507">
        <f>R137/(Q137-I137*(1-J137))</f>
        <v>0</v>
      </c>
      <c r="T137" s="1491" t="str">
        <f>IF(AND(S137&gt;=0,S137&lt;=1),"Yes","No")</f>
        <v>Yes</v>
      </c>
      <c r="U137" s="1507">
        <f>IF(S137&lt;=0,0,IF(S137&gt;=1,1,S137))</f>
        <v>0</v>
      </c>
      <c r="V137" s="1535">
        <f t="shared" ref="V137:V170" si="96">AC137</f>
        <v>87501.974384615402</v>
      </c>
      <c r="W137" s="1536">
        <f t="shared" ref="W137:W170" si="97">(1-V137/F137)</f>
        <v>0</v>
      </c>
      <c r="X137" s="956">
        <f>(E137*$B$12-O137-L137)*(1-U137)+I137*(1-J137)</f>
        <v>68439.708347615408</v>
      </c>
      <c r="Y137" s="1503">
        <f>I137*J137+E137*$G$12*$C$12</f>
        <v>6080.5670370000007</v>
      </c>
      <c r="Z137" s="1503">
        <f>($C$12*$H$12*E137+O137)</f>
        <v>1694.9190000000001</v>
      </c>
      <c r="AA137" s="1503">
        <f>$F$137*$D$11</f>
        <v>0</v>
      </c>
      <c r="AB137" s="1503">
        <f>E137*$E$12</f>
        <v>11286.78</v>
      </c>
      <c r="AC137" s="1503">
        <f>SUM(X137:AB137)</f>
        <v>87501.974384615402</v>
      </c>
      <c r="AD137" s="1555">
        <f>X137-G137</f>
        <v>0</v>
      </c>
      <c r="AE137" s="1538">
        <f>X137/AC137</f>
        <v>0.7821504466492184</v>
      </c>
      <c r="AF137" s="1538">
        <f>Y137/AC137</f>
        <v>6.9490626694579893E-2</v>
      </c>
      <c r="AG137" s="1538">
        <f>Z137/AC137</f>
        <v>1.9370065783315637E-2</v>
      </c>
      <c r="AH137" s="1538">
        <f>AA137/AC137</f>
        <v>0</v>
      </c>
      <c r="AI137" s="1538">
        <f>AB137/AC137</f>
        <v>0.12898886087288611</v>
      </c>
      <c r="AJ137" s="1539">
        <f>SUM(AE137:AI137)</f>
        <v>1</v>
      </c>
      <c r="AK137" s="1639">
        <f>I137*(1-$J$137)-K137</f>
        <v>46917.968670000002</v>
      </c>
      <c r="AL137" s="1640">
        <f>(E137*$C$86*$B$12-L137)*(1-U137)</f>
        <v>20017.905677615392</v>
      </c>
      <c r="AM137" s="1640">
        <f>(E137*($C$85)*$B$12-O137)*(1-U137)</f>
        <v>1503.8340000000005</v>
      </c>
      <c r="AN137" s="1640">
        <f>SUM(AK137:AM137)</f>
        <v>68439.708347615393</v>
      </c>
      <c r="AO137" s="1540">
        <f>AN137-X137</f>
        <v>0</v>
      </c>
      <c r="AV137" s="561"/>
      <c r="AW137" s="561"/>
    </row>
    <row r="138" spans="1:91">
      <c r="A138" s="127">
        <f>'Input data'!A118</f>
        <v>2018</v>
      </c>
      <c r="B138" s="662">
        <f>'Input data'!B118</f>
        <v>57.436000617299655</v>
      </c>
      <c r="C138" s="236">
        <f>'Input data'!C118</f>
        <v>3150.6223338999603</v>
      </c>
      <c r="D138" s="1513">
        <f>'Input data'!D118</f>
        <v>50343843.445756853</v>
      </c>
      <c r="E138" s="527">
        <f>'Input data'!J118*C138</f>
        <v>38031.689302008039</v>
      </c>
      <c r="F138" s="528">
        <f>'Input data'!L118</f>
        <v>88375.532747764897</v>
      </c>
      <c r="G138" s="528">
        <f>G137*0.94</f>
        <v>64333.325846758482</v>
      </c>
      <c r="H138" s="528">
        <f>E138*$B$12+I138*$E$80-G138</f>
        <v>4734.8219799348735</v>
      </c>
      <c r="I138" s="530">
        <f t="shared" ref="I138:I170" si="98">D138/1000</f>
        <v>50343.843445756851</v>
      </c>
      <c r="J138" s="649">
        <f>($J$150-$J$137)/($A$150-$A$137)+J137</f>
        <v>8.7582527933999524E-2</v>
      </c>
      <c r="K138" s="775">
        <f>(I138)*J138-(I138)*$J$137</f>
        <v>1310.6913586174865</v>
      </c>
      <c r="L138" s="775">
        <f t="shared" ref="L138:L170" si="99">(E138)*$C$12*$G$12-(E138)*$C$12*$G$12</f>
        <v>0</v>
      </c>
      <c r="M138" s="530">
        <f>L138+K138</f>
        <v>1310.6913586174865</v>
      </c>
      <c r="N138" s="649">
        <v>0.05</v>
      </c>
      <c r="O138" s="530">
        <f t="shared" ref="O138:O170" si="100">N138*$E$137*($C$85)*$B$12</f>
        <v>75.191700000000026</v>
      </c>
      <c r="P138" s="1212">
        <f>O138+M138</f>
        <v>1385.8830586174865</v>
      </c>
      <c r="Q138" s="1366">
        <f t="shared" ref="Q138:Q170" si="101">E138*$B$12+(1-$J$137)*I138-P138</f>
        <v>67682.264768075867</v>
      </c>
      <c r="R138" s="1366">
        <f>Q138-G138</f>
        <v>3348.9389213173854</v>
      </c>
      <c r="S138" s="1516">
        <f t="shared" ref="S138:S170" si="102">R138/(Q138-I138*(1-J138))</f>
        <v>0.15399075358769243</v>
      </c>
      <c r="T138" s="135" t="str">
        <f t="shared" ref="T138:T170" si="103">IF(AND(S138&gt;=0,S138&lt;=1),"Yes","No")</f>
        <v>Yes</v>
      </c>
      <c r="U138" s="1516">
        <f t="shared" ref="U138:U170" si="104">IF(S138&lt;=0,0,IF(S138&gt;=1,1,S138))</f>
        <v>0.15399075358769243</v>
      </c>
      <c r="V138" s="1541">
        <f t="shared" si="96"/>
        <v>85026.593826447512</v>
      </c>
      <c r="W138" s="1542">
        <f t="shared" si="97"/>
        <v>3.7894412822106371E-2</v>
      </c>
      <c r="X138" s="527">
        <f t="shared" ref="X138:X170" si="105">(E138*$B$12-O138-L138)*(1-U138)+I138*(1-J138)</f>
        <v>64333.325846758482</v>
      </c>
      <c r="Y138" s="1511">
        <f t="shared" ref="Y138:Y170" si="106">I138*J138+E138*$G$12*$C$12</f>
        <v>7454.7480611260207</v>
      </c>
      <c r="Z138" s="1511">
        <f t="shared" ref="Z138:Z170" si="107">($C$12*$H$12*E138+O138)</f>
        <v>1793.8246078249765</v>
      </c>
      <c r="AA138" s="1511">
        <f t="shared" ref="AA138:AA170" si="108">$F$137*$D$11</f>
        <v>0</v>
      </c>
      <c r="AB138" s="1511">
        <f t="shared" ref="AB138:AB170" si="109">E138*$E$12</f>
        <v>11444.695310738029</v>
      </c>
      <c r="AC138" s="1511">
        <f t="shared" ref="AC138:AC170" si="110">SUM(X138:AB138)</f>
        <v>85026.593826447512</v>
      </c>
      <c r="AD138" s="1537">
        <f t="shared" ref="AD138:AD170" si="111">X138-G138</f>
        <v>0</v>
      </c>
      <c r="AE138" s="1506">
        <f t="shared" ref="AE138:AE170" si="112">X138/AC138</f>
        <v>0.75662593256496657</v>
      </c>
      <c r="AF138" s="1506">
        <f t="shared" ref="AF138:AF170" si="113">Y138/AC138</f>
        <v>8.7675487463867122E-2</v>
      </c>
      <c r="AG138" s="1506">
        <f t="shared" ref="AG138:AG170" si="114">Z138/AC138</f>
        <v>2.1097218259577132E-2</v>
      </c>
      <c r="AH138" s="1506">
        <f>AA138/AC138</f>
        <v>0</v>
      </c>
      <c r="AI138" s="1506">
        <f t="shared" ref="AI138:AI169" si="115">AB138/AC138</f>
        <v>0.13460136171158907</v>
      </c>
      <c r="AJ138" s="1543">
        <f t="shared" ref="AJ138:AJ170" si="116">SUM(AE138:AI138)</f>
        <v>0.99999999999999989</v>
      </c>
      <c r="AK138" s="1557">
        <f t="shared" ref="AK138:AK170" si="117">I138*(1-$J$137)-K138</f>
        <v>45934.602370863955</v>
      </c>
      <c r="AL138" s="1558">
        <f t="shared" ref="AL138:AL170" si="118">(E138*$C$86*$B$12-L138)*(1-U138)</f>
        <v>17172.278503770438</v>
      </c>
      <c r="AM138" s="1558">
        <f t="shared" ref="AM138:AM170" si="119">(E138*($C$85)*$B$12-O138)*(1-U138)</f>
        <v>1226.4449721240894</v>
      </c>
      <c r="AN138" s="1558">
        <f t="shared" ref="AN138:AN170" si="120">SUM(AK138:AM138)</f>
        <v>64333.325846758482</v>
      </c>
      <c r="AO138" s="1545">
        <f t="shared" ref="AO138:AO170" si="121">AN138-X138</f>
        <v>0</v>
      </c>
      <c r="AV138" s="561"/>
      <c r="AW138" s="561"/>
    </row>
    <row r="139" spans="1:91">
      <c r="A139" s="127">
        <f>'Input data'!A119</f>
        <v>2019</v>
      </c>
      <c r="B139" s="662">
        <f>'Input data'!B119</f>
        <v>58.364834921819444</v>
      </c>
      <c r="C139" s="236">
        <f>'Input data'!C119</f>
        <v>3168.3184457469288</v>
      </c>
      <c r="D139" s="1513">
        <f>'Input data'!D119</f>
        <v>48412890.850439847</v>
      </c>
      <c r="E139" s="527">
        <f>'Input data'!J119*C139</f>
        <v>38245.302028730643</v>
      </c>
      <c r="F139" s="528">
        <f>'Input data'!L119</f>
        <v>86658.1928791705</v>
      </c>
      <c r="G139" s="528">
        <f>G137*0.89</f>
        <v>60911.340429377713</v>
      </c>
      <c r="H139" s="528">
        <f t="shared" si="95"/>
        <v>6467.2730710352625</v>
      </c>
      <c r="I139" s="530">
        <f t="shared" si="98"/>
        <v>48412.89085043985</v>
      </c>
      <c r="J139" s="649">
        <f t="shared" ref="J139:J149" si="122">($J$150-$J$137)/($A$150-$A$137)+J138</f>
        <v>0.11361731727283289</v>
      </c>
      <c r="K139" s="775">
        <f t="shared" ref="K139:K170" si="123">(I139)*J139-(I139)*$J$137</f>
        <v>2520.8388291502702</v>
      </c>
      <c r="L139" s="775">
        <f t="shared" si="99"/>
        <v>0</v>
      </c>
      <c r="M139" s="530">
        <f t="shared" ref="M139:M170" si="124">L139+K139</f>
        <v>2520.8388291502702</v>
      </c>
      <c r="N139" s="1456">
        <v>0.1</v>
      </c>
      <c r="O139" s="530">
        <f t="shared" si="100"/>
        <v>150.38340000000005</v>
      </c>
      <c r="P139" s="1212">
        <f>O139+M139</f>
        <v>2671.2222291502703</v>
      </c>
      <c r="Q139" s="1366">
        <f t="shared" si="101"/>
        <v>64707.391271262706</v>
      </c>
      <c r="R139" s="1366">
        <f t="shared" ref="R139:R170" si="125">Q139-G139</f>
        <v>3796.0508418849931</v>
      </c>
      <c r="S139" s="1516">
        <f t="shared" si="102"/>
        <v>0.17417037474685518</v>
      </c>
      <c r="T139" s="135" t="str">
        <f t="shared" si="103"/>
        <v>Yes</v>
      </c>
      <c r="U139" s="1516">
        <f t="shared" si="104"/>
        <v>0.17417037474685518</v>
      </c>
      <c r="V139" s="1541">
        <f t="shared" si="96"/>
        <v>82862.142037285492</v>
      </c>
      <c r="W139" s="1542">
        <f t="shared" si="97"/>
        <v>4.3804869635095334E-2</v>
      </c>
      <c r="X139" s="527">
        <f t="shared" si="105"/>
        <v>60911.340429377713</v>
      </c>
      <c r="Y139" s="1511">
        <f t="shared" si="106"/>
        <v>8563.155476176491</v>
      </c>
      <c r="Z139" s="1511">
        <f t="shared" si="107"/>
        <v>1878.6693594882986</v>
      </c>
      <c r="AA139" s="1511">
        <f t="shared" si="108"/>
        <v>0</v>
      </c>
      <c r="AB139" s="1511">
        <f t="shared" si="109"/>
        <v>11508.976772243002</v>
      </c>
      <c r="AC139" s="1511">
        <f t="shared" si="110"/>
        <v>82862.142037285492</v>
      </c>
      <c r="AD139" s="1537">
        <f t="shared" si="111"/>
        <v>0</v>
      </c>
      <c r="AE139" s="1506">
        <f t="shared" si="112"/>
        <v>0.73509251549361865</v>
      </c>
      <c r="AF139" s="1506">
        <f t="shared" si="113"/>
        <v>0.10334219301648426</v>
      </c>
      <c r="AG139" s="1506">
        <f t="shared" si="114"/>
        <v>2.2672227790623049E-2</v>
      </c>
      <c r="AH139" s="1506">
        <f t="shared" ref="AH139:AH170" si="126">AA139/AC139</f>
        <v>0</v>
      </c>
      <c r="AI139" s="1506">
        <f t="shared" si="115"/>
        <v>0.13889306369927423</v>
      </c>
      <c r="AJ139" s="1543">
        <f t="shared" si="116"/>
        <v>1.0000000000000002</v>
      </c>
      <c r="AK139" s="1557">
        <f t="shared" si="117"/>
        <v>42912.348070590393</v>
      </c>
      <c r="AL139" s="1558">
        <f t="shared" si="118"/>
        <v>16856.823929070655</v>
      </c>
      <c r="AM139" s="1558">
        <f t="shared" si="119"/>
        <v>1142.168429716658</v>
      </c>
      <c r="AN139" s="1558">
        <f t="shared" si="120"/>
        <v>60911.340429377706</v>
      </c>
      <c r="AO139" s="1545">
        <f t="shared" si="121"/>
        <v>0</v>
      </c>
      <c r="AV139" s="561"/>
      <c r="AW139" s="561"/>
    </row>
    <row r="140" spans="1:91">
      <c r="A140" s="127">
        <f>'Input data'!A120</f>
        <v>2020</v>
      </c>
      <c r="B140" s="662">
        <f>'Input data'!B120</f>
        <v>59.308690000000006</v>
      </c>
      <c r="C140" s="236">
        <f>'Input data'!C120</f>
        <v>2944.9182124750064</v>
      </c>
      <c r="D140" s="1513">
        <f>'Input data'!D120</f>
        <v>45517474.780710384</v>
      </c>
      <c r="E140" s="527">
        <f>'Input data'!J120*C140</f>
        <v>35548.600437309862</v>
      </c>
      <c r="F140" s="528">
        <f>'Input data'!L120</f>
        <v>81066.07521802024</v>
      </c>
      <c r="G140" s="528">
        <f>G137*0.81</f>
        <v>55436.163761568481</v>
      </c>
      <c r="H140" s="528">
        <f t="shared" si="95"/>
        <v>7677.8534075289572</v>
      </c>
      <c r="I140" s="530">
        <f t="shared" si="98"/>
        <v>45517.474780710385</v>
      </c>
      <c r="J140" s="649">
        <f t="shared" si="122"/>
        <v>0.13965210661166627</v>
      </c>
      <c r="K140" s="775">
        <f t="shared" si="123"/>
        <v>3555.1136014543667</v>
      </c>
      <c r="L140" s="775">
        <f t="shared" si="99"/>
        <v>0</v>
      </c>
      <c r="M140" s="530">
        <f t="shared" si="124"/>
        <v>3555.1136014543667</v>
      </c>
      <c r="N140" s="1456">
        <f>($N$142-$N$137)/($A$102-$A$97)+N139</f>
        <v>0.2</v>
      </c>
      <c r="O140" s="530">
        <f t="shared" si="100"/>
        <v>300.7668000000001</v>
      </c>
      <c r="P140" s="1212">
        <f t="shared" ref="P140:P170" si="127">O140+M140</f>
        <v>3855.8804014543666</v>
      </c>
      <c r="Q140" s="1366">
        <f t="shared" si="101"/>
        <v>59258.136767643075</v>
      </c>
      <c r="R140" s="1366">
        <f t="shared" si="125"/>
        <v>3821.9730060745933</v>
      </c>
      <c r="S140" s="1516">
        <f t="shared" si="102"/>
        <v>0.1901737097750329</v>
      </c>
      <c r="T140" s="135" t="str">
        <f t="shared" si="103"/>
        <v>Yes</v>
      </c>
      <c r="U140" s="1516">
        <f t="shared" si="104"/>
        <v>0.1901737097750329</v>
      </c>
      <c r="V140" s="1541">
        <f t="shared" si="96"/>
        <v>77244.102211945661</v>
      </c>
      <c r="W140" s="1542">
        <f t="shared" si="97"/>
        <v>4.7146392566751349E-2</v>
      </c>
      <c r="X140" s="527">
        <f t="shared" si="105"/>
        <v>55436.163761568474</v>
      </c>
      <c r="Y140" s="1511">
        <f t="shared" si="106"/>
        <v>9203.2770862680991</v>
      </c>
      <c r="Z140" s="1511">
        <f t="shared" si="107"/>
        <v>1907.190171140033</v>
      </c>
      <c r="AA140" s="1511">
        <f t="shared" si="108"/>
        <v>0</v>
      </c>
      <c r="AB140" s="1511">
        <f t="shared" si="109"/>
        <v>10697.471192969046</v>
      </c>
      <c r="AC140" s="1511">
        <f t="shared" si="110"/>
        <v>77244.102211945661</v>
      </c>
      <c r="AD140" s="1537">
        <f t="shared" si="111"/>
        <v>0</v>
      </c>
      <c r="AE140" s="1506">
        <f t="shared" si="112"/>
        <v>0.71767503503970265</v>
      </c>
      <c r="AF140" s="1506">
        <f t="shared" si="113"/>
        <v>0.1191453693256186</v>
      </c>
      <c r="AG140" s="1506">
        <f t="shared" si="114"/>
        <v>2.4690430939400439E-2</v>
      </c>
      <c r="AH140" s="1506">
        <f t="shared" si="126"/>
        <v>0</v>
      </c>
      <c r="AI140" s="1506">
        <f t="shared" si="115"/>
        <v>0.13848916469527819</v>
      </c>
      <c r="AJ140" s="1543">
        <f t="shared" si="116"/>
        <v>0.99999999999999989</v>
      </c>
      <c r="AK140" s="1557">
        <f t="shared" si="117"/>
        <v>39160.863539940787</v>
      </c>
      <c r="AL140" s="1558">
        <f t="shared" si="118"/>
        <v>15364.611233459033</v>
      </c>
      <c r="AM140" s="1558">
        <f t="shared" si="119"/>
        <v>910.6889881686584</v>
      </c>
      <c r="AN140" s="1558">
        <f t="shared" si="120"/>
        <v>55436.163761568481</v>
      </c>
      <c r="AO140" s="1545">
        <f t="shared" si="121"/>
        <v>0</v>
      </c>
      <c r="AV140" s="561"/>
      <c r="AW140" s="561"/>
    </row>
    <row r="141" spans="1:91">
      <c r="A141" s="127">
        <f>'Input data'!A121</f>
        <v>2021</v>
      </c>
      <c r="B141" s="1553">
        <f>'Input data'!B121</f>
        <v>59.991580449204264</v>
      </c>
      <c r="C141" s="1552">
        <f>'Input data'!C121</f>
        <v>3018.4380966643439</v>
      </c>
      <c r="D141" s="1513">
        <f>'Input data'!D121</f>
        <v>45871162.972715415</v>
      </c>
      <c r="E141" s="527">
        <f>'Input data'!J121*C141</f>
        <v>36436.071259478318</v>
      </c>
      <c r="F141" s="528">
        <f>'Input data'!L121</f>
        <v>82307.234232193732</v>
      </c>
      <c r="G141" s="528">
        <f>G137*0.65</f>
        <v>44485.810425950018</v>
      </c>
      <c r="H141" s="528">
        <f t="shared" si="95"/>
        <v>19469.363303088037</v>
      </c>
      <c r="I141" s="530">
        <f t="shared" si="98"/>
        <v>45871.162972715414</v>
      </c>
      <c r="J141" s="649">
        <f t="shared" si="122"/>
        <v>0.16568689595049965</v>
      </c>
      <c r="K141" s="775">
        <f t="shared" si="123"/>
        <v>4776.9842588877582</v>
      </c>
      <c r="L141" s="775">
        <f t="shared" si="99"/>
        <v>0</v>
      </c>
      <c r="M141" s="530">
        <f t="shared" si="124"/>
        <v>4776.9842588877582</v>
      </c>
      <c r="N141" s="1456">
        <v>0.4</v>
      </c>
      <c r="O141" s="530">
        <f t="shared" si="100"/>
        <v>601.53360000000021</v>
      </c>
      <c r="P141" s="1212">
        <f t="shared" si="127"/>
        <v>5378.5178588877588</v>
      </c>
      <c r="Q141" s="1366">
        <f t="shared" si="101"/>
        <v>58576.655870150295</v>
      </c>
      <c r="R141" s="1366">
        <f t="shared" si="125"/>
        <v>14090.845444200277</v>
      </c>
      <c r="S141" s="1516">
        <f t="shared" si="102"/>
        <v>0.69393398185139921</v>
      </c>
      <c r="T141" s="135" t="str">
        <f t="shared" si="103"/>
        <v>Yes</v>
      </c>
      <c r="U141" s="1516">
        <f t="shared" si="104"/>
        <v>0.69393398185139921</v>
      </c>
      <c r="V141" s="1541">
        <f t="shared" si="96"/>
        <v>68216.388787993448</v>
      </c>
      <c r="W141" s="1542">
        <f t="shared" si="97"/>
        <v>0.17119814042650427</v>
      </c>
      <c r="X141" s="527">
        <f t="shared" si="105"/>
        <v>44485.810425950018</v>
      </c>
      <c r="Y141" s="1511">
        <f t="shared" si="106"/>
        <v>10517.983465901121</v>
      </c>
      <c r="Z141" s="1511">
        <f t="shared" si="107"/>
        <v>2248.0613311541611</v>
      </c>
      <c r="AA141" s="1511">
        <f t="shared" si="108"/>
        <v>0</v>
      </c>
      <c r="AB141" s="1511">
        <f t="shared" si="109"/>
        <v>10964.533564988158</v>
      </c>
      <c r="AC141" s="1511">
        <f t="shared" si="110"/>
        <v>68216.388787993448</v>
      </c>
      <c r="AD141" s="1537">
        <f t="shared" si="111"/>
        <v>0</v>
      </c>
      <c r="AE141" s="1506">
        <f t="shared" si="112"/>
        <v>0.6521279008803208</v>
      </c>
      <c r="AF141" s="1506">
        <f t="shared" si="113"/>
        <v>0.15418557992844614</v>
      </c>
      <c r="AG141" s="1506">
        <f t="shared" si="114"/>
        <v>3.2954856906026009E-2</v>
      </c>
      <c r="AH141" s="1506">
        <f t="shared" si="126"/>
        <v>0</v>
      </c>
      <c r="AI141" s="1506">
        <f t="shared" si="115"/>
        <v>0.16073166228520722</v>
      </c>
      <c r="AJ141" s="1543">
        <f t="shared" si="116"/>
        <v>1.0000000000000002</v>
      </c>
      <c r="AK141" s="1557">
        <f t="shared" si="117"/>
        <v>38270.9123661267</v>
      </c>
      <c r="AL141" s="1558">
        <f t="shared" si="118"/>
        <v>5951.8757102033078</v>
      </c>
      <c r="AM141" s="1558">
        <f t="shared" si="119"/>
        <v>263.0223496200087</v>
      </c>
      <c r="AN141" s="1558">
        <f t="shared" si="120"/>
        <v>44485.810425950011</v>
      </c>
      <c r="AO141" s="1545">
        <f t="shared" si="121"/>
        <v>0</v>
      </c>
      <c r="AV141" s="561"/>
      <c r="AW141" s="561"/>
    </row>
    <row r="142" spans="1:91">
      <c r="A142" s="127">
        <f>'Input data'!A122</f>
        <v>2022</v>
      </c>
      <c r="B142" s="1553">
        <f>'Input data'!B122</f>
        <v>60.682333816399378</v>
      </c>
      <c r="C142" s="1552">
        <f>'Input data'!C122</f>
        <v>3086.0582602351519</v>
      </c>
      <c r="D142" s="1513">
        <f>'Input data'!D122</f>
        <v>45764081.347342722</v>
      </c>
      <c r="E142" s="527">
        <f>'Input data'!J122*C142</f>
        <v>37252.325567017797</v>
      </c>
      <c r="F142" s="528">
        <f>'Input data'!L122</f>
        <v>83016.406914360516</v>
      </c>
      <c r="G142" s="938">
        <f>G137*(1-E4)</f>
        <v>34219.854173807704</v>
      </c>
      <c r="H142" s="528">
        <f t="shared" si="95"/>
        <v>30103.201094928605</v>
      </c>
      <c r="I142" s="530">
        <f t="shared" si="98"/>
        <v>45764.081347342719</v>
      </c>
      <c r="J142" s="649">
        <f t="shared" si="122"/>
        <v>0.19172168528933303</v>
      </c>
      <c r="K142" s="775">
        <f t="shared" si="123"/>
        <v>5957.2910858165087</v>
      </c>
      <c r="L142" s="775">
        <f t="shared" si="99"/>
        <v>0</v>
      </c>
      <c r="M142" s="530">
        <f t="shared" si="124"/>
        <v>5957.2910858165087</v>
      </c>
      <c r="N142" s="1456">
        <f>$E$26</f>
        <v>0.5</v>
      </c>
      <c r="O142" s="530">
        <f t="shared" si="100"/>
        <v>751.91700000000026</v>
      </c>
      <c r="P142" s="1212">
        <f t="shared" si="127"/>
        <v>6709.2080858165091</v>
      </c>
      <c r="Q142" s="1366">
        <f t="shared" si="101"/>
        <v>57613.847182919802</v>
      </c>
      <c r="R142" s="1366">
        <f t="shared" si="125"/>
        <v>23393.993009112099</v>
      </c>
      <c r="S142" s="1516">
        <f t="shared" si="102"/>
        <v>1.1343239083165013</v>
      </c>
      <c r="T142" s="135" t="str">
        <f t="shared" si="103"/>
        <v>No</v>
      </c>
      <c r="U142" s="1516">
        <f t="shared" si="104"/>
        <v>1</v>
      </c>
      <c r="V142" s="1541">
        <f t="shared" si="96"/>
        <v>62392.67427715275</v>
      </c>
      <c r="W142" s="1542">
        <f t="shared" si="97"/>
        <v>0.24842959848266077</v>
      </c>
      <c r="X142" s="527">
        <f t="shared" si="105"/>
        <v>36990.114545712036</v>
      </c>
      <c r="Y142" s="1511">
        <f t="shared" si="106"/>
        <v>11757.063788642328</v>
      </c>
      <c r="Z142" s="1511">
        <f t="shared" si="107"/>
        <v>2435.3308526974706</v>
      </c>
      <c r="AA142" s="1511">
        <f t="shared" si="108"/>
        <v>0</v>
      </c>
      <c r="AB142" s="1511">
        <f t="shared" si="109"/>
        <v>11210.165090100914</v>
      </c>
      <c r="AC142" s="1511">
        <f t="shared" si="110"/>
        <v>62392.67427715275</v>
      </c>
      <c r="AD142" s="1556">
        <f t="shared" si="111"/>
        <v>2770.2603719043327</v>
      </c>
      <c r="AE142" s="1506">
        <f t="shared" si="112"/>
        <v>0.59285989860603328</v>
      </c>
      <c r="AF142" s="1506">
        <f t="shared" si="113"/>
        <v>0.18843660613771104</v>
      </c>
      <c r="AG142" s="1506">
        <f t="shared" si="114"/>
        <v>3.9032320395172605E-2</v>
      </c>
      <c r="AH142" s="1506">
        <f t="shared" si="126"/>
        <v>0</v>
      </c>
      <c r="AI142" s="1506">
        <f t="shared" si="115"/>
        <v>0.17967117486108311</v>
      </c>
      <c r="AJ142" s="1543">
        <f t="shared" si="116"/>
        <v>1</v>
      </c>
      <c r="AK142" s="1557">
        <f t="shared" si="117"/>
        <v>36990.114545712044</v>
      </c>
      <c r="AL142" s="1558">
        <f t="shared" si="118"/>
        <v>0</v>
      </c>
      <c r="AM142" s="1558">
        <f t="shared" si="119"/>
        <v>0</v>
      </c>
      <c r="AN142" s="1558">
        <f t="shared" si="120"/>
        <v>36990.114545712044</v>
      </c>
      <c r="AO142" s="1545">
        <f t="shared" si="121"/>
        <v>0</v>
      </c>
      <c r="AV142" s="561"/>
      <c r="AW142" s="561"/>
    </row>
    <row r="143" spans="1:91">
      <c r="A143" s="127">
        <f>'Input data'!A123</f>
        <v>2023</v>
      </c>
      <c r="B143" s="1553">
        <f>'Input data'!B123</f>
        <v>61.381040636574369</v>
      </c>
      <c r="C143" s="1552">
        <f>'Input data'!C123</f>
        <v>3153.9083559128044</v>
      </c>
      <c r="D143" s="1513">
        <f>'Input data'!D123</f>
        <v>45569695.474175937</v>
      </c>
      <c r="E143" s="527">
        <f>'Input data'!J123*C143</f>
        <v>38071.355423487395</v>
      </c>
      <c r="F143" s="528">
        <f>'Input data'!L123</f>
        <v>83641.050897663343</v>
      </c>
      <c r="G143" s="938">
        <f>($G$147-$G$142)/($A$147-$A$142)+G142</f>
        <v>32166.662923379241</v>
      </c>
      <c r="H143" s="528">
        <f t="shared" si="95"/>
        <v>32443.935646020014</v>
      </c>
      <c r="I143" s="530">
        <f t="shared" si="98"/>
        <v>45569.69547417594</v>
      </c>
      <c r="J143" s="649">
        <f t="shared" si="122"/>
        <v>0.21775647462816641</v>
      </c>
      <c r="K143" s="775">
        <f t="shared" si="123"/>
        <v>7118.384531429756</v>
      </c>
      <c r="L143" s="775">
        <f t="shared" si="99"/>
        <v>0</v>
      </c>
      <c r="M143" s="530">
        <f t="shared" si="124"/>
        <v>7118.384531429756</v>
      </c>
      <c r="N143" s="1456">
        <f>($N$147-$N$142)/($A$107-$A$102)+N142</f>
        <v>0.5</v>
      </c>
      <c r="O143" s="530">
        <f t="shared" si="100"/>
        <v>751.91700000000026</v>
      </c>
      <c r="P143" s="1212">
        <f t="shared" si="127"/>
        <v>7870.3015314297563</v>
      </c>
      <c r="Q143" s="1366">
        <f t="shared" si="101"/>
        <v>56740.297037969496</v>
      </c>
      <c r="R143" s="1366">
        <f t="shared" si="125"/>
        <v>24573.634114590255</v>
      </c>
      <c r="S143" s="1516">
        <f t="shared" si="102"/>
        <v>1.164975166869022</v>
      </c>
      <c r="T143" s="135" t="str">
        <f t="shared" si="103"/>
        <v>No</v>
      </c>
      <c r="U143" s="1516">
        <f t="shared" si="104"/>
        <v>1</v>
      </c>
      <c r="V143" s="1541">
        <f t="shared" si="96"/>
        <v>62547.353097534127</v>
      </c>
      <c r="W143" s="1542">
        <f t="shared" si="97"/>
        <v>0.25219312256056914</v>
      </c>
      <c r="X143" s="527">
        <f t="shared" si="105"/>
        <v>35646.599237840281</v>
      </c>
      <c r="Y143" s="1511">
        <f t="shared" si="106"/>
        <v>12971.779611845708</v>
      </c>
      <c r="Z143" s="1511">
        <f t="shared" si="107"/>
        <v>2472.3423999006995</v>
      </c>
      <c r="AA143" s="1511">
        <f t="shared" si="108"/>
        <v>0</v>
      </c>
      <c r="AB143" s="1511">
        <f t="shared" si="109"/>
        <v>11456.631847947434</v>
      </c>
      <c r="AC143" s="1511">
        <f t="shared" si="110"/>
        <v>62547.353097534127</v>
      </c>
      <c r="AD143" s="1556">
        <f t="shared" si="111"/>
        <v>3479.9363144610397</v>
      </c>
      <c r="AE143" s="1506">
        <f t="shared" si="112"/>
        <v>0.56991379287072685</v>
      </c>
      <c r="AF143" s="1506">
        <f t="shared" si="113"/>
        <v>0.20739134382901822</v>
      </c>
      <c r="AG143" s="1506">
        <f t="shared" si="114"/>
        <v>3.9527530382387509E-2</v>
      </c>
      <c r="AH143" s="1506">
        <f t="shared" si="126"/>
        <v>0</v>
      </c>
      <c r="AI143" s="1506">
        <f t="shared" si="115"/>
        <v>0.18316733291786733</v>
      </c>
      <c r="AJ143" s="1543">
        <f t="shared" si="116"/>
        <v>1</v>
      </c>
      <c r="AK143" s="1557">
        <f t="shared" si="117"/>
        <v>35646.599237840273</v>
      </c>
      <c r="AL143" s="1558">
        <f t="shared" si="118"/>
        <v>0</v>
      </c>
      <c r="AM143" s="1558">
        <f t="shared" si="119"/>
        <v>0</v>
      </c>
      <c r="AN143" s="1558">
        <f>SUM(AK143:AM143)</f>
        <v>35646.599237840273</v>
      </c>
      <c r="AO143" s="1545">
        <f t="shared" si="121"/>
        <v>0</v>
      </c>
      <c r="AV143" s="561"/>
      <c r="AW143" s="561"/>
    </row>
    <row r="144" spans="1:91">
      <c r="A144" s="127">
        <f>'Input data'!A124</f>
        <v>2024</v>
      </c>
      <c r="B144" s="1553">
        <f>'Input data'!B124</f>
        <v>62.087792487153699</v>
      </c>
      <c r="C144" s="1552">
        <f>'Input data'!C124</f>
        <v>3232.6126442228219</v>
      </c>
      <c r="D144" s="1513">
        <f>'Input data'!D124</f>
        <v>46327457.455900244</v>
      </c>
      <c r="E144" s="527">
        <f>'Input data'!J124*C144</f>
        <v>39021.40805516448</v>
      </c>
      <c r="F144" s="1511">
        <f>'Input data'!L124</f>
        <v>85348.865511064723</v>
      </c>
      <c r="G144" s="1559">
        <f t="shared" ref="G144:G146" si="128">($G$147-$G$142)/($A$147-$A$142)+G143</f>
        <v>30113.471672950778</v>
      </c>
      <c r="H144" s="1511">
        <f t="shared" si="95"/>
        <v>35753.397305987804</v>
      </c>
      <c r="I144" s="1513">
        <f t="shared" si="98"/>
        <v>46327.457455900243</v>
      </c>
      <c r="J144" s="1456">
        <f t="shared" si="122"/>
        <v>0.24379126396699979</v>
      </c>
      <c r="K144" s="1514">
        <f t="shared" si="123"/>
        <v>8442.8791682768988</v>
      </c>
      <c r="L144" s="1514">
        <f t="shared" si="99"/>
        <v>0</v>
      </c>
      <c r="M144" s="1513">
        <f t="shared" si="124"/>
        <v>8442.8791682768988</v>
      </c>
      <c r="N144" s="1456">
        <f>($N$147-$N$142)/($A$107-$A$102)+N143</f>
        <v>0.5</v>
      </c>
      <c r="O144" s="530">
        <f t="shared" si="100"/>
        <v>751.91700000000026</v>
      </c>
      <c r="P144" s="1212">
        <f t="shared" si="127"/>
        <v>9194.7961682768982</v>
      </c>
      <c r="Q144" s="1366">
        <f t="shared" si="101"/>
        <v>56672.072810661688</v>
      </c>
      <c r="R144" s="1366">
        <f t="shared" si="125"/>
        <v>26558.60113771091</v>
      </c>
      <c r="S144" s="1516">
        <f t="shared" si="102"/>
        <v>1.2273576259261261</v>
      </c>
      <c r="T144" s="135" t="str">
        <f t="shared" si="103"/>
        <v>No</v>
      </c>
      <c r="U144" s="1516">
        <f t="shared" si="104"/>
        <v>1</v>
      </c>
      <c r="V144" s="1541">
        <f t="shared" si="96"/>
        <v>63710.020746751965</v>
      </c>
      <c r="W144" s="1542">
        <f t="shared" si="97"/>
        <v>0.25353406439254278</v>
      </c>
      <c r="X144" s="527">
        <f t="shared" si="105"/>
        <v>35033.228046348915</v>
      </c>
      <c r="Y144" s="1511">
        <f t="shared" si="106"/>
        <v>14418.991233854049</v>
      </c>
      <c r="Z144" s="1511">
        <f t="shared" si="107"/>
        <v>2515.2748004049222</v>
      </c>
      <c r="AA144" s="1511">
        <f t="shared" si="108"/>
        <v>0</v>
      </c>
      <c r="AB144" s="1511">
        <f t="shared" si="109"/>
        <v>11742.526666144084</v>
      </c>
      <c r="AC144" s="1511">
        <f t="shared" si="110"/>
        <v>63710.020746751965</v>
      </c>
      <c r="AD144" s="1556">
        <f t="shared" si="111"/>
        <v>4919.7563733981369</v>
      </c>
      <c r="AE144" s="1506">
        <f t="shared" si="112"/>
        <v>0.54988567945388656</v>
      </c>
      <c r="AF144" s="1506">
        <f t="shared" si="113"/>
        <v>0.22632218707273222</v>
      </c>
      <c r="AG144" s="1506">
        <f t="shared" si="114"/>
        <v>3.9480049934423458E-2</v>
      </c>
      <c r="AH144" s="1506">
        <f t="shared" si="126"/>
        <v>0</v>
      </c>
      <c r="AI144" s="1506">
        <f t="shared" si="115"/>
        <v>0.18431208353895781</v>
      </c>
      <c r="AJ144" s="1543">
        <f t="shared" si="116"/>
        <v>1</v>
      </c>
      <c r="AK144" s="1557">
        <f t="shared" si="117"/>
        <v>35033.228046348915</v>
      </c>
      <c r="AL144" s="1558">
        <f t="shared" si="118"/>
        <v>0</v>
      </c>
      <c r="AM144" s="1558">
        <f t="shared" si="119"/>
        <v>0</v>
      </c>
      <c r="AN144" s="1558">
        <f t="shared" si="120"/>
        <v>35033.228046348915</v>
      </c>
      <c r="AO144" s="1545">
        <f t="shared" si="121"/>
        <v>0</v>
      </c>
      <c r="AV144" s="561"/>
      <c r="AW144" s="561"/>
    </row>
    <row r="145" spans="1:49">
      <c r="A145" s="127">
        <f>'Input data'!A125</f>
        <v>2025</v>
      </c>
      <c r="B145" s="1553">
        <f>'Input data'!B125</f>
        <v>62.802682000000026</v>
      </c>
      <c r="C145" s="1552">
        <f>'Input data'!C125</f>
        <v>3311.8439930677405</v>
      </c>
      <c r="D145" s="1513">
        <f>'Input data'!D125</f>
        <v>46801820.784301206</v>
      </c>
      <c r="E145" s="527">
        <f>'Input data'!J125*C145</f>
        <v>39977.822922737316</v>
      </c>
      <c r="F145" s="1511">
        <f>'Input data'!L125</f>
        <v>86779.643707038515</v>
      </c>
      <c r="G145" s="1559">
        <f t="shared" si="128"/>
        <v>28060.280422522315</v>
      </c>
      <c r="H145" s="1511">
        <f t="shared" si="95"/>
        <v>38800.553555119644</v>
      </c>
      <c r="I145" s="1513">
        <f t="shared" si="98"/>
        <v>46801.820784301206</v>
      </c>
      <c r="J145" s="1456">
        <f t="shared" si="122"/>
        <v>0.26982605330583315</v>
      </c>
      <c r="K145" s="1514">
        <f t="shared" si="123"/>
        <v>9747.8043583449235</v>
      </c>
      <c r="L145" s="1514">
        <f t="shared" si="99"/>
        <v>0</v>
      </c>
      <c r="M145" s="1513">
        <f t="shared" si="124"/>
        <v>9747.8043583449235</v>
      </c>
      <c r="N145" s="1456">
        <f>($N$147-$N$142)/($A$107-$A$102)+N144</f>
        <v>0.5</v>
      </c>
      <c r="O145" s="530">
        <f t="shared" si="100"/>
        <v>751.91700000000026</v>
      </c>
      <c r="P145" s="1212">
        <f t="shared" si="127"/>
        <v>10499.721358344923</v>
      </c>
      <c r="Q145" s="1366">
        <f t="shared" si="101"/>
        <v>56361.112619297041</v>
      </c>
      <c r="R145" s="1366">
        <f t="shared" si="125"/>
        <v>28300.832196774725</v>
      </c>
      <c r="S145" s="1516">
        <f t="shared" si="102"/>
        <v>1.2755222774459622</v>
      </c>
      <c r="T145" s="135" t="str">
        <f t="shared" si="103"/>
        <v>No</v>
      </c>
      <c r="U145" s="1516">
        <f t="shared" si="104"/>
        <v>1</v>
      </c>
      <c r="V145" s="1541">
        <f t="shared" si="96"/>
        <v>64592.001282287783</v>
      </c>
      <c r="W145" s="1542">
        <f t="shared" si="97"/>
        <v>0.25567796175396307</v>
      </c>
      <c r="X145" s="527">
        <f t="shared" si="105"/>
        <v>34173.470194546295</v>
      </c>
      <c r="Y145" s="1511">
        <f t="shared" si="106"/>
        <v>15829.700338874749</v>
      </c>
      <c r="Z145" s="1511">
        <f t="shared" si="107"/>
        <v>2558.4947071487691</v>
      </c>
      <c r="AA145" s="1511">
        <f t="shared" si="108"/>
        <v>0</v>
      </c>
      <c r="AB145" s="1511">
        <f t="shared" si="109"/>
        <v>12030.33604171797</v>
      </c>
      <c r="AC145" s="1511">
        <f t="shared" si="110"/>
        <v>64592.001282287783</v>
      </c>
      <c r="AD145" s="1556">
        <f t="shared" si="111"/>
        <v>6113.1897720239795</v>
      </c>
      <c r="AE145" s="1506">
        <f t="shared" si="112"/>
        <v>0.52906659518408883</v>
      </c>
      <c r="AF145" s="1506">
        <f t="shared" si="113"/>
        <v>0.24507214553848355</v>
      </c>
      <c r="AG145" s="1506">
        <f t="shared" si="114"/>
        <v>3.9610085712739038E-2</v>
      </c>
      <c r="AH145" s="1506">
        <f t="shared" si="126"/>
        <v>0</v>
      </c>
      <c r="AI145" s="1506">
        <f t="shared" si="115"/>
        <v>0.18625117356468859</v>
      </c>
      <c r="AJ145" s="1543">
        <f t="shared" si="116"/>
        <v>1</v>
      </c>
      <c r="AK145" s="1557">
        <f t="shared" si="117"/>
        <v>34173.470194546295</v>
      </c>
      <c r="AL145" s="1558">
        <f t="shared" si="118"/>
        <v>0</v>
      </c>
      <c r="AM145" s="1558">
        <f t="shared" si="119"/>
        <v>0</v>
      </c>
      <c r="AN145" s="1558">
        <f t="shared" si="120"/>
        <v>34173.470194546295</v>
      </c>
      <c r="AO145" s="1545">
        <f t="shared" si="121"/>
        <v>0</v>
      </c>
      <c r="AV145" s="561"/>
      <c r="AW145" s="561"/>
    </row>
    <row r="146" spans="1:49">
      <c r="A146" s="127">
        <f>'Input data'!A126</f>
        <v>2026</v>
      </c>
      <c r="B146" s="1553">
        <f>'Input data'!B126</f>
        <v>63.421065342005143</v>
      </c>
      <c r="C146" s="1552">
        <f>'Input data'!C126</f>
        <v>3393.1756913606432</v>
      </c>
      <c r="D146" s="1513">
        <f>'Input data'!D126</f>
        <v>46479674.028888769</v>
      </c>
      <c r="E146" s="527">
        <f>'Input data'!J126*C146</f>
        <v>40959.591459892159</v>
      </c>
      <c r="F146" s="1511">
        <f>'Input data'!L126</f>
        <v>87439.265488780919</v>
      </c>
      <c r="G146" s="1559">
        <f t="shared" si="128"/>
        <v>26007.089172093853</v>
      </c>
      <c r="H146" s="1511">
        <f t="shared" si="95"/>
        <v>41114.771230982733</v>
      </c>
      <c r="I146" s="1513">
        <f t="shared" si="98"/>
        <v>46479.674028888767</v>
      </c>
      <c r="J146" s="1456">
        <f t="shared" si="122"/>
        <v>0.2958608426446665</v>
      </c>
      <c r="K146" s="1514">
        <f t="shared" si="123"/>
        <v>10890.796696917872</v>
      </c>
      <c r="L146" s="1514">
        <f t="shared" si="99"/>
        <v>0</v>
      </c>
      <c r="M146" s="1513">
        <f t="shared" si="124"/>
        <v>10890.796696917872</v>
      </c>
      <c r="N146" s="1456">
        <f>($N$147-$N$142)/($A$107-$A$102)+N145</f>
        <v>0.5</v>
      </c>
      <c r="O146" s="530">
        <f t="shared" si="100"/>
        <v>751.91700000000026</v>
      </c>
      <c r="P146" s="1212">
        <f t="shared" si="127"/>
        <v>11642.713696917872</v>
      </c>
      <c r="Q146" s="1366">
        <f t="shared" si="101"/>
        <v>55479.146706158717</v>
      </c>
      <c r="R146" s="1366">
        <f t="shared" si="125"/>
        <v>29472.057534064865</v>
      </c>
      <c r="S146" s="1516">
        <f t="shared" si="102"/>
        <v>1.2954187867924141</v>
      </c>
      <c r="T146" s="135" t="str">
        <f t="shared" si="103"/>
        <v>No</v>
      </c>
      <c r="U146" s="1516">
        <f t="shared" si="104"/>
        <v>1</v>
      </c>
      <c r="V146" s="1541">
        <f t="shared" si="96"/>
        <v>64688.277287474535</v>
      </c>
      <c r="W146" s="1542">
        <f t="shared" si="97"/>
        <v>0.26019189518724284</v>
      </c>
      <c r="X146" s="527">
        <f t="shared" si="105"/>
        <v>32728.158504852316</v>
      </c>
      <c r="Y146" s="1511">
        <f t="shared" si="106"/>
        <v>17031.483472706295</v>
      </c>
      <c r="Z146" s="1511">
        <f t="shared" si="107"/>
        <v>2602.8603334669356</v>
      </c>
      <c r="AA146" s="1511">
        <f t="shared" si="108"/>
        <v>0</v>
      </c>
      <c r="AB146" s="1511">
        <f t="shared" si="109"/>
        <v>12325.774976448984</v>
      </c>
      <c r="AC146" s="1511">
        <f t="shared" si="110"/>
        <v>64688.277287474535</v>
      </c>
      <c r="AD146" s="1556">
        <f t="shared" si="111"/>
        <v>6721.0693327584631</v>
      </c>
      <c r="AE146" s="1506">
        <f t="shared" si="112"/>
        <v>0.50593646758296662</v>
      </c>
      <c r="AF146" s="1506">
        <f t="shared" si="113"/>
        <v>0.26328546974621736</v>
      </c>
      <c r="AG146" s="1506">
        <f t="shared" si="114"/>
        <v>4.0236970941424692E-2</v>
      </c>
      <c r="AH146" s="1506">
        <f t="shared" si="126"/>
        <v>0</v>
      </c>
      <c r="AI146" s="1506">
        <f t="shared" si="115"/>
        <v>0.19054109172939127</v>
      </c>
      <c r="AJ146" s="1543">
        <f t="shared" si="116"/>
        <v>0.99999999999999989</v>
      </c>
      <c r="AK146" s="1557">
        <f t="shared" si="117"/>
        <v>32728.158504852312</v>
      </c>
      <c r="AL146" s="1558">
        <f t="shared" si="118"/>
        <v>0</v>
      </c>
      <c r="AM146" s="1558">
        <f t="shared" si="119"/>
        <v>0</v>
      </c>
      <c r="AN146" s="1558">
        <f t="shared" si="120"/>
        <v>32728.158504852312</v>
      </c>
      <c r="AO146" s="1545">
        <f t="shared" si="121"/>
        <v>0</v>
      </c>
      <c r="AV146" s="561"/>
      <c r="AW146" s="561"/>
    </row>
    <row r="147" spans="1:49">
      <c r="A147" s="127">
        <f>'Input data'!A127</f>
        <v>2027</v>
      </c>
      <c r="B147" s="1553">
        <f>'Input data'!B127</f>
        <v>64.045537563425796</v>
      </c>
      <c r="C147" s="1552">
        <f>'Input data'!C127</f>
        <v>3472.5774012476563</v>
      </c>
      <c r="D147" s="1513">
        <f>'Input data'!D127</f>
        <v>45641833.264745638</v>
      </c>
      <c r="E147" s="527">
        <f>'Input data'!J127*C147</f>
        <v>41918.062784106085</v>
      </c>
      <c r="F147" s="1511">
        <f>'Input data'!L127</f>
        <v>87559.896048851719</v>
      </c>
      <c r="G147" s="1559">
        <f>G137*(1-E5)</f>
        <v>23953.89792166539</v>
      </c>
      <c r="H147" s="1511">
        <f t="shared" si="95"/>
        <v>42931.666591504014</v>
      </c>
      <c r="I147" s="1513">
        <f t="shared" si="98"/>
        <v>45641.833264745641</v>
      </c>
      <c r="J147" s="1456">
        <f t="shared" si="122"/>
        <v>0.32189563198349985</v>
      </c>
      <c r="K147" s="1514">
        <f t="shared" si="123"/>
        <v>11882.7551408581</v>
      </c>
      <c r="L147" s="1514">
        <f t="shared" si="99"/>
        <v>0</v>
      </c>
      <c r="M147" s="1513">
        <f t="shared" si="124"/>
        <v>11882.7551408581</v>
      </c>
      <c r="N147" s="1456">
        <f>$C$27</f>
        <v>0.5</v>
      </c>
      <c r="O147" s="530">
        <f t="shared" si="100"/>
        <v>751.91700000000026</v>
      </c>
      <c r="P147" s="1212">
        <f t="shared" si="127"/>
        <v>12634.6721408581</v>
      </c>
      <c r="Q147" s="1366">
        <f t="shared" si="101"/>
        <v>54250.892372311304</v>
      </c>
      <c r="R147" s="1366">
        <f t="shared" si="125"/>
        <v>30296.994450645914</v>
      </c>
      <c r="S147" s="1516">
        <f t="shared" si="102"/>
        <v>1.3002462909953691</v>
      </c>
      <c r="T147" s="135" t="str">
        <f t="shared" si="103"/>
        <v>No</v>
      </c>
      <c r="U147" s="1516">
        <f t="shared" si="104"/>
        <v>1</v>
      </c>
      <c r="V147" s="1541">
        <f t="shared" si="96"/>
        <v>64258.930177645256</v>
      </c>
      <c r="W147" s="1542">
        <f t="shared" si="97"/>
        <v>0.26611459038514973</v>
      </c>
      <c r="X147" s="527">
        <f t="shared" si="105"/>
        <v>30949.926501104819</v>
      </c>
      <c r="Y147" s="1511">
        <f t="shared" si="106"/>
        <v>18048.627314353078</v>
      </c>
      <c r="Z147" s="1511">
        <f t="shared" si="107"/>
        <v>2646.1731704518984</v>
      </c>
      <c r="AA147" s="1511">
        <f t="shared" si="108"/>
        <v>0</v>
      </c>
      <c r="AB147" s="1511">
        <f t="shared" si="109"/>
        <v>12614.203191735462</v>
      </c>
      <c r="AC147" s="1511">
        <f t="shared" si="110"/>
        <v>64258.930177645256</v>
      </c>
      <c r="AD147" s="1556">
        <f t="shared" si="111"/>
        <v>6996.0285794394294</v>
      </c>
      <c r="AE147" s="1506">
        <f t="shared" si="112"/>
        <v>0.48164397408333831</v>
      </c>
      <c r="AF147" s="1506">
        <f t="shared" si="113"/>
        <v>0.28087344847567869</v>
      </c>
      <c r="AG147" s="1506">
        <f t="shared" si="114"/>
        <v>4.1179851004934154E-2</v>
      </c>
      <c r="AH147" s="1506">
        <f t="shared" si="126"/>
        <v>0</v>
      </c>
      <c r="AI147" s="1506">
        <f t="shared" si="115"/>
        <v>0.19630272643604887</v>
      </c>
      <c r="AJ147" s="1543">
        <f t="shared" si="116"/>
        <v>1</v>
      </c>
      <c r="AK147" s="1557">
        <f t="shared" si="117"/>
        <v>30949.926501104819</v>
      </c>
      <c r="AL147" s="1558">
        <f t="shared" si="118"/>
        <v>0</v>
      </c>
      <c r="AM147" s="1558">
        <f t="shared" si="119"/>
        <v>0</v>
      </c>
      <c r="AN147" s="1558">
        <f t="shared" si="120"/>
        <v>30949.926501104819</v>
      </c>
      <c r="AO147" s="1545">
        <f t="shared" si="121"/>
        <v>0</v>
      </c>
      <c r="AV147" s="561"/>
      <c r="AW147" s="561"/>
    </row>
    <row r="148" spans="1:49">
      <c r="A148" s="127">
        <f>'Input data'!A128</f>
        <v>2028</v>
      </c>
      <c r="B148" s="1553">
        <f>'Input data'!B128</f>
        <v>64.676158618096451</v>
      </c>
      <c r="C148" s="1552">
        <f>'Input data'!C128</f>
        <v>3555.7273448150845</v>
      </c>
      <c r="D148" s="1513">
        <f>'Input data'!D128</f>
        <v>44757313.865039073</v>
      </c>
      <c r="E148" s="527">
        <f>'Input data'!J128*C148</f>
        <v>42921.779664168149</v>
      </c>
      <c r="F148" s="1511">
        <f>'Input data'!L128</f>
        <v>87679.093529207224</v>
      </c>
      <c r="G148" s="1559">
        <f>($G$152-$G$147)/($A$152-$A$147)+G147</f>
        <v>21900.706671236927</v>
      </c>
      <c r="H148" s="1511">
        <f t="shared" si="95"/>
        <v>44730.718503003707</v>
      </c>
      <c r="I148" s="1513">
        <f t="shared" si="98"/>
        <v>44757.313865039076</v>
      </c>
      <c r="J148" s="1456">
        <f t="shared" si="122"/>
        <v>0.34793042132233321</v>
      </c>
      <c r="K148" s="1514">
        <f t="shared" si="123"/>
        <v>12817.71961633172</v>
      </c>
      <c r="L148" s="1514">
        <f t="shared" si="99"/>
        <v>0</v>
      </c>
      <c r="M148" s="1513">
        <f t="shared" si="124"/>
        <v>12817.71961633172</v>
      </c>
      <c r="N148" s="1456">
        <f>N147</f>
        <v>0.5</v>
      </c>
      <c r="O148" s="530">
        <f t="shared" si="100"/>
        <v>751.91700000000026</v>
      </c>
      <c r="P148" s="1212">
        <f t="shared" si="127"/>
        <v>13569.63661633172</v>
      </c>
      <c r="Q148" s="1366">
        <f t="shared" si="101"/>
        <v>53061.788557908912</v>
      </c>
      <c r="R148" s="1366">
        <f t="shared" si="125"/>
        <v>31161.081886671986</v>
      </c>
      <c r="S148" s="1516">
        <f t="shared" si="102"/>
        <v>1.3050720305104722</v>
      </c>
      <c r="T148" s="135" t="str">
        <f t="shared" si="103"/>
        <v>No</v>
      </c>
      <c r="U148" s="1516">
        <f t="shared" si="104"/>
        <v>1</v>
      </c>
      <c r="V148" s="1541">
        <f t="shared" si="96"/>
        <v>63802.187766018447</v>
      </c>
      <c r="W148" s="1542">
        <f t="shared" si="97"/>
        <v>0.27232153985756047</v>
      </c>
      <c r="X148" s="527">
        <f t="shared" si="105"/>
        <v>29184.882794720124</v>
      </c>
      <c r="Y148" s="1511">
        <f t="shared" si="106"/>
        <v>19009.527403083772</v>
      </c>
      <c r="Z148" s="1511">
        <f t="shared" si="107"/>
        <v>2691.530631344991</v>
      </c>
      <c r="AA148" s="1511">
        <f t="shared" si="108"/>
        <v>0</v>
      </c>
      <c r="AB148" s="1511">
        <f t="shared" si="109"/>
        <v>12916.246936869558</v>
      </c>
      <c r="AC148" s="1511">
        <f t="shared" si="110"/>
        <v>63802.187766018447</v>
      </c>
      <c r="AD148" s="1556">
        <f t="shared" si="111"/>
        <v>7284.1761234831974</v>
      </c>
      <c r="AE148" s="1506">
        <f t="shared" si="112"/>
        <v>0.4574276183404517</v>
      </c>
      <c r="AF148" s="1506">
        <f t="shared" si="113"/>
        <v>0.29794475814524335</v>
      </c>
      <c r="AG148" s="1506">
        <f t="shared" si="114"/>
        <v>4.2185553906327354E-2</v>
      </c>
      <c r="AH148" s="1506">
        <f t="shared" si="126"/>
        <v>0</v>
      </c>
      <c r="AI148" s="1506">
        <f t="shared" si="115"/>
        <v>0.20244206960797753</v>
      </c>
      <c r="AJ148" s="1543">
        <f t="shared" si="116"/>
        <v>0.99999999999999989</v>
      </c>
      <c r="AK148" s="1557">
        <f t="shared" si="117"/>
        <v>29184.882794720128</v>
      </c>
      <c r="AL148" s="1558">
        <f t="shared" si="118"/>
        <v>0</v>
      </c>
      <c r="AM148" s="1558">
        <f t="shared" si="119"/>
        <v>0</v>
      </c>
      <c r="AN148" s="1558">
        <f t="shared" si="120"/>
        <v>29184.882794720128</v>
      </c>
      <c r="AO148" s="1545">
        <f t="shared" si="121"/>
        <v>0</v>
      </c>
      <c r="AV148" s="561"/>
      <c r="AW148" s="561"/>
    </row>
    <row r="149" spans="1:49">
      <c r="A149" s="127">
        <f>'Input data'!A129</f>
        <v>2029</v>
      </c>
      <c r="B149" s="1553">
        <f>'Input data'!B129</f>
        <v>65.31298905018393</v>
      </c>
      <c r="C149" s="1552">
        <f>'Input data'!C129</f>
        <v>3635.303730869829</v>
      </c>
      <c r="D149" s="1513">
        <f>'Input data'!D129</f>
        <v>43023314.860788628</v>
      </c>
      <c r="E149" s="527">
        <f>'Input data'!J129*C149</f>
        <v>43882.359533626659</v>
      </c>
      <c r="F149" s="1511">
        <f>'Input data'!L129</f>
        <v>86905.674394415284</v>
      </c>
      <c r="G149" s="1559">
        <f t="shared" ref="G149:G151" si="129">($G$152-$G$147)/($A$152-$A$147)+G148</f>
        <v>19847.515420808464</v>
      </c>
      <c r="H149" s="1511">
        <f t="shared" si="95"/>
        <v>45707.822034793317</v>
      </c>
      <c r="I149" s="1513">
        <f t="shared" si="98"/>
        <v>43023.314860788625</v>
      </c>
      <c r="J149" s="1456">
        <f t="shared" si="122"/>
        <v>0.37396521066116656</v>
      </c>
      <c r="K149" s="1514">
        <f t="shared" si="123"/>
        <v>13441.235268707171</v>
      </c>
      <c r="L149" s="1514">
        <f t="shared" si="99"/>
        <v>0</v>
      </c>
      <c r="M149" s="1513">
        <f t="shared" si="124"/>
        <v>13441.235268707171</v>
      </c>
      <c r="N149" s="1456">
        <f t="shared" ref="N149:N170" si="130">N148</f>
        <v>0.5</v>
      </c>
      <c r="O149" s="530">
        <f t="shared" si="100"/>
        <v>751.91700000000026</v>
      </c>
      <c r="P149" s="1212">
        <f t="shared" si="127"/>
        <v>14193.15226870717</v>
      </c>
      <c r="Q149" s="1366">
        <f t="shared" si="101"/>
        <v>51362.185186894611</v>
      </c>
      <c r="R149" s="1366">
        <f t="shared" si="125"/>
        <v>31514.669766086146</v>
      </c>
      <c r="S149" s="1516">
        <f t="shared" si="102"/>
        <v>1.2900994497849489</v>
      </c>
      <c r="T149" s="135" t="str">
        <f t="shared" si="103"/>
        <v>No</v>
      </c>
      <c r="U149" s="1516">
        <f t="shared" si="104"/>
        <v>1</v>
      </c>
      <c r="V149" s="1541">
        <f t="shared" si="96"/>
        <v>62477.581063052799</v>
      </c>
      <c r="W149" s="1542">
        <f t="shared" si="97"/>
        <v>0.28108743763378785</v>
      </c>
      <c r="X149" s="527">
        <f t="shared" si="105"/>
        <v>26934.091855532108</v>
      </c>
      <c r="Y149" s="1511">
        <f t="shared" si="106"/>
        <v>19603.240788447583</v>
      </c>
      <c r="Z149" s="1511">
        <f t="shared" si="107"/>
        <v>2734.9387524288591</v>
      </c>
      <c r="AA149" s="1511">
        <f t="shared" si="108"/>
        <v>0</v>
      </c>
      <c r="AB149" s="1511">
        <f t="shared" si="109"/>
        <v>13205.309666644245</v>
      </c>
      <c r="AC149" s="1511">
        <f t="shared" si="110"/>
        <v>62477.581063052799</v>
      </c>
      <c r="AD149" s="1556">
        <f t="shared" si="111"/>
        <v>7086.5764347236436</v>
      </c>
      <c r="AE149" s="1506">
        <f t="shared" si="112"/>
        <v>0.43110010658623354</v>
      </c>
      <c r="AF149" s="1506">
        <f t="shared" si="113"/>
        <v>0.31376440084426221</v>
      </c>
      <c r="AG149" s="1506">
        <f t="shared" si="114"/>
        <v>4.3774722162638474E-2</v>
      </c>
      <c r="AH149" s="1506">
        <f t="shared" si="126"/>
        <v>0</v>
      </c>
      <c r="AI149" s="1506">
        <f t="shared" si="115"/>
        <v>0.21136077040686574</v>
      </c>
      <c r="AJ149" s="1543">
        <f t="shared" si="116"/>
        <v>1</v>
      </c>
      <c r="AK149" s="1557">
        <f t="shared" si="117"/>
        <v>26934.091855532111</v>
      </c>
      <c r="AL149" s="1558">
        <f t="shared" si="118"/>
        <v>0</v>
      </c>
      <c r="AM149" s="1558">
        <f t="shared" si="119"/>
        <v>0</v>
      </c>
      <c r="AN149" s="1558">
        <f t="shared" si="120"/>
        <v>26934.091855532111</v>
      </c>
      <c r="AO149" s="1545">
        <f t="shared" si="121"/>
        <v>0</v>
      </c>
      <c r="AV149" s="561"/>
      <c r="AW149" s="561"/>
    </row>
    <row r="150" spans="1:49">
      <c r="A150" s="127">
        <f>'Input data'!A130</f>
        <v>2030</v>
      </c>
      <c r="B150" s="1553">
        <f>'Input data'!B130</f>
        <v>65.956090000000003</v>
      </c>
      <c r="C150" s="1552">
        <f>'Input data'!C130</f>
        <v>3717.2759118719223</v>
      </c>
      <c r="D150" s="1513">
        <f>'Input data'!D130</f>
        <v>41579903.969008513</v>
      </c>
      <c r="E150" s="527">
        <f>'Input data'!J130*C150</f>
        <v>44871.859444719004</v>
      </c>
      <c r="F150" s="1511">
        <f>'Input data'!L130</f>
        <v>86451.763413727516</v>
      </c>
      <c r="G150" s="1559">
        <f t="shared" si="129"/>
        <v>17794.324170380001</v>
      </c>
      <c r="H150" s="1511">
        <f t="shared" si="95"/>
        <v>46974.223163660732</v>
      </c>
      <c r="I150" s="1513">
        <f t="shared" si="98"/>
        <v>41579.903969008512</v>
      </c>
      <c r="J150" s="1456">
        <f>$H$19</f>
        <v>0.4</v>
      </c>
      <c r="K150" s="1514">
        <f t="shared" si="123"/>
        <v>14072.812527306756</v>
      </c>
      <c r="L150" s="1514">
        <f t="shared" si="99"/>
        <v>0</v>
      </c>
      <c r="M150" s="1513">
        <f t="shared" si="124"/>
        <v>14072.812527306756</v>
      </c>
      <c r="N150" s="1456">
        <f t="shared" si="130"/>
        <v>0.5</v>
      </c>
      <c r="O150" s="530">
        <f t="shared" si="100"/>
        <v>751.91700000000026</v>
      </c>
      <c r="P150" s="1212">
        <f t="shared" si="127"/>
        <v>14824.729527306756</v>
      </c>
      <c r="Q150" s="1366">
        <f t="shared" si="101"/>
        <v>49943.817806733976</v>
      </c>
      <c r="R150" s="1366">
        <f t="shared" si="125"/>
        <v>32149.493636353975</v>
      </c>
      <c r="S150" s="1516">
        <f t="shared" si="102"/>
        <v>1.2861919452429416</v>
      </c>
      <c r="T150" s="135" t="str">
        <f t="shared" si="103"/>
        <v>No</v>
      </c>
      <c r="U150" s="1516">
        <f t="shared" si="104"/>
        <v>1</v>
      </c>
      <c r="V150" s="1541">
        <f t="shared" si="96"/>
        <v>61455.887988398666</v>
      </c>
      <c r="W150" s="1542">
        <f t="shared" si="97"/>
        <v>0.28913089147421367</v>
      </c>
      <c r="X150" s="527">
        <f t="shared" si="105"/>
        <v>24947.942381405108</v>
      </c>
      <c r="Y150" s="1511">
        <f t="shared" si="106"/>
        <v>20225.216684398358</v>
      </c>
      <c r="Z150" s="1511">
        <f t="shared" si="107"/>
        <v>2779.6537556460157</v>
      </c>
      <c r="AA150" s="1511">
        <f t="shared" si="108"/>
        <v>0</v>
      </c>
      <c r="AB150" s="1511">
        <f t="shared" si="109"/>
        <v>13503.075166949178</v>
      </c>
      <c r="AC150" s="1511">
        <f t="shared" si="110"/>
        <v>61455.887988398666</v>
      </c>
      <c r="AD150" s="1556">
        <f t="shared" si="111"/>
        <v>7153.6182110251066</v>
      </c>
      <c r="AE150" s="1506">
        <f t="shared" si="112"/>
        <v>0.40594877395823581</v>
      </c>
      <c r="AF150" s="1506">
        <f t="shared" si="113"/>
        <v>0.32910136597841322</v>
      </c>
      <c r="AG150" s="1506">
        <f t="shared" si="114"/>
        <v>4.5230064142442211E-2</v>
      </c>
      <c r="AH150" s="1506">
        <f t="shared" si="126"/>
        <v>0</v>
      </c>
      <c r="AI150" s="1506">
        <f t="shared" si="115"/>
        <v>0.21971979592090868</v>
      </c>
      <c r="AJ150" s="1543">
        <f t="shared" si="116"/>
        <v>1</v>
      </c>
      <c r="AK150" s="1557">
        <f t="shared" si="117"/>
        <v>24947.942381405112</v>
      </c>
      <c r="AL150" s="1558">
        <f t="shared" si="118"/>
        <v>0</v>
      </c>
      <c r="AM150" s="1558">
        <f t="shared" si="119"/>
        <v>0</v>
      </c>
      <c r="AN150" s="1558">
        <f t="shared" si="120"/>
        <v>24947.942381405112</v>
      </c>
      <c r="AO150" s="1545">
        <f t="shared" si="121"/>
        <v>0</v>
      </c>
      <c r="AV150" s="561"/>
      <c r="AW150" s="561"/>
    </row>
    <row r="151" spans="1:49">
      <c r="A151" s="127">
        <f>'Input data'!A131</f>
        <v>2031</v>
      </c>
      <c r="B151" s="1553">
        <f>'Input data'!B131</f>
        <v>66.518977190687664</v>
      </c>
      <c r="C151" s="1552">
        <f>'Input data'!C131</f>
        <v>3813.477009093895</v>
      </c>
      <c r="D151" s="1513">
        <f>'Input data'!D131</f>
        <v>40172018.684421316</v>
      </c>
      <c r="E151" s="527">
        <f>'Input data'!J131*C151</f>
        <v>46033.118984046108</v>
      </c>
      <c r="F151" s="1511">
        <f>'Input data'!L131</f>
        <v>86205.137668467418</v>
      </c>
      <c r="G151" s="1559">
        <f t="shared" si="129"/>
        <v>15741.132919951538</v>
      </c>
      <c r="H151" s="1511">
        <f t="shared" si="95"/>
        <v>48372.520276501025</v>
      </c>
      <c r="I151" s="1513">
        <f t="shared" si="98"/>
        <v>40172.018684421317</v>
      </c>
      <c r="J151" s="1456">
        <f>J150</f>
        <v>0.4</v>
      </c>
      <c r="K151" s="1514">
        <f t="shared" si="123"/>
        <v>13596.310568939634</v>
      </c>
      <c r="L151" s="1514">
        <f t="shared" si="99"/>
        <v>0</v>
      </c>
      <c r="M151" s="1513">
        <f t="shared" si="124"/>
        <v>13596.310568939634</v>
      </c>
      <c r="N151" s="1456">
        <f t="shared" si="130"/>
        <v>0.5</v>
      </c>
      <c r="O151" s="530">
        <f t="shared" si="100"/>
        <v>751.91700000000026</v>
      </c>
      <c r="P151" s="1212">
        <f t="shared" si="127"/>
        <v>14348.227568939634</v>
      </c>
      <c r="Q151" s="1366">
        <f t="shared" si="101"/>
        <v>49765.42562751293</v>
      </c>
      <c r="R151" s="1366">
        <f t="shared" si="125"/>
        <v>34024.292707561392</v>
      </c>
      <c r="S151" s="1516">
        <f t="shared" si="102"/>
        <v>1.3258517817233786</v>
      </c>
      <c r="T151" s="135" t="str">
        <f t="shared" si="103"/>
        <v>No</v>
      </c>
      <c r="U151" s="1516">
        <f t="shared" si="104"/>
        <v>1</v>
      </c>
      <c r="V151" s="1541">
        <f t="shared" si="96"/>
        <v>60542.923251607295</v>
      </c>
      <c r="W151" s="1542">
        <f t="shared" si="97"/>
        <v>0.29768776097259209</v>
      </c>
      <c r="X151" s="527">
        <f t="shared" si="105"/>
        <v>24103.211210652789</v>
      </c>
      <c r="Y151" s="1511">
        <f t="shared" si="106"/>
        <v>19755.05407593066</v>
      </c>
      <c r="Z151" s="1511">
        <f t="shared" si="107"/>
        <v>2832.1304900599107</v>
      </c>
      <c r="AA151" s="1511">
        <f t="shared" si="108"/>
        <v>0</v>
      </c>
      <c r="AB151" s="1511">
        <f t="shared" si="109"/>
        <v>13852.527474963932</v>
      </c>
      <c r="AC151" s="1511">
        <f t="shared" si="110"/>
        <v>60542.923251607295</v>
      </c>
      <c r="AD151" s="1556">
        <f t="shared" si="111"/>
        <v>8362.0782907012508</v>
      </c>
      <c r="AE151" s="1506">
        <f t="shared" si="112"/>
        <v>0.39811773063027472</v>
      </c>
      <c r="AF151" s="1506">
        <f t="shared" si="113"/>
        <v>0.32629831886101079</v>
      </c>
      <c r="AG151" s="1506">
        <f t="shared" si="114"/>
        <v>4.6778885754987447E-2</v>
      </c>
      <c r="AH151" s="1506">
        <f t="shared" si="126"/>
        <v>0</v>
      </c>
      <c r="AI151" s="1506">
        <f t="shared" si="115"/>
        <v>0.228805064753727</v>
      </c>
      <c r="AJ151" s="1543">
        <f t="shared" si="116"/>
        <v>0.99999999999999989</v>
      </c>
      <c r="AK151" s="1557">
        <f t="shared" si="117"/>
        <v>24103.211210652793</v>
      </c>
      <c r="AL151" s="1558">
        <f t="shared" si="118"/>
        <v>0</v>
      </c>
      <c r="AM151" s="1558">
        <f t="shared" si="119"/>
        <v>0</v>
      </c>
      <c r="AN151" s="1558">
        <f t="shared" si="120"/>
        <v>24103.211210652793</v>
      </c>
      <c r="AO151" s="1545">
        <f t="shared" si="121"/>
        <v>0</v>
      </c>
      <c r="AV151" s="561"/>
      <c r="AW151" s="561"/>
    </row>
    <row r="152" spans="1:49">
      <c r="A152" s="127">
        <f>'Input data'!A132</f>
        <v>2032</v>
      </c>
      <c r="B152" s="1553">
        <f>'Input data'!B132</f>
        <v>67.08666821358311</v>
      </c>
      <c r="C152" s="1552">
        <f>'Input data'!C132</f>
        <v>3916.9054384503629</v>
      </c>
      <c r="D152" s="1513">
        <f>'Input data'!D132</f>
        <v>39638613.148632608</v>
      </c>
      <c r="E152" s="527">
        <f>'Input data'!J132*C152</f>
        <v>47281.620858725182</v>
      </c>
      <c r="F152" s="1511">
        <f>'Input data'!L132</f>
        <v>86920.234007357794</v>
      </c>
      <c r="G152" s="1559">
        <f>G137*(1-E6)</f>
        <v>13687.941669523079</v>
      </c>
      <c r="H152" s="1511">
        <f t="shared" si="95"/>
        <v>50641.535160321655</v>
      </c>
      <c r="I152" s="1513">
        <f t="shared" si="98"/>
        <v>39638.613148632605</v>
      </c>
      <c r="J152" s="1456">
        <f t="shared" ref="J152:J170" si="131">J151</f>
        <v>0.4</v>
      </c>
      <c r="K152" s="1514">
        <f t="shared" si="123"/>
        <v>13415.778259106088</v>
      </c>
      <c r="L152" s="1514">
        <f t="shared" si="99"/>
        <v>0</v>
      </c>
      <c r="M152" s="1513">
        <f t="shared" si="124"/>
        <v>13415.778259106088</v>
      </c>
      <c r="N152" s="1456">
        <f t="shared" si="130"/>
        <v>0.5</v>
      </c>
      <c r="O152" s="530">
        <f t="shared" si="100"/>
        <v>751.91700000000026</v>
      </c>
      <c r="P152" s="1212">
        <f t="shared" si="127"/>
        <v>14167.695259106087</v>
      </c>
      <c r="Q152" s="1366">
        <f t="shared" si="101"/>
        <v>50161.781570738647</v>
      </c>
      <c r="R152" s="1366">
        <f t="shared" si="125"/>
        <v>36473.839901215571</v>
      </c>
      <c r="S152" s="1516">
        <f t="shared" si="102"/>
        <v>1.3827049571871139</v>
      </c>
      <c r="T152" s="135" t="str">
        <f t="shared" si="103"/>
        <v>No</v>
      </c>
      <c r="U152" s="1516">
        <f t="shared" si="104"/>
        <v>1</v>
      </c>
      <c r="V152" s="1541">
        <f t="shared" si="96"/>
        <v>60541.620325798714</v>
      </c>
      <c r="W152" s="1542">
        <f t="shared" si="97"/>
        <v>0.3034807025407471</v>
      </c>
      <c r="X152" s="527">
        <f t="shared" si="105"/>
        <v>23783.167889179564</v>
      </c>
      <c r="Y152" s="1511">
        <f t="shared" si="106"/>
        <v>19641.66957103182</v>
      </c>
      <c r="Z152" s="1511">
        <f t="shared" si="107"/>
        <v>2888.549661721353</v>
      </c>
      <c r="AA152" s="1511">
        <f t="shared" si="108"/>
        <v>0</v>
      </c>
      <c r="AB152" s="1511">
        <f t="shared" si="109"/>
        <v>14228.233203865982</v>
      </c>
      <c r="AC152" s="1511">
        <f t="shared" si="110"/>
        <v>60541.620325798714</v>
      </c>
      <c r="AD152" s="1556">
        <f t="shared" si="111"/>
        <v>10095.226219656484</v>
      </c>
      <c r="AE152" s="1506">
        <f t="shared" si="112"/>
        <v>0.39283996300714796</v>
      </c>
      <c r="AF152" s="1506">
        <f t="shared" si="113"/>
        <v>0.32443250552813296</v>
      </c>
      <c r="AG152" s="1506">
        <f t="shared" si="114"/>
        <v>4.7711799687172395E-2</v>
      </c>
      <c r="AH152" s="1506">
        <f t="shared" si="126"/>
        <v>0</v>
      </c>
      <c r="AI152" s="1506">
        <f t="shared" si="115"/>
        <v>0.23501573177754673</v>
      </c>
      <c r="AJ152" s="1543">
        <f t="shared" si="116"/>
        <v>1</v>
      </c>
      <c r="AK152" s="1557">
        <f t="shared" si="117"/>
        <v>23783.16788917956</v>
      </c>
      <c r="AL152" s="1558">
        <f t="shared" si="118"/>
        <v>0</v>
      </c>
      <c r="AM152" s="1558">
        <f t="shared" si="119"/>
        <v>0</v>
      </c>
      <c r="AN152" s="1558">
        <f t="shared" si="120"/>
        <v>23783.16788917956</v>
      </c>
      <c r="AO152" s="1545">
        <f t="shared" si="121"/>
        <v>0</v>
      </c>
      <c r="AV152" s="561"/>
      <c r="AW152" s="561"/>
    </row>
    <row r="153" spans="1:49">
      <c r="A153" s="127">
        <f>'Input data'!A133</f>
        <v>2033</v>
      </c>
      <c r="B153" s="1553">
        <f>'Input data'!B133</f>
        <v>67.659204065895452</v>
      </c>
      <c r="C153" s="1552">
        <f>'Input data'!C133</f>
        <v>4023.8304695138613</v>
      </c>
      <c r="D153" s="1513">
        <f>'Input data'!D133</f>
        <v>38783300.848650038</v>
      </c>
      <c r="E153" s="527">
        <f>'Input data'!J133*C153</f>
        <v>48572.330797602815</v>
      </c>
      <c r="F153" s="1511">
        <f>'Input data'!L133</f>
        <v>87355.631646252848</v>
      </c>
      <c r="G153" s="1559">
        <f>G152</f>
        <v>13687.941669523079</v>
      </c>
      <c r="H153" s="1511">
        <f t="shared" si="95"/>
        <v>50579.483950642127</v>
      </c>
      <c r="I153" s="1513">
        <f t="shared" si="98"/>
        <v>38783.30084865004</v>
      </c>
      <c r="J153" s="1456">
        <f t="shared" si="131"/>
        <v>0.4</v>
      </c>
      <c r="K153" s="1514">
        <f t="shared" si="123"/>
        <v>13126.29587696962</v>
      </c>
      <c r="L153" s="1514">
        <f t="shared" si="99"/>
        <v>0</v>
      </c>
      <c r="M153" s="1513">
        <f t="shared" si="124"/>
        <v>13126.29587696962</v>
      </c>
      <c r="N153" s="1456">
        <f t="shared" si="130"/>
        <v>0.5</v>
      </c>
      <c r="O153" s="530">
        <f t="shared" si="100"/>
        <v>751.91700000000026</v>
      </c>
      <c r="P153" s="1212">
        <f t="shared" si="127"/>
        <v>13878.212876969619</v>
      </c>
      <c r="Q153" s="1366">
        <f t="shared" si="101"/>
        <v>50389.212743195589</v>
      </c>
      <c r="R153" s="1366">
        <f t="shared" si="125"/>
        <v>36701.271073672513</v>
      </c>
      <c r="S153" s="1516">
        <f t="shared" si="102"/>
        <v>1.3533300189690385</v>
      </c>
      <c r="T153" s="135" t="str">
        <f t="shared" si="103"/>
        <v>No</v>
      </c>
      <c r="U153" s="1516">
        <f t="shared" si="104"/>
        <v>1</v>
      </c>
      <c r="V153" s="1541">
        <f t="shared" si="96"/>
        <v>60236.399412247294</v>
      </c>
      <c r="W153" s="1542">
        <f t="shared" si="97"/>
        <v>0.31044629548126956</v>
      </c>
      <c r="X153" s="527">
        <f t="shared" si="105"/>
        <v>23269.980509190023</v>
      </c>
      <c r="Y153" s="1511">
        <f t="shared" si="106"/>
        <v>19402.902303780367</v>
      </c>
      <c r="Z153" s="1511">
        <f t="shared" si="107"/>
        <v>2946.8761945712818</v>
      </c>
      <c r="AA153" s="1511">
        <f t="shared" si="108"/>
        <v>0</v>
      </c>
      <c r="AB153" s="1511">
        <f t="shared" si="109"/>
        <v>14616.640404705622</v>
      </c>
      <c r="AC153" s="1511">
        <f t="shared" si="110"/>
        <v>60236.399412247294</v>
      </c>
      <c r="AD153" s="1556">
        <f t="shared" si="111"/>
        <v>9582.0388396669441</v>
      </c>
      <c r="AE153" s="1506">
        <f t="shared" si="112"/>
        <v>0.38631094713902769</v>
      </c>
      <c r="AF153" s="1506">
        <f t="shared" si="113"/>
        <v>0.32211258463492026</v>
      </c>
      <c r="AG153" s="1506">
        <f t="shared" si="114"/>
        <v>4.8921851626678094E-2</v>
      </c>
      <c r="AH153" s="1506">
        <f t="shared" si="126"/>
        <v>0</v>
      </c>
      <c r="AI153" s="1506">
        <f t="shared" si="115"/>
        <v>0.24265461659937396</v>
      </c>
      <c r="AJ153" s="1543">
        <f t="shared" si="116"/>
        <v>1</v>
      </c>
      <c r="AK153" s="1557">
        <f t="shared" si="117"/>
        <v>23269.98050919002</v>
      </c>
      <c r="AL153" s="1558">
        <f t="shared" si="118"/>
        <v>0</v>
      </c>
      <c r="AM153" s="1558">
        <f t="shared" si="119"/>
        <v>0</v>
      </c>
      <c r="AN153" s="1558">
        <f t="shared" si="120"/>
        <v>23269.98050919002</v>
      </c>
      <c r="AO153" s="1545">
        <f t="shared" si="121"/>
        <v>0</v>
      </c>
      <c r="AV153" s="561"/>
      <c r="AW153" s="561"/>
    </row>
    <row r="154" spans="1:49">
      <c r="A154" s="127">
        <f>'Input data'!A134</f>
        <v>2034</v>
      </c>
      <c r="B154" s="1553">
        <f>'Input data'!B134</f>
        <v>68.236626094715163</v>
      </c>
      <c r="C154" s="1552">
        <f>'Input data'!C134</f>
        <v>4047.8499716455863</v>
      </c>
      <c r="D154" s="1513">
        <f>'Input data'!D134</f>
        <v>38249557.30478432</v>
      </c>
      <c r="E154" s="527">
        <f>'Input data'!J134*C154</f>
        <v>48862.27422637675</v>
      </c>
      <c r="F154" s="1511">
        <f>'Input data'!L134</f>
        <v>87111.831531161064</v>
      </c>
      <c r="G154" s="1559">
        <f t="shared" ref="G154:G170" si="132">G153</f>
        <v>13687.941669523079</v>
      </c>
      <c r="H154" s="1511">
        <f t="shared" si="95"/>
        <v>50244.962718643277</v>
      </c>
      <c r="I154" s="1513">
        <f t="shared" si="98"/>
        <v>38249.557304784321</v>
      </c>
      <c r="J154" s="1456">
        <f t="shared" si="131"/>
        <v>0.4</v>
      </c>
      <c r="K154" s="1514">
        <f t="shared" si="123"/>
        <v>12945.649167538035</v>
      </c>
      <c r="L154" s="1514">
        <f t="shared" si="99"/>
        <v>0</v>
      </c>
      <c r="M154" s="1513">
        <f t="shared" si="124"/>
        <v>12945.649167538035</v>
      </c>
      <c r="N154" s="1456">
        <f t="shared" si="130"/>
        <v>0.5</v>
      </c>
      <c r="O154" s="530">
        <f t="shared" si="100"/>
        <v>751.91700000000026</v>
      </c>
      <c r="P154" s="1212">
        <f t="shared" si="127"/>
        <v>13697.566167538034</v>
      </c>
      <c r="Q154" s="1366">
        <f t="shared" si="101"/>
        <v>50235.33822062832</v>
      </c>
      <c r="R154" s="1366">
        <f t="shared" si="125"/>
        <v>36547.396551105237</v>
      </c>
      <c r="S154" s="1516">
        <f t="shared" si="102"/>
        <v>1.3394388032758531</v>
      </c>
      <c r="T154" s="135" t="str">
        <f t="shared" si="103"/>
        <v>No</v>
      </c>
      <c r="U154" s="1516">
        <f t="shared" si="104"/>
        <v>1</v>
      </c>
      <c r="V154" s="1541">
        <f t="shared" si="96"/>
        <v>59826.227693403351</v>
      </c>
      <c r="W154" s="1542">
        <f t="shared" si="97"/>
        <v>0.31322500466537995</v>
      </c>
      <c r="X154" s="527">
        <f t="shared" si="105"/>
        <v>22949.734382870593</v>
      </c>
      <c r="Y154" s="1511">
        <f t="shared" si="106"/>
        <v>19212.62301706522</v>
      </c>
      <c r="Z154" s="1511">
        <f t="shared" si="107"/>
        <v>2959.9785922623614</v>
      </c>
      <c r="AA154" s="1511">
        <f t="shared" si="108"/>
        <v>0</v>
      </c>
      <c r="AB154" s="1511">
        <f t="shared" si="109"/>
        <v>14703.891701205175</v>
      </c>
      <c r="AC154" s="1511">
        <f t="shared" si="110"/>
        <v>59826.227693403351</v>
      </c>
      <c r="AD154" s="1556">
        <f t="shared" si="111"/>
        <v>9261.7927133475132</v>
      </c>
      <c r="AE154" s="1506">
        <f t="shared" si="112"/>
        <v>0.38360657637454737</v>
      </c>
      <c r="AF154" s="1506">
        <f t="shared" si="113"/>
        <v>0.32114047229462322</v>
      </c>
      <c r="AG154" s="1506">
        <f t="shared" si="114"/>
        <v>4.9476269963595568E-2</v>
      </c>
      <c r="AH154" s="1506">
        <f t="shared" si="126"/>
        <v>0</v>
      </c>
      <c r="AI154" s="1506">
        <f t="shared" si="115"/>
        <v>0.24577668136723382</v>
      </c>
      <c r="AJ154" s="1543">
        <f t="shared" si="116"/>
        <v>1</v>
      </c>
      <c r="AK154" s="1557">
        <f t="shared" si="117"/>
        <v>22949.734382870589</v>
      </c>
      <c r="AL154" s="1558">
        <f t="shared" si="118"/>
        <v>0</v>
      </c>
      <c r="AM154" s="1558">
        <f t="shared" si="119"/>
        <v>0</v>
      </c>
      <c r="AN154" s="1558">
        <f t="shared" si="120"/>
        <v>22949.734382870589</v>
      </c>
      <c r="AO154" s="1545">
        <f t="shared" si="121"/>
        <v>0</v>
      </c>
      <c r="AV154" s="561"/>
      <c r="AW154" s="561"/>
    </row>
    <row r="155" spans="1:49">
      <c r="A155" s="127">
        <f>'Input data'!A135</f>
        <v>2035</v>
      </c>
      <c r="B155" s="1553">
        <f>'Input data'!B135</f>
        <v>68.818976000000006</v>
      </c>
      <c r="C155" s="1552">
        <f>'Input data'!C135</f>
        <v>0</v>
      </c>
      <c r="D155" s="1513">
        <f>'Input data'!D135</f>
        <v>38181094.662935674</v>
      </c>
      <c r="E155" s="527">
        <f>'Input data'!J135*C155</f>
        <v>0</v>
      </c>
      <c r="F155" s="1511">
        <f>'Input data'!L135</f>
        <v>38181.094662935677</v>
      </c>
      <c r="G155" s="1559">
        <f t="shared" si="132"/>
        <v>13687.941669523079</v>
      </c>
      <c r="H155" s="1511">
        <f t="shared" si="95"/>
        <v>22143.192959820935</v>
      </c>
      <c r="I155" s="1513">
        <f t="shared" si="98"/>
        <v>38181.094662935677</v>
      </c>
      <c r="J155" s="1456">
        <f t="shared" si="131"/>
        <v>0.4</v>
      </c>
      <c r="K155" s="1514">
        <f t="shared" si="123"/>
        <v>12922.477831582613</v>
      </c>
      <c r="L155" s="1514">
        <f t="shared" si="99"/>
        <v>0</v>
      </c>
      <c r="M155" s="1513">
        <f t="shared" si="124"/>
        <v>12922.477831582613</v>
      </c>
      <c r="N155" s="1456">
        <f t="shared" si="130"/>
        <v>0.5</v>
      </c>
      <c r="O155" s="530">
        <f t="shared" si="100"/>
        <v>751.91700000000026</v>
      </c>
      <c r="P155" s="1212">
        <f t="shared" si="127"/>
        <v>13674.394831582613</v>
      </c>
      <c r="Q155" s="1366">
        <f t="shared" si="101"/>
        <v>22156.739797761402</v>
      </c>
      <c r="R155" s="1366">
        <f t="shared" si="125"/>
        <v>8468.7981282383225</v>
      </c>
      <c r="S155" s="1516">
        <f t="shared" si="102"/>
        <v>-11.262942755966773</v>
      </c>
      <c r="T155" s="135" t="str">
        <f t="shared" si="103"/>
        <v>No</v>
      </c>
      <c r="U155" s="1516">
        <f t="shared" si="104"/>
        <v>0</v>
      </c>
      <c r="V155" s="1541">
        <f t="shared" si="96"/>
        <v>38181.094662935677</v>
      </c>
      <c r="W155" s="1542">
        <f t="shared" si="97"/>
        <v>0</v>
      </c>
      <c r="X155" s="527">
        <f t="shared" si="105"/>
        <v>22156.739797761405</v>
      </c>
      <c r="Y155" s="1511">
        <f t="shared" si="106"/>
        <v>15272.437865174272</v>
      </c>
      <c r="Z155" s="1511">
        <f t="shared" si="107"/>
        <v>751.91700000000026</v>
      </c>
      <c r="AA155" s="1511">
        <f t="shared" si="108"/>
        <v>0</v>
      </c>
      <c r="AB155" s="1511">
        <f t="shared" si="109"/>
        <v>0</v>
      </c>
      <c r="AC155" s="1511">
        <f t="shared" si="110"/>
        <v>38181.094662935677</v>
      </c>
      <c r="AD155" s="1556">
        <f t="shared" si="111"/>
        <v>8468.7981282383262</v>
      </c>
      <c r="AE155" s="1506">
        <f t="shared" si="112"/>
        <v>0.58030656253735113</v>
      </c>
      <c r="AF155" s="1506">
        <f t="shared" si="113"/>
        <v>0.4</v>
      </c>
      <c r="AG155" s="1506">
        <f t="shared" si="114"/>
        <v>1.9693437462648868E-2</v>
      </c>
      <c r="AH155" s="1506">
        <f t="shared" si="126"/>
        <v>0</v>
      </c>
      <c r="AI155" s="1506">
        <f t="shared" si="115"/>
        <v>0</v>
      </c>
      <c r="AJ155" s="1543">
        <f t="shared" si="116"/>
        <v>1</v>
      </c>
      <c r="AK155" s="1557">
        <f t="shared" si="117"/>
        <v>22908.656797761403</v>
      </c>
      <c r="AL155" s="1558">
        <f t="shared" si="118"/>
        <v>0</v>
      </c>
      <c r="AM155" s="1558">
        <f t="shared" si="119"/>
        <v>-751.91700000000026</v>
      </c>
      <c r="AN155" s="1558">
        <f t="shared" si="120"/>
        <v>22156.739797761402</v>
      </c>
      <c r="AO155" s="1545">
        <f t="shared" si="121"/>
        <v>0</v>
      </c>
      <c r="AV155" s="561"/>
      <c r="AW155" s="561"/>
    </row>
    <row r="156" spans="1:49">
      <c r="A156" s="127">
        <f>'Input data'!A136</f>
        <v>2036</v>
      </c>
      <c r="B156" s="1553">
        <f>'Input data'!B136</f>
        <v>69.322810489383542</v>
      </c>
      <c r="C156" s="1552">
        <f>'Input data'!C136</f>
        <v>0</v>
      </c>
      <c r="D156" s="1513">
        <f>'Input data'!D136</f>
        <v>32537026.437175773</v>
      </c>
      <c r="E156" s="527">
        <f>'Input data'!J136*C156</f>
        <v>0</v>
      </c>
      <c r="F156" s="1511">
        <f>'Input data'!L136</f>
        <v>32537.026437175773</v>
      </c>
      <c r="G156" s="1559">
        <f t="shared" si="132"/>
        <v>13687.941669523079</v>
      </c>
      <c r="H156" s="1511">
        <f t="shared" si="95"/>
        <v>16846.50436983339</v>
      </c>
      <c r="I156" s="1513">
        <f t="shared" si="98"/>
        <v>32537.026437175773</v>
      </c>
      <c r="J156" s="1456">
        <f t="shared" si="131"/>
        <v>0.4</v>
      </c>
      <c r="K156" s="1514">
        <f t="shared" si="123"/>
        <v>11012.230177051004</v>
      </c>
      <c r="L156" s="1514">
        <f t="shared" si="99"/>
        <v>0</v>
      </c>
      <c r="M156" s="1513">
        <f t="shared" si="124"/>
        <v>11012.230177051004</v>
      </c>
      <c r="N156" s="1456">
        <f t="shared" si="130"/>
        <v>0.5</v>
      </c>
      <c r="O156" s="530">
        <f t="shared" si="100"/>
        <v>751.91700000000026</v>
      </c>
      <c r="P156" s="1212">
        <f t="shared" si="127"/>
        <v>11764.147177051003</v>
      </c>
      <c r="Q156" s="1366">
        <f t="shared" si="101"/>
        <v>18770.298862305466</v>
      </c>
      <c r="R156" s="1366">
        <f t="shared" si="125"/>
        <v>5082.3571927823868</v>
      </c>
      <c r="S156" s="1516">
        <f t="shared" si="102"/>
        <v>-6.7591997425013703</v>
      </c>
      <c r="T156" s="135" t="str">
        <f t="shared" si="103"/>
        <v>No</v>
      </c>
      <c r="U156" s="1516">
        <f t="shared" si="104"/>
        <v>0</v>
      </c>
      <c r="V156" s="1541">
        <f t="shared" si="96"/>
        <v>32537.026437175773</v>
      </c>
      <c r="W156" s="1542">
        <f t="shared" si="97"/>
        <v>0</v>
      </c>
      <c r="X156" s="527">
        <f t="shared" si="105"/>
        <v>18770.298862305463</v>
      </c>
      <c r="Y156" s="1511">
        <f t="shared" si="106"/>
        <v>13014.810574870309</v>
      </c>
      <c r="Z156" s="1511">
        <f t="shared" si="107"/>
        <v>751.91700000000026</v>
      </c>
      <c r="AA156" s="1511">
        <f t="shared" si="108"/>
        <v>0</v>
      </c>
      <c r="AB156" s="1511">
        <f t="shared" si="109"/>
        <v>0</v>
      </c>
      <c r="AC156" s="1511">
        <f t="shared" si="110"/>
        <v>32537.026437175773</v>
      </c>
      <c r="AD156" s="1556">
        <f t="shared" si="111"/>
        <v>5082.3571927823832</v>
      </c>
      <c r="AE156" s="1506">
        <f t="shared" si="112"/>
        <v>0.57689042047367656</v>
      </c>
      <c r="AF156" s="1506">
        <f t="shared" si="113"/>
        <v>0.4</v>
      </c>
      <c r="AG156" s="1506">
        <f t="shared" si="114"/>
        <v>2.3109579526323393E-2</v>
      </c>
      <c r="AH156" s="1506">
        <f t="shared" si="126"/>
        <v>0</v>
      </c>
      <c r="AI156" s="1506">
        <f t="shared" si="115"/>
        <v>0</v>
      </c>
      <c r="AJ156" s="1543">
        <f t="shared" si="116"/>
        <v>1</v>
      </c>
      <c r="AK156" s="1557">
        <f t="shared" si="117"/>
        <v>19522.215862305464</v>
      </c>
      <c r="AL156" s="1558">
        <f t="shared" si="118"/>
        <v>0</v>
      </c>
      <c r="AM156" s="1558">
        <f t="shared" si="119"/>
        <v>-751.91700000000026</v>
      </c>
      <c r="AN156" s="1558">
        <f t="shared" si="120"/>
        <v>18770.298862305463</v>
      </c>
      <c r="AO156" s="1545">
        <f t="shared" si="121"/>
        <v>0</v>
      </c>
      <c r="AV156" s="561"/>
      <c r="AW156" s="561"/>
    </row>
    <row r="157" spans="1:49">
      <c r="A157" s="127">
        <f>'Input data'!A137</f>
        <v>2037</v>
      </c>
      <c r="B157" s="1553">
        <f>'Input data'!B137</f>
        <v>69.830333629884052</v>
      </c>
      <c r="C157" s="1552">
        <f>'Input data'!C137</f>
        <v>0</v>
      </c>
      <c r="D157" s="1513">
        <f>'Input data'!D137</f>
        <v>27502394.556130182</v>
      </c>
      <c r="E157" s="527">
        <f>'Input data'!J137*C157</f>
        <v>0</v>
      </c>
      <c r="F157" s="1511">
        <f>'Input data'!L137</f>
        <v>27502.394556130181</v>
      </c>
      <c r="G157" s="1559">
        <f t="shared" si="132"/>
        <v>13687.941669523079</v>
      </c>
      <c r="H157" s="1511">
        <f t="shared" si="95"/>
        <v>12121.742695725279</v>
      </c>
      <c r="I157" s="1513">
        <f t="shared" si="98"/>
        <v>27502.394556130181</v>
      </c>
      <c r="J157" s="1456">
        <f t="shared" si="131"/>
        <v>0.4</v>
      </c>
      <c r="K157" s="1514">
        <f t="shared" si="123"/>
        <v>9308.2476315702534</v>
      </c>
      <c r="L157" s="1514">
        <f t="shared" si="99"/>
        <v>0</v>
      </c>
      <c r="M157" s="1513">
        <f t="shared" si="124"/>
        <v>9308.2476315702534</v>
      </c>
      <c r="N157" s="1456">
        <f t="shared" si="130"/>
        <v>0.5</v>
      </c>
      <c r="O157" s="530">
        <f t="shared" si="100"/>
        <v>751.91700000000026</v>
      </c>
      <c r="P157" s="1212">
        <f t="shared" si="127"/>
        <v>10060.164631570253</v>
      </c>
      <c r="Q157" s="1366">
        <f t="shared" si="101"/>
        <v>15749.519733678106</v>
      </c>
      <c r="R157" s="1366">
        <f t="shared" si="125"/>
        <v>2061.5780641550264</v>
      </c>
      <c r="S157" s="1516">
        <f t="shared" si="102"/>
        <v>-2.7417628064733512</v>
      </c>
      <c r="T157" s="135" t="str">
        <f t="shared" si="103"/>
        <v>No</v>
      </c>
      <c r="U157" s="1516">
        <f t="shared" si="104"/>
        <v>0</v>
      </c>
      <c r="V157" s="1541">
        <f t="shared" si="96"/>
        <v>27502.394556130181</v>
      </c>
      <c r="W157" s="1542">
        <f t="shared" si="97"/>
        <v>0</v>
      </c>
      <c r="X157" s="527">
        <f t="shared" si="105"/>
        <v>15749.519733678108</v>
      </c>
      <c r="Y157" s="1511">
        <f t="shared" si="106"/>
        <v>11000.957822452074</v>
      </c>
      <c r="Z157" s="1511">
        <f t="shared" si="107"/>
        <v>751.91700000000026</v>
      </c>
      <c r="AA157" s="1511">
        <f t="shared" si="108"/>
        <v>0</v>
      </c>
      <c r="AB157" s="1511">
        <f t="shared" si="109"/>
        <v>0</v>
      </c>
      <c r="AC157" s="1511">
        <f t="shared" si="110"/>
        <v>27502.394556130181</v>
      </c>
      <c r="AD157" s="1556">
        <f t="shared" si="111"/>
        <v>2061.5780641550282</v>
      </c>
      <c r="AE157" s="1506">
        <f t="shared" si="112"/>
        <v>0.57265994426538391</v>
      </c>
      <c r="AF157" s="1506">
        <f t="shared" si="113"/>
        <v>0.40000000000000008</v>
      </c>
      <c r="AG157" s="1506">
        <f t="shared" si="114"/>
        <v>2.7340055734616054E-2</v>
      </c>
      <c r="AH157" s="1506">
        <f t="shared" si="126"/>
        <v>0</v>
      </c>
      <c r="AI157" s="1506">
        <f t="shared" si="115"/>
        <v>0</v>
      </c>
      <c r="AJ157" s="1543">
        <f t="shared" si="116"/>
        <v>1</v>
      </c>
      <c r="AK157" s="1557">
        <f t="shared" si="117"/>
        <v>16501.436733678107</v>
      </c>
      <c r="AL157" s="1558">
        <f t="shared" si="118"/>
        <v>0</v>
      </c>
      <c r="AM157" s="1558">
        <f t="shared" si="119"/>
        <v>-751.91700000000026</v>
      </c>
      <c r="AN157" s="1558">
        <f t="shared" si="120"/>
        <v>15749.519733678108</v>
      </c>
      <c r="AO157" s="1545">
        <f t="shared" si="121"/>
        <v>0</v>
      </c>
      <c r="AV157" s="561"/>
      <c r="AW157" s="561"/>
    </row>
    <row r="158" spans="1:49">
      <c r="A158" s="127">
        <f>'Input data'!A138</f>
        <v>2038</v>
      </c>
      <c r="B158" s="1553">
        <f>'Input data'!B138</f>
        <v>70.341572426693446</v>
      </c>
      <c r="C158" s="1552">
        <f>'Input data'!C138</f>
        <v>0</v>
      </c>
      <c r="D158" s="1513">
        <f>'Input data'!D138</f>
        <v>25672806.243326273</v>
      </c>
      <c r="E158" s="527">
        <f>'Input data'!J138*C158</f>
        <v>0</v>
      </c>
      <c r="F158" s="1511">
        <f>'Input data'!L138</f>
        <v>25672.806243326271</v>
      </c>
      <c r="G158" s="1511">
        <f t="shared" si="132"/>
        <v>13687.941669523079</v>
      </c>
      <c r="H158" s="1511">
        <f t="shared" si="95"/>
        <v>10404.761406134596</v>
      </c>
      <c r="I158" s="1513">
        <f t="shared" si="98"/>
        <v>25672.806243326271</v>
      </c>
      <c r="J158" s="1456">
        <f t="shared" si="131"/>
        <v>0.4</v>
      </c>
      <c r="K158" s="1514">
        <f t="shared" si="123"/>
        <v>8689.0193296619145</v>
      </c>
      <c r="L158" s="1514">
        <f t="shared" si="99"/>
        <v>0</v>
      </c>
      <c r="M158" s="1513">
        <f t="shared" si="124"/>
        <v>8689.0193296619145</v>
      </c>
      <c r="N158" s="1456">
        <f t="shared" si="130"/>
        <v>0.5</v>
      </c>
      <c r="O158" s="530">
        <f t="shared" si="100"/>
        <v>751.91700000000026</v>
      </c>
      <c r="P158" s="1212">
        <f t="shared" si="127"/>
        <v>9440.936329661914</v>
      </c>
      <c r="Q158" s="1366">
        <f t="shared" si="101"/>
        <v>14651.766745995761</v>
      </c>
      <c r="R158" s="1366">
        <f t="shared" si="125"/>
        <v>963.82507647268176</v>
      </c>
      <c r="S158" s="1516">
        <f t="shared" si="102"/>
        <v>-1.2818237604319096</v>
      </c>
      <c r="T158" s="135" t="str">
        <f t="shared" si="103"/>
        <v>No</v>
      </c>
      <c r="U158" s="1516">
        <f t="shared" si="104"/>
        <v>0</v>
      </c>
      <c r="V158" s="1541">
        <f t="shared" si="96"/>
        <v>25672.806243326275</v>
      </c>
      <c r="W158" s="1542">
        <f t="shared" si="97"/>
        <v>-2.2204460492503131E-16</v>
      </c>
      <c r="X158" s="527">
        <f t="shared" si="105"/>
        <v>14651.766745995763</v>
      </c>
      <c r="Y158" s="1511">
        <f t="shared" si="106"/>
        <v>10269.122497330509</v>
      </c>
      <c r="Z158" s="1511">
        <f t="shared" si="107"/>
        <v>751.91700000000026</v>
      </c>
      <c r="AA158" s="1511">
        <f t="shared" si="108"/>
        <v>0</v>
      </c>
      <c r="AB158" s="1511">
        <f t="shared" si="109"/>
        <v>0</v>
      </c>
      <c r="AC158" s="1511">
        <f t="shared" si="110"/>
        <v>25672.806243326275</v>
      </c>
      <c r="AD158" s="1556">
        <f t="shared" si="111"/>
        <v>963.82507647268358</v>
      </c>
      <c r="AE158" s="1506">
        <f t="shared" si="112"/>
        <v>0.57071153839306266</v>
      </c>
      <c r="AF158" s="1506">
        <f t="shared" si="113"/>
        <v>0.39999999999999997</v>
      </c>
      <c r="AG158" s="1506">
        <f t="shared" si="114"/>
        <v>2.9288461606937238E-2</v>
      </c>
      <c r="AH158" s="1506">
        <f t="shared" si="126"/>
        <v>0</v>
      </c>
      <c r="AI158" s="1506">
        <f t="shared" si="115"/>
        <v>0</v>
      </c>
      <c r="AJ158" s="1543">
        <f t="shared" si="116"/>
        <v>0.99999999999999989</v>
      </c>
      <c r="AK158" s="1557">
        <f t="shared" si="117"/>
        <v>15403.683745995761</v>
      </c>
      <c r="AL158" s="1558">
        <f t="shared" si="118"/>
        <v>0</v>
      </c>
      <c r="AM158" s="1558">
        <f t="shared" si="119"/>
        <v>-751.91700000000026</v>
      </c>
      <c r="AN158" s="1558">
        <f t="shared" si="120"/>
        <v>14651.766745995761</v>
      </c>
      <c r="AO158" s="1545">
        <f t="shared" si="121"/>
        <v>0</v>
      </c>
      <c r="AV158" s="561"/>
      <c r="AW158" s="561"/>
    </row>
    <row r="159" spans="1:49">
      <c r="A159" s="127">
        <f>'Input data'!A139</f>
        <v>2039</v>
      </c>
      <c r="B159" s="1553">
        <f>'Input data'!B139</f>
        <v>70.856554082712819</v>
      </c>
      <c r="C159" s="1552">
        <f>'Input data'!C139</f>
        <v>0</v>
      </c>
      <c r="D159" s="1513">
        <f>'Input data'!D139</f>
        <v>23843217.930522356</v>
      </c>
      <c r="E159" s="527">
        <f>'Input data'!J139*C159</f>
        <v>0</v>
      </c>
      <c r="F159" s="1511">
        <f>'Input data'!L139</f>
        <v>23843.217930522354</v>
      </c>
      <c r="G159" s="1511">
        <f t="shared" si="132"/>
        <v>13687.941669523079</v>
      </c>
      <c r="H159" s="1511">
        <f t="shared" si="95"/>
        <v>8687.780116543905</v>
      </c>
      <c r="I159" s="1513">
        <f t="shared" si="98"/>
        <v>23843.217930522354</v>
      </c>
      <c r="J159" s="1456">
        <f t="shared" si="131"/>
        <v>0.4</v>
      </c>
      <c r="K159" s="1514">
        <f t="shared" si="123"/>
        <v>8069.7910277535739</v>
      </c>
      <c r="L159" s="1514">
        <f t="shared" si="99"/>
        <v>0</v>
      </c>
      <c r="M159" s="1513">
        <f t="shared" si="124"/>
        <v>8069.7910277535739</v>
      </c>
      <c r="N159" s="1456">
        <f t="shared" si="130"/>
        <v>0.5</v>
      </c>
      <c r="O159" s="530">
        <f t="shared" si="100"/>
        <v>751.91700000000026</v>
      </c>
      <c r="P159" s="1212">
        <f t="shared" si="127"/>
        <v>8821.7080277535733</v>
      </c>
      <c r="Q159" s="1366">
        <f t="shared" si="101"/>
        <v>13554.013758313411</v>
      </c>
      <c r="R159" s="1366">
        <f t="shared" si="125"/>
        <v>-133.92791120966831</v>
      </c>
      <c r="S159" s="1516">
        <f t="shared" si="102"/>
        <v>0.17811528560953946</v>
      </c>
      <c r="T159" s="135" t="str">
        <f t="shared" si="103"/>
        <v>Yes</v>
      </c>
      <c r="U159" s="1516">
        <f t="shared" si="104"/>
        <v>0.17811528560953946</v>
      </c>
      <c r="V159" s="1541">
        <f t="shared" si="96"/>
        <v>23977.145841732025</v>
      </c>
      <c r="W159" s="1542">
        <f t="shared" si="97"/>
        <v>-5.6170233229393407E-3</v>
      </c>
      <c r="X159" s="527">
        <f t="shared" si="105"/>
        <v>13687.941669523079</v>
      </c>
      <c r="Y159" s="1511">
        <f t="shared" si="106"/>
        <v>9537.2871722089421</v>
      </c>
      <c r="Z159" s="1511">
        <f t="shared" si="107"/>
        <v>751.91700000000026</v>
      </c>
      <c r="AA159" s="1511">
        <f t="shared" si="108"/>
        <v>0</v>
      </c>
      <c r="AB159" s="1511">
        <f t="shared" si="109"/>
        <v>0</v>
      </c>
      <c r="AC159" s="1511">
        <f t="shared" si="110"/>
        <v>23977.145841732025</v>
      </c>
      <c r="AD159" s="1556">
        <f t="shared" si="111"/>
        <v>0</v>
      </c>
      <c r="AE159" s="1506">
        <f t="shared" si="112"/>
        <v>0.57087452192492949</v>
      </c>
      <c r="AF159" s="1506">
        <f t="shared" si="113"/>
        <v>0.39776574055821823</v>
      </c>
      <c r="AG159" s="1506">
        <f t="shared" si="114"/>
        <v>3.1359737516852192E-2</v>
      </c>
      <c r="AH159" s="1506">
        <f t="shared" si="126"/>
        <v>0</v>
      </c>
      <c r="AI159" s="1506">
        <f t="shared" si="115"/>
        <v>0</v>
      </c>
      <c r="AJ159" s="1543">
        <f t="shared" si="116"/>
        <v>0.99999999999999989</v>
      </c>
      <c r="AK159" s="1557">
        <f t="shared" si="117"/>
        <v>14305.93075831341</v>
      </c>
      <c r="AL159" s="1558">
        <f t="shared" si="118"/>
        <v>0</v>
      </c>
      <c r="AM159" s="1558">
        <f t="shared" si="119"/>
        <v>-617.98908879033206</v>
      </c>
      <c r="AN159" s="1558">
        <f t="shared" si="120"/>
        <v>13687.941669523079</v>
      </c>
      <c r="AO159" s="1545">
        <f t="shared" si="121"/>
        <v>0</v>
      </c>
      <c r="AV159" s="561"/>
      <c r="AW159" s="561"/>
    </row>
    <row r="160" spans="1:49">
      <c r="A160" s="127">
        <f>'Input data'!A140</f>
        <v>2040</v>
      </c>
      <c r="B160" s="1553">
        <f>'Input data'!B140</f>
        <v>71.375305999999995</v>
      </c>
      <c r="C160" s="1552">
        <f>'Input data'!C140</f>
        <v>0</v>
      </c>
      <c r="D160" s="1513">
        <f>'Input data'!D140</f>
        <v>22013629.617718432</v>
      </c>
      <c r="E160" s="527">
        <f>'Input data'!J140*C160</f>
        <v>0</v>
      </c>
      <c r="F160" s="1511">
        <f>'Input data'!L140</f>
        <v>22013.62961771843</v>
      </c>
      <c r="G160" s="1511">
        <f t="shared" si="132"/>
        <v>13687.941669523079</v>
      </c>
      <c r="H160" s="1511">
        <f t="shared" si="95"/>
        <v>6970.7988269532107</v>
      </c>
      <c r="I160" s="1513">
        <f t="shared" si="98"/>
        <v>22013.62961771843</v>
      </c>
      <c r="J160" s="1456">
        <f t="shared" si="131"/>
        <v>0.4</v>
      </c>
      <c r="K160" s="1514">
        <f t="shared" si="123"/>
        <v>7450.5627258452305</v>
      </c>
      <c r="L160" s="1514">
        <f t="shared" si="99"/>
        <v>0</v>
      </c>
      <c r="M160" s="1513">
        <f t="shared" si="124"/>
        <v>7450.5627258452305</v>
      </c>
      <c r="N160" s="1456">
        <f t="shared" si="130"/>
        <v>0.5</v>
      </c>
      <c r="O160" s="530">
        <f t="shared" si="100"/>
        <v>751.91700000000026</v>
      </c>
      <c r="P160" s="1212">
        <f t="shared" si="127"/>
        <v>8202.4797258452309</v>
      </c>
      <c r="Q160" s="1366">
        <f t="shared" si="101"/>
        <v>12456.260770631059</v>
      </c>
      <c r="R160" s="1366">
        <f t="shared" si="125"/>
        <v>-1231.6808988920202</v>
      </c>
      <c r="S160" s="1516">
        <f t="shared" si="102"/>
        <v>1.6380543316509948</v>
      </c>
      <c r="T160" s="135" t="str">
        <f t="shared" si="103"/>
        <v>No</v>
      </c>
      <c r="U160" s="1516">
        <f t="shared" si="104"/>
        <v>1</v>
      </c>
      <c r="V160" s="1541">
        <f t="shared" si="96"/>
        <v>22765.546617718432</v>
      </c>
      <c r="W160" s="1542">
        <f t="shared" si="97"/>
        <v>-3.4156884305657442E-2</v>
      </c>
      <c r="X160" s="527">
        <f t="shared" si="105"/>
        <v>13208.177770631059</v>
      </c>
      <c r="Y160" s="1511">
        <f t="shared" si="106"/>
        <v>8805.4518470873718</v>
      </c>
      <c r="Z160" s="1511">
        <f t="shared" si="107"/>
        <v>751.91700000000026</v>
      </c>
      <c r="AA160" s="1511">
        <f t="shared" si="108"/>
        <v>0</v>
      </c>
      <c r="AB160" s="1511">
        <f t="shared" si="109"/>
        <v>0</v>
      </c>
      <c r="AC160" s="1511">
        <f t="shared" si="110"/>
        <v>22765.546617718432</v>
      </c>
      <c r="AD160" s="1537">
        <f t="shared" si="111"/>
        <v>-479.76389889202073</v>
      </c>
      <c r="AE160" s="1506">
        <f t="shared" si="112"/>
        <v>0.58018276443892325</v>
      </c>
      <c r="AF160" s="1506">
        <f t="shared" si="113"/>
        <v>0.3867885096259488</v>
      </c>
      <c r="AG160" s="1506">
        <f t="shared" si="114"/>
        <v>3.3028725935127907E-2</v>
      </c>
      <c r="AH160" s="1506">
        <f t="shared" si="126"/>
        <v>0</v>
      </c>
      <c r="AI160" s="1506">
        <f t="shared" si="115"/>
        <v>0</v>
      </c>
      <c r="AJ160" s="1543">
        <f t="shared" si="116"/>
        <v>1</v>
      </c>
      <c r="AK160" s="1557">
        <f t="shared" si="117"/>
        <v>13208.17777063106</v>
      </c>
      <c r="AL160" s="1558">
        <f t="shared" si="118"/>
        <v>0</v>
      </c>
      <c r="AM160" s="1558">
        <f t="shared" si="119"/>
        <v>0</v>
      </c>
      <c r="AN160" s="1558">
        <f t="shared" si="120"/>
        <v>13208.17777063106</v>
      </c>
      <c r="AO160" s="1545">
        <f t="shared" si="121"/>
        <v>0</v>
      </c>
      <c r="AV160" s="561"/>
      <c r="AW160" s="561"/>
    </row>
    <row r="161" spans="1:49">
      <c r="A161" s="127">
        <f>'Input data'!A141</f>
        <v>2041</v>
      </c>
      <c r="B161" s="1553">
        <f>'Input data'!B141</f>
        <v>71.818612994947316</v>
      </c>
      <c r="C161" s="1552">
        <f>'Input data'!C141</f>
        <v>0</v>
      </c>
      <c r="D161" s="1513">
        <f>'Input data'!D141</f>
        <v>20405559.977125086</v>
      </c>
      <c r="E161" s="527">
        <f>'Input data'!J141*C161</f>
        <v>0</v>
      </c>
      <c r="F161" s="1511">
        <f>'Input data'!L141</f>
        <v>20405.559977125085</v>
      </c>
      <c r="G161" s="1511">
        <f t="shared" si="132"/>
        <v>13687.941669523079</v>
      </c>
      <c r="H161" s="1511">
        <f t="shared" si="95"/>
        <v>5461.7022362419266</v>
      </c>
      <c r="I161" s="1513">
        <f t="shared" si="98"/>
        <v>20405.559977125085</v>
      </c>
      <c r="J161" s="1456">
        <f t="shared" si="131"/>
        <v>0.4</v>
      </c>
      <c r="K161" s="1514">
        <f t="shared" si="123"/>
        <v>6906.3079194899547</v>
      </c>
      <c r="L161" s="1514">
        <f t="shared" si="99"/>
        <v>0</v>
      </c>
      <c r="M161" s="1513">
        <f t="shared" si="124"/>
        <v>6906.3079194899547</v>
      </c>
      <c r="N161" s="1456">
        <f t="shared" si="130"/>
        <v>0.5</v>
      </c>
      <c r="O161" s="530">
        <f t="shared" si="100"/>
        <v>751.91700000000026</v>
      </c>
      <c r="P161" s="1212">
        <f t="shared" si="127"/>
        <v>7658.224919489955</v>
      </c>
      <c r="Q161" s="1366">
        <f t="shared" si="101"/>
        <v>11491.41898627505</v>
      </c>
      <c r="R161" s="1366">
        <f t="shared" si="125"/>
        <v>-2196.5226832480294</v>
      </c>
      <c r="S161" s="1516">
        <f t="shared" si="102"/>
        <v>2.9212302464873456</v>
      </c>
      <c r="T161" s="135" t="str">
        <f t="shared" si="103"/>
        <v>No</v>
      </c>
      <c r="U161" s="1516">
        <f t="shared" si="104"/>
        <v>1</v>
      </c>
      <c r="V161" s="1541">
        <f t="shared" si="96"/>
        <v>21157.476977125087</v>
      </c>
      <c r="W161" s="1542">
        <f t="shared" si="97"/>
        <v>-3.6848633452985835E-2</v>
      </c>
      <c r="X161" s="527">
        <f t="shared" si="105"/>
        <v>12243.335986275051</v>
      </c>
      <c r="Y161" s="1511">
        <f t="shared" si="106"/>
        <v>8162.2239908500342</v>
      </c>
      <c r="Z161" s="1511">
        <f t="shared" si="107"/>
        <v>751.91700000000026</v>
      </c>
      <c r="AA161" s="1511">
        <f t="shared" si="108"/>
        <v>0</v>
      </c>
      <c r="AB161" s="1511">
        <f t="shared" si="109"/>
        <v>0</v>
      </c>
      <c r="AC161" s="1511">
        <f t="shared" si="110"/>
        <v>21157.476977125087</v>
      </c>
      <c r="AD161" s="1537">
        <f t="shared" si="111"/>
        <v>-1444.6056832480281</v>
      </c>
      <c r="AE161" s="1506">
        <f t="shared" si="112"/>
        <v>0.57867655956862096</v>
      </c>
      <c r="AF161" s="1506">
        <f t="shared" si="113"/>
        <v>0.38578437304574731</v>
      </c>
      <c r="AG161" s="1506">
        <f t="shared" si="114"/>
        <v>3.5539067385631722E-2</v>
      </c>
      <c r="AH161" s="1506">
        <f t="shared" si="126"/>
        <v>0</v>
      </c>
      <c r="AI161" s="1506">
        <f t="shared" si="115"/>
        <v>0</v>
      </c>
      <c r="AJ161" s="1543">
        <f t="shared" si="116"/>
        <v>1</v>
      </c>
      <c r="AK161" s="1557">
        <f t="shared" si="117"/>
        <v>12243.335986275051</v>
      </c>
      <c r="AL161" s="1558">
        <f t="shared" si="118"/>
        <v>0</v>
      </c>
      <c r="AM161" s="1558">
        <f t="shared" si="119"/>
        <v>0</v>
      </c>
      <c r="AN161" s="1558">
        <f t="shared" si="120"/>
        <v>12243.335986275051</v>
      </c>
      <c r="AO161" s="1545">
        <f t="shared" si="121"/>
        <v>0</v>
      </c>
      <c r="AV161" s="561"/>
      <c r="AW161" s="561"/>
    </row>
    <row r="162" spans="1:49">
      <c r="A162" s="127">
        <f>'Input data'!A142</f>
        <v>2042</v>
      </c>
      <c r="B162" s="1553">
        <f>'Input data'!B142</f>
        <v>72.264673338395411</v>
      </c>
      <c r="C162" s="1552">
        <f>'Input data'!C142</f>
        <v>0</v>
      </c>
      <c r="D162" s="1513">
        <f>'Input data'!D142</f>
        <v>18797490.33653174</v>
      </c>
      <c r="E162" s="527">
        <f>'Input data'!J142*C162</f>
        <v>0</v>
      </c>
      <c r="F162" s="1511">
        <f>'Input data'!L142</f>
        <v>18797.49033653174</v>
      </c>
      <c r="G162" s="1511">
        <f t="shared" si="132"/>
        <v>13687.941669523079</v>
      </c>
      <c r="H162" s="1511">
        <f t="shared" si="95"/>
        <v>3952.6056455306425</v>
      </c>
      <c r="I162" s="1513">
        <f t="shared" si="98"/>
        <v>18797.49033653174</v>
      </c>
      <c r="J162" s="1456">
        <f t="shared" si="131"/>
        <v>0.4</v>
      </c>
      <c r="K162" s="1514">
        <f t="shared" si="123"/>
        <v>6362.0531131346797</v>
      </c>
      <c r="L162" s="1514">
        <f t="shared" si="99"/>
        <v>0</v>
      </c>
      <c r="M162" s="1513">
        <f t="shared" si="124"/>
        <v>6362.0531131346797</v>
      </c>
      <c r="N162" s="1456">
        <f t="shared" si="130"/>
        <v>0.5</v>
      </c>
      <c r="O162" s="530">
        <f t="shared" si="100"/>
        <v>751.91700000000026</v>
      </c>
      <c r="P162" s="1212">
        <f t="shared" si="127"/>
        <v>7113.9701131346801</v>
      </c>
      <c r="Q162" s="1366">
        <f t="shared" si="101"/>
        <v>10526.577201919041</v>
      </c>
      <c r="R162" s="1366">
        <f t="shared" si="125"/>
        <v>-3161.3644676040385</v>
      </c>
      <c r="S162" s="1516">
        <f t="shared" si="102"/>
        <v>4.2044061613236909</v>
      </c>
      <c r="T162" s="135" t="str">
        <f t="shared" si="103"/>
        <v>No</v>
      </c>
      <c r="U162" s="1516">
        <f t="shared" si="104"/>
        <v>1</v>
      </c>
      <c r="V162" s="1541">
        <f t="shared" si="96"/>
        <v>19549.407336531742</v>
      </c>
      <c r="W162" s="1542">
        <f t="shared" si="97"/>
        <v>-4.0000924939362692E-2</v>
      </c>
      <c r="X162" s="527">
        <f t="shared" si="105"/>
        <v>11278.494201919044</v>
      </c>
      <c r="Y162" s="1511">
        <f t="shared" si="106"/>
        <v>7518.9961346126966</v>
      </c>
      <c r="Z162" s="1511">
        <f t="shared" si="107"/>
        <v>751.91700000000026</v>
      </c>
      <c r="AA162" s="1511">
        <f t="shared" si="108"/>
        <v>0</v>
      </c>
      <c r="AB162" s="1511">
        <f t="shared" si="109"/>
        <v>0</v>
      </c>
      <c r="AC162" s="1511">
        <f t="shared" si="110"/>
        <v>19549.407336531742</v>
      </c>
      <c r="AD162" s="1537">
        <f t="shared" si="111"/>
        <v>-2409.4474676040354</v>
      </c>
      <c r="AE162" s="1506">
        <f t="shared" si="112"/>
        <v>0.57692256382847262</v>
      </c>
      <c r="AF162" s="1506">
        <f t="shared" si="113"/>
        <v>0.3846150425523151</v>
      </c>
      <c r="AG162" s="1506">
        <f t="shared" si="114"/>
        <v>3.8462393619212283E-2</v>
      </c>
      <c r="AH162" s="1506">
        <f t="shared" si="126"/>
        <v>0</v>
      </c>
      <c r="AI162" s="1506">
        <f t="shared" si="115"/>
        <v>0</v>
      </c>
      <c r="AJ162" s="1543">
        <f t="shared" si="116"/>
        <v>1</v>
      </c>
      <c r="AK162" s="1557">
        <f t="shared" si="117"/>
        <v>11278.494201919042</v>
      </c>
      <c r="AL162" s="1558">
        <f t="shared" si="118"/>
        <v>0</v>
      </c>
      <c r="AM162" s="1558">
        <f t="shared" si="119"/>
        <v>0</v>
      </c>
      <c r="AN162" s="1558">
        <f t="shared" si="120"/>
        <v>11278.494201919042</v>
      </c>
      <c r="AO162" s="1545">
        <f t="shared" si="121"/>
        <v>0</v>
      </c>
      <c r="AV162" s="561"/>
      <c r="AW162" s="561"/>
    </row>
    <row r="163" spans="1:49">
      <c r="A163" s="127">
        <f>'Input data'!A143</f>
        <v>2043</v>
      </c>
      <c r="B163" s="1553">
        <f>'Input data'!B143</f>
        <v>72.713504131197794</v>
      </c>
      <c r="C163" s="1552">
        <f>'Input data'!C143</f>
        <v>0</v>
      </c>
      <c r="D163" s="1513">
        <f>'Input data'!D143</f>
        <v>17189420.695938386</v>
      </c>
      <c r="E163" s="527">
        <f>'Input data'!J143*C163</f>
        <v>0</v>
      </c>
      <c r="F163" s="1511">
        <f>'Input data'!L143</f>
        <v>17189.420695938385</v>
      </c>
      <c r="G163" s="1511">
        <f t="shared" si="132"/>
        <v>13687.941669523079</v>
      </c>
      <c r="H163" s="1511">
        <f t="shared" si="95"/>
        <v>2443.5090548193511</v>
      </c>
      <c r="I163" s="1513">
        <f t="shared" si="98"/>
        <v>17189.420695938385</v>
      </c>
      <c r="J163" s="1456">
        <f t="shared" si="131"/>
        <v>0.4</v>
      </c>
      <c r="K163" s="1514">
        <f t="shared" si="123"/>
        <v>5817.7983067793994</v>
      </c>
      <c r="L163" s="1514">
        <f t="shared" si="99"/>
        <v>0</v>
      </c>
      <c r="M163" s="1513">
        <f t="shared" si="124"/>
        <v>5817.7983067793994</v>
      </c>
      <c r="N163" s="1456">
        <f t="shared" si="130"/>
        <v>0.5</v>
      </c>
      <c r="O163" s="530">
        <f t="shared" si="100"/>
        <v>751.91700000000026</v>
      </c>
      <c r="P163" s="1212">
        <f t="shared" si="127"/>
        <v>6569.7153067793997</v>
      </c>
      <c r="Q163" s="1366">
        <f t="shared" si="101"/>
        <v>9561.7354175630317</v>
      </c>
      <c r="R163" s="1366">
        <f t="shared" si="125"/>
        <v>-4126.2062519600477</v>
      </c>
      <c r="S163" s="1516">
        <f t="shared" si="102"/>
        <v>5.4875820761600691</v>
      </c>
      <c r="T163" s="135" t="str">
        <f t="shared" si="103"/>
        <v>No</v>
      </c>
      <c r="U163" s="1516">
        <f t="shared" si="104"/>
        <v>1</v>
      </c>
      <c r="V163" s="1541">
        <f t="shared" si="96"/>
        <v>17941.337695938386</v>
      </c>
      <c r="W163" s="1542">
        <f t="shared" si="97"/>
        <v>-4.3743009918750131E-2</v>
      </c>
      <c r="X163" s="527">
        <f t="shared" si="105"/>
        <v>10313.652417563031</v>
      </c>
      <c r="Y163" s="1511">
        <f t="shared" si="106"/>
        <v>6875.7682783753544</v>
      </c>
      <c r="Z163" s="1511">
        <f t="shared" si="107"/>
        <v>751.91700000000026</v>
      </c>
      <c r="AA163" s="1511">
        <f t="shared" si="108"/>
        <v>0</v>
      </c>
      <c r="AB163" s="1511">
        <f t="shared" si="109"/>
        <v>0</v>
      </c>
      <c r="AC163" s="1511">
        <f t="shared" si="110"/>
        <v>17941.337695938386</v>
      </c>
      <c r="AD163" s="1537">
        <f t="shared" si="111"/>
        <v>-3374.2892519600482</v>
      </c>
      <c r="AE163" s="1506">
        <f t="shared" si="112"/>
        <v>0.57485414924762646</v>
      </c>
      <c r="AF163" s="1506">
        <f t="shared" si="113"/>
        <v>0.38323609949841764</v>
      </c>
      <c r="AG163" s="1506">
        <f t="shared" si="114"/>
        <v>4.1909751253955914E-2</v>
      </c>
      <c r="AH163" s="1506">
        <f t="shared" si="126"/>
        <v>0</v>
      </c>
      <c r="AI163" s="1506">
        <f t="shared" si="115"/>
        <v>0</v>
      </c>
      <c r="AJ163" s="1543">
        <f t="shared" si="116"/>
        <v>1</v>
      </c>
      <c r="AK163" s="1557">
        <f t="shared" si="117"/>
        <v>10313.652417563031</v>
      </c>
      <c r="AL163" s="1558">
        <f t="shared" si="118"/>
        <v>0</v>
      </c>
      <c r="AM163" s="1558">
        <f t="shared" si="119"/>
        <v>0</v>
      </c>
      <c r="AN163" s="1558">
        <f t="shared" si="120"/>
        <v>10313.652417563031</v>
      </c>
      <c r="AO163" s="1545">
        <f t="shared" si="121"/>
        <v>0</v>
      </c>
      <c r="AV163" s="561"/>
      <c r="AW163" s="561"/>
    </row>
    <row r="164" spans="1:49">
      <c r="A164" s="127">
        <f>'Input data'!A144</f>
        <v>2044</v>
      </c>
      <c r="B164" s="1553">
        <f>'Input data'!B144</f>
        <v>73.165122580420132</v>
      </c>
      <c r="C164" s="1552">
        <f>'Input data'!C144</f>
        <v>0</v>
      </c>
      <c r="D164" s="1513">
        <f>'Input data'!D144</f>
        <v>15581351.055345042</v>
      </c>
      <c r="E164" s="527">
        <f>'Input data'!J144*C164</f>
        <v>0</v>
      </c>
      <c r="F164" s="1511">
        <f>'Input data'!L144</f>
        <v>15581.351055345041</v>
      </c>
      <c r="G164" s="1511">
        <f t="shared" si="132"/>
        <v>13687.941669523079</v>
      </c>
      <c r="H164" s="1511">
        <f t="shared" si="95"/>
        <v>934.41246410806889</v>
      </c>
      <c r="I164" s="1513">
        <f t="shared" si="98"/>
        <v>15581.351055345041</v>
      </c>
      <c r="J164" s="1456">
        <f t="shared" si="131"/>
        <v>0.4</v>
      </c>
      <c r="K164" s="1514">
        <f t="shared" si="123"/>
        <v>5273.5435004241244</v>
      </c>
      <c r="L164" s="1514">
        <f t="shared" si="99"/>
        <v>0</v>
      </c>
      <c r="M164" s="1513">
        <f t="shared" si="124"/>
        <v>5273.5435004241244</v>
      </c>
      <c r="N164" s="1456">
        <f t="shared" si="130"/>
        <v>0.5</v>
      </c>
      <c r="O164" s="530">
        <f t="shared" si="100"/>
        <v>751.91700000000026</v>
      </c>
      <c r="P164" s="1212">
        <f t="shared" si="127"/>
        <v>6025.4605004241248</v>
      </c>
      <c r="Q164" s="1366">
        <f t="shared" si="101"/>
        <v>8596.8936332070225</v>
      </c>
      <c r="R164" s="1366">
        <f t="shared" si="125"/>
        <v>-5091.0480363160568</v>
      </c>
      <c r="S164" s="1516">
        <f t="shared" si="102"/>
        <v>6.7707579909964108</v>
      </c>
      <c r="T164" s="135" t="str">
        <f t="shared" si="103"/>
        <v>No</v>
      </c>
      <c r="U164" s="1516">
        <f t="shared" si="104"/>
        <v>1</v>
      </c>
      <c r="V164" s="1541">
        <f t="shared" si="96"/>
        <v>16333.268055345039</v>
      </c>
      <c r="W164" s="1542">
        <f t="shared" si="97"/>
        <v>-4.8257496883882922E-2</v>
      </c>
      <c r="X164" s="527">
        <f t="shared" si="105"/>
        <v>9348.8106332070238</v>
      </c>
      <c r="Y164" s="1511">
        <f t="shared" si="106"/>
        <v>6232.5404221380168</v>
      </c>
      <c r="Z164" s="1511">
        <f t="shared" si="107"/>
        <v>751.91700000000026</v>
      </c>
      <c r="AA164" s="1511">
        <f t="shared" si="108"/>
        <v>0</v>
      </c>
      <c r="AB164" s="1511">
        <f t="shared" si="109"/>
        <v>0</v>
      </c>
      <c r="AC164" s="1511">
        <f t="shared" si="110"/>
        <v>16333.268055345039</v>
      </c>
      <c r="AD164" s="1537">
        <f t="shared" si="111"/>
        <v>-4339.1310363160555</v>
      </c>
      <c r="AE164" s="1506">
        <f t="shared" si="112"/>
        <v>0.57237844879106348</v>
      </c>
      <c r="AF164" s="1506">
        <f t="shared" si="113"/>
        <v>0.38158563252737571</v>
      </c>
      <c r="AG164" s="1506">
        <f t="shared" si="114"/>
        <v>4.6035918681560879E-2</v>
      </c>
      <c r="AH164" s="1506">
        <f t="shared" si="126"/>
        <v>0</v>
      </c>
      <c r="AI164" s="1506">
        <f t="shared" si="115"/>
        <v>0</v>
      </c>
      <c r="AJ164" s="1543">
        <f t="shared" si="116"/>
        <v>1</v>
      </c>
      <c r="AK164" s="1557">
        <f t="shared" si="117"/>
        <v>9348.8106332070238</v>
      </c>
      <c r="AL164" s="1558">
        <f t="shared" si="118"/>
        <v>0</v>
      </c>
      <c r="AM164" s="1558">
        <f t="shared" si="119"/>
        <v>0</v>
      </c>
      <c r="AN164" s="1558">
        <f t="shared" si="120"/>
        <v>9348.8106332070238</v>
      </c>
      <c r="AO164" s="1545">
        <f t="shared" si="121"/>
        <v>0</v>
      </c>
      <c r="AV164" s="561"/>
      <c r="AW164" s="561"/>
    </row>
    <row r="165" spans="1:49">
      <c r="A165" s="127">
        <f>'Input data'!A145</f>
        <v>2045</v>
      </c>
      <c r="B165" s="1553">
        <f>'Input data'!B145</f>
        <v>73.619545999999971</v>
      </c>
      <c r="C165" s="1552">
        <f>'Input data'!C145</f>
        <v>0</v>
      </c>
      <c r="D165" s="1513">
        <f>'Input data'!D145</f>
        <v>13973281.414751694</v>
      </c>
      <c r="E165" s="527">
        <f>'Input data'!J145*C165</f>
        <v>0</v>
      </c>
      <c r="F165" s="1511">
        <f>'Input data'!L145</f>
        <v>13973.281414751693</v>
      </c>
      <c r="G165" s="1511">
        <f t="shared" si="132"/>
        <v>13687.941669523079</v>
      </c>
      <c r="H165" s="1511">
        <f t="shared" si="95"/>
        <v>-574.68412660321701</v>
      </c>
      <c r="I165" s="1513">
        <f t="shared" si="98"/>
        <v>13973.281414751693</v>
      </c>
      <c r="J165" s="1456">
        <f t="shared" si="131"/>
        <v>0.4</v>
      </c>
      <c r="K165" s="1514">
        <f t="shared" si="123"/>
        <v>4729.2886940688468</v>
      </c>
      <c r="L165" s="1514">
        <f t="shared" si="99"/>
        <v>0</v>
      </c>
      <c r="M165" s="1513">
        <f t="shared" si="124"/>
        <v>4729.2886940688468</v>
      </c>
      <c r="N165" s="1456">
        <f t="shared" si="130"/>
        <v>0.5</v>
      </c>
      <c r="O165" s="530">
        <f t="shared" si="100"/>
        <v>751.91700000000026</v>
      </c>
      <c r="P165" s="1212">
        <f t="shared" si="127"/>
        <v>5481.2056940688472</v>
      </c>
      <c r="Q165" s="1366">
        <f t="shared" si="101"/>
        <v>7632.0518488510152</v>
      </c>
      <c r="R165" s="1366">
        <f t="shared" si="125"/>
        <v>-6055.8898206720642</v>
      </c>
      <c r="S165" s="1516">
        <f t="shared" si="102"/>
        <v>8.0539339058327819</v>
      </c>
      <c r="T165" s="135" t="str">
        <f t="shared" si="103"/>
        <v>No</v>
      </c>
      <c r="U165" s="1516">
        <f t="shared" si="104"/>
        <v>1</v>
      </c>
      <c r="V165" s="1541">
        <f t="shared" si="96"/>
        <v>14725.198414751691</v>
      </c>
      <c r="W165" s="1542">
        <f t="shared" si="97"/>
        <v>-5.3811053945152398E-2</v>
      </c>
      <c r="X165" s="527">
        <f t="shared" si="105"/>
        <v>8383.9688488510146</v>
      </c>
      <c r="Y165" s="1511">
        <f t="shared" si="106"/>
        <v>5589.3125659006773</v>
      </c>
      <c r="Z165" s="1511">
        <f t="shared" si="107"/>
        <v>751.91700000000026</v>
      </c>
      <c r="AA165" s="1511">
        <f t="shared" si="108"/>
        <v>0</v>
      </c>
      <c r="AB165" s="1511">
        <f t="shared" si="109"/>
        <v>0</v>
      </c>
      <c r="AC165" s="1511">
        <f t="shared" si="110"/>
        <v>14725.198414751691</v>
      </c>
      <c r="AD165" s="1537">
        <f t="shared" si="111"/>
        <v>-5303.9728206720647</v>
      </c>
      <c r="AE165" s="1506">
        <f t="shared" si="112"/>
        <v>0.56936202913584932</v>
      </c>
      <c r="AF165" s="1506">
        <f t="shared" si="113"/>
        <v>0.37957468609056627</v>
      </c>
      <c r="AG165" s="1506">
        <f t="shared" si="114"/>
        <v>5.1063284773584475E-2</v>
      </c>
      <c r="AH165" s="1506">
        <f t="shared" si="126"/>
        <v>0</v>
      </c>
      <c r="AI165" s="1506">
        <f t="shared" si="115"/>
        <v>0</v>
      </c>
      <c r="AJ165" s="1543">
        <f t="shared" si="116"/>
        <v>1.0000000000000002</v>
      </c>
      <c r="AK165" s="1557">
        <f t="shared" si="117"/>
        <v>8383.9688488510146</v>
      </c>
      <c r="AL165" s="1558">
        <f t="shared" si="118"/>
        <v>0</v>
      </c>
      <c r="AM165" s="1558">
        <f t="shared" si="119"/>
        <v>0</v>
      </c>
      <c r="AN165" s="1558">
        <f t="shared" si="120"/>
        <v>8383.9688488510146</v>
      </c>
      <c r="AO165" s="1545">
        <f t="shared" si="121"/>
        <v>0</v>
      </c>
      <c r="AV165" s="561"/>
      <c r="AW165" s="561"/>
    </row>
    <row r="166" spans="1:49">
      <c r="A166" s="127">
        <f>'Input data'!A146</f>
        <v>2046</v>
      </c>
      <c r="B166" s="1553">
        <f>'Input data'!B146</f>
        <v>73.995362001779526</v>
      </c>
      <c r="C166" s="1552">
        <f>'Input data'!C146</f>
        <v>0</v>
      </c>
      <c r="D166" s="1513">
        <f>'Input data'!D146</f>
        <v>11178944.368399095</v>
      </c>
      <c r="E166" s="527">
        <f>'Input data'!J146*C166</f>
        <v>0</v>
      </c>
      <c r="F166" s="1511">
        <f>'Input data'!L146</f>
        <v>11178.944368399094</v>
      </c>
      <c r="G166" s="1511">
        <f t="shared" si="132"/>
        <v>13687.941669523079</v>
      </c>
      <c r="H166" s="1511">
        <f t="shared" si="95"/>
        <v>-3197.0360468801173</v>
      </c>
      <c r="I166" s="1513">
        <f t="shared" si="98"/>
        <v>11178.944368399094</v>
      </c>
      <c r="J166" s="1456">
        <f t="shared" si="131"/>
        <v>0.4</v>
      </c>
      <c r="K166" s="1514">
        <f t="shared" si="123"/>
        <v>3783.5390016035058</v>
      </c>
      <c r="L166" s="1514">
        <f t="shared" si="99"/>
        <v>0</v>
      </c>
      <c r="M166" s="1513">
        <f t="shared" si="124"/>
        <v>3783.5390016035058</v>
      </c>
      <c r="N166" s="1456">
        <f t="shared" si="130"/>
        <v>0.5</v>
      </c>
      <c r="O166" s="530">
        <f t="shared" si="100"/>
        <v>751.91700000000026</v>
      </c>
      <c r="P166" s="1212">
        <f t="shared" si="127"/>
        <v>4535.4560016035057</v>
      </c>
      <c r="Q166" s="1366">
        <f t="shared" si="101"/>
        <v>5955.4496210394564</v>
      </c>
      <c r="R166" s="1366">
        <f t="shared" si="125"/>
        <v>-7732.492048483623</v>
      </c>
      <c r="S166" s="1516">
        <f t="shared" si="102"/>
        <v>10.283704249915388</v>
      </c>
      <c r="T166" s="135" t="str">
        <f t="shared" si="103"/>
        <v>No</v>
      </c>
      <c r="U166" s="1516">
        <f t="shared" si="104"/>
        <v>1</v>
      </c>
      <c r="V166" s="1541">
        <f t="shared" si="96"/>
        <v>11930.861368399093</v>
      </c>
      <c r="W166" s="1542">
        <f t="shared" si="97"/>
        <v>-6.7261896581714442E-2</v>
      </c>
      <c r="X166" s="527">
        <f t="shared" si="105"/>
        <v>6707.3666210394558</v>
      </c>
      <c r="Y166" s="1511">
        <f t="shared" si="106"/>
        <v>4471.5777473596381</v>
      </c>
      <c r="Z166" s="1511">
        <f t="shared" si="107"/>
        <v>751.91700000000026</v>
      </c>
      <c r="AA166" s="1511">
        <f t="shared" si="108"/>
        <v>0</v>
      </c>
      <c r="AB166" s="1511">
        <f t="shared" si="109"/>
        <v>0</v>
      </c>
      <c r="AC166" s="1511">
        <f t="shared" si="110"/>
        <v>11930.861368399093</v>
      </c>
      <c r="AD166" s="1537">
        <f t="shared" si="111"/>
        <v>-6980.5750484836235</v>
      </c>
      <c r="AE166" s="1506">
        <f t="shared" si="112"/>
        <v>0.56218628428665274</v>
      </c>
      <c r="AF166" s="1506">
        <f t="shared" si="113"/>
        <v>0.37479085619110192</v>
      </c>
      <c r="AG166" s="1506">
        <f t="shared" si="114"/>
        <v>6.3022859522245372E-2</v>
      </c>
      <c r="AH166" s="1506">
        <f t="shared" si="126"/>
        <v>0</v>
      </c>
      <c r="AI166" s="1506">
        <f t="shared" si="115"/>
        <v>0</v>
      </c>
      <c r="AJ166" s="1543">
        <f t="shared" si="116"/>
        <v>1</v>
      </c>
      <c r="AK166" s="1557">
        <f t="shared" si="117"/>
        <v>6707.3666210394567</v>
      </c>
      <c r="AL166" s="1558">
        <f t="shared" si="118"/>
        <v>0</v>
      </c>
      <c r="AM166" s="1558">
        <f t="shared" si="119"/>
        <v>0</v>
      </c>
      <c r="AN166" s="1558">
        <f t="shared" si="120"/>
        <v>6707.3666210394567</v>
      </c>
      <c r="AO166" s="1545">
        <f t="shared" si="121"/>
        <v>0</v>
      </c>
      <c r="AV166" s="561"/>
      <c r="AW166" s="561"/>
    </row>
    <row r="167" spans="1:49">
      <c r="A167" s="127">
        <f>'Input data'!A147</f>
        <v>2047</v>
      </c>
      <c r="B167" s="1553">
        <f>'Input data'!B147</f>
        <v>74.373096484110363</v>
      </c>
      <c r="C167" s="1552">
        <f>'Input data'!C147</f>
        <v>0</v>
      </c>
      <c r="D167" s="1513">
        <f>'Input data'!D147</f>
        <v>8384607.3220464904</v>
      </c>
      <c r="E167" s="527">
        <f>'Input data'!J147*C167</f>
        <v>0</v>
      </c>
      <c r="F167" s="1511">
        <f>'Input data'!L147</f>
        <v>8384.6073220464896</v>
      </c>
      <c r="G167" s="1511">
        <f t="shared" si="132"/>
        <v>13687.941669523079</v>
      </c>
      <c r="H167" s="1511">
        <f t="shared" si="95"/>
        <v>-5819.387967157023</v>
      </c>
      <c r="I167" s="1513">
        <f t="shared" si="98"/>
        <v>8384.6073220464896</v>
      </c>
      <c r="J167" s="1456">
        <f t="shared" si="131"/>
        <v>0.4</v>
      </c>
      <c r="K167" s="1514">
        <f t="shared" si="123"/>
        <v>2837.7893091381629</v>
      </c>
      <c r="L167" s="1514">
        <f t="shared" si="99"/>
        <v>0</v>
      </c>
      <c r="M167" s="1513">
        <f t="shared" si="124"/>
        <v>2837.7893091381629</v>
      </c>
      <c r="N167" s="1456">
        <f t="shared" si="130"/>
        <v>0.5</v>
      </c>
      <c r="O167" s="530">
        <f t="shared" si="100"/>
        <v>751.91700000000026</v>
      </c>
      <c r="P167" s="1212">
        <f t="shared" si="127"/>
        <v>3589.7063091381633</v>
      </c>
      <c r="Q167" s="1366">
        <f t="shared" si="101"/>
        <v>4278.847393227893</v>
      </c>
      <c r="R167" s="1366">
        <f t="shared" si="125"/>
        <v>-9409.0942762951854</v>
      </c>
      <c r="S167" s="1516">
        <f t="shared" si="102"/>
        <v>12.513474593997982</v>
      </c>
      <c r="T167" s="135" t="str">
        <f t="shared" si="103"/>
        <v>No</v>
      </c>
      <c r="U167" s="1516">
        <f t="shared" si="104"/>
        <v>1</v>
      </c>
      <c r="V167" s="1541">
        <f t="shared" si="96"/>
        <v>9136.524322046489</v>
      </c>
      <c r="W167" s="1542">
        <f t="shared" si="97"/>
        <v>-8.9678260545715593E-2</v>
      </c>
      <c r="X167" s="527">
        <f t="shared" si="105"/>
        <v>5030.7643932278934</v>
      </c>
      <c r="Y167" s="1511">
        <f t="shared" si="106"/>
        <v>3353.8429288185962</v>
      </c>
      <c r="Z167" s="1511">
        <f t="shared" si="107"/>
        <v>751.91700000000026</v>
      </c>
      <c r="AA167" s="1511">
        <f t="shared" si="108"/>
        <v>0</v>
      </c>
      <c r="AB167" s="1511">
        <f t="shared" si="109"/>
        <v>0</v>
      </c>
      <c r="AC167" s="1511">
        <f t="shared" si="110"/>
        <v>9136.524322046489</v>
      </c>
      <c r="AD167" s="1537">
        <f t="shared" si="111"/>
        <v>-8657.1772762951859</v>
      </c>
      <c r="AE167" s="1506">
        <f t="shared" si="112"/>
        <v>0.5506212445676556</v>
      </c>
      <c r="AF167" s="1506">
        <f t="shared" si="113"/>
        <v>0.36708082971177047</v>
      </c>
      <c r="AG167" s="1506">
        <f t="shared" si="114"/>
        <v>8.2297925720574067E-2</v>
      </c>
      <c r="AH167" s="1506">
        <f t="shared" si="126"/>
        <v>0</v>
      </c>
      <c r="AI167" s="1506">
        <f t="shared" si="115"/>
        <v>0</v>
      </c>
      <c r="AJ167" s="1543">
        <f t="shared" si="116"/>
        <v>1.0000000000000002</v>
      </c>
      <c r="AK167" s="1557">
        <f t="shared" si="117"/>
        <v>5030.7643932278934</v>
      </c>
      <c r="AL167" s="1558">
        <f t="shared" si="118"/>
        <v>0</v>
      </c>
      <c r="AM167" s="1558">
        <f t="shared" si="119"/>
        <v>0</v>
      </c>
      <c r="AN167" s="1558">
        <f t="shared" si="120"/>
        <v>5030.7643932278934</v>
      </c>
      <c r="AO167" s="1545">
        <f t="shared" si="121"/>
        <v>0</v>
      </c>
      <c r="AV167" s="561"/>
      <c r="AW167" s="561"/>
    </row>
    <row r="168" spans="1:49">
      <c r="A168" s="127">
        <f>'Input data'!A148</f>
        <v>2048</v>
      </c>
      <c r="B168" s="1553">
        <f>'Input data'!B148</f>
        <v>74.752759240528661</v>
      </c>
      <c r="C168" s="1552">
        <f>'Input data'!C148</f>
        <v>0</v>
      </c>
      <c r="D168" s="1513">
        <f>'Input data'!D148</f>
        <v>5590270.2756938878</v>
      </c>
      <c r="E168" s="527">
        <f>'Input data'!J148*C168</f>
        <v>0</v>
      </c>
      <c r="F168" s="1511">
        <f>'Input data'!L148</f>
        <v>5590.2702756938879</v>
      </c>
      <c r="G168" s="1511">
        <f t="shared" si="132"/>
        <v>13687.941669523079</v>
      </c>
      <c r="H168" s="1511">
        <f t="shared" si="95"/>
        <v>-8441.7398874339269</v>
      </c>
      <c r="I168" s="1513">
        <f t="shared" si="98"/>
        <v>5590.2702756938879</v>
      </c>
      <c r="J168" s="1456">
        <f t="shared" si="131"/>
        <v>0.4</v>
      </c>
      <c r="K168" s="1514">
        <f t="shared" si="123"/>
        <v>1892.0396166728203</v>
      </c>
      <c r="L168" s="1514">
        <f t="shared" si="99"/>
        <v>0</v>
      </c>
      <c r="M168" s="1513">
        <f t="shared" si="124"/>
        <v>1892.0396166728203</v>
      </c>
      <c r="N168" s="1456">
        <f t="shared" si="130"/>
        <v>0.5</v>
      </c>
      <c r="O168" s="530">
        <f t="shared" si="100"/>
        <v>751.91700000000026</v>
      </c>
      <c r="P168" s="1212">
        <f t="shared" si="127"/>
        <v>2643.9566166728205</v>
      </c>
      <c r="Q168" s="1366">
        <f t="shared" si="101"/>
        <v>2602.2451654163328</v>
      </c>
      <c r="R168" s="1366">
        <f t="shared" si="125"/>
        <v>-11085.696504106747</v>
      </c>
      <c r="S168" s="1516">
        <f t="shared" si="102"/>
        <v>14.743244938080597</v>
      </c>
      <c r="T168" s="135" t="str">
        <f t="shared" si="103"/>
        <v>No</v>
      </c>
      <c r="U168" s="1516">
        <f t="shared" si="104"/>
        <v>1</v>
      </c>
      <c r="V168" s="1541">
        <f t="shared" si="96"/>
        <v>6342.1872756938883</v>
      </c>
      <c r="W168" s="1542">
        <f t="shared" si="97"/>
        <v>-0.13450458795691578</v>
      </c>
      <c r="X168" s="527">
        <f t="shared" si="105"/>
        <v>3354.1621654163328</v>
      </c>
      <c r="Y168" s="1511">
        <f t="shared" si="106"/>
        <v>2236.1081102775552</v>
      </c>
      <c r="Z168" s="1511">
        <f t="shared" si="107"/>
        <v>751.91700000000026</v>
      </c>
      <c r="AA168" s="1511">
        <f t="shared" si="108"/>
        <v>0</v>
      </c>
      <c r="AB168" s="1511">
        <f t="shared" si="109"/>
        <v>0</v>
      </c>
      <c r="AC168" s="1511">
        <f t="shared" si="110"/>
        <v>6342.1872756938883</v>
      </c>
      <c r="AD168" s="1537">
        <f t="shared" si="111"/>
        <v>-10333.779504106747</v>
      </c>
      <c r="AE168" s="1506">
        <f t="shared" si="112"/>
        <v>0.52886520369257928</v>
      </c>
      <c r="AF168" s="1506">
        <f t="shared" si="113"/>
        <v>0.35257680246171952</v>
      </c>
      <c r="AG168" s="1506">
        <f t="shared" si="114"/>
        <v>0.11855799384570116</v>
      </c>
      <c r="AH168" s="1506">
        <f t="shared" si="126"/>
        <v>0</v>
      </c>
      <c r="AI168" s="1506">
        <f t="shared" si="115"/>
        <v>0</v>
      </c>
      <c r="AJ168" s="1543">
        <f t="shared" si="116"/>
        <v>1</v>
      </c>
      <c r="AK168" s="1557">
        <f t="shared" si="117"/>
        <v>3354.1621654163328</v>
      </c>
      <c r="AL168" s="1558">
        <f t="shared" si="118"/>
        <v>0</v>
      </c>
      <c r="AM168" s="1558">
        <f t="shared" si="119"/>
        <v>0</v>
      </c>
      <c r="AN168" s="1558">
        <f t="shared" si="120"/>
        <v>3354.1621654163328</v>
      </c>
      <c r="AO168" s="1545">
        <f t="shared" si="121"/>
        <v>0</v>
      </c>
      <c r="AV168" s="561"/>
      <c r="AW168" s="561"/>
    </row>
    <row r="169" spans="1:49">
      <c r="A169" s="127">
        <f>'Input data'!A149</f>
        <v>2049</v>
      </c>
      <c r="B169" s="662">
        <f>'Input data'!B149</f>
        <v>75.134360114565098</v>
      </c>
      <c r="C169" s="236">
        <f>'Input data'!C149</f>
        <v>0</v>
      </c>
      <c r="D169" s="1513">
        <f>'Input data'!D149</f>
        <v>2795933.2293412867</v>
      </c>
      <c r="E169" s="527">
        <f>'Input data'!J149*C169</f>
        <v>0</v>
      </c>
      <c r="F169" s="528">
        <f>'Input data'!L149</f>
        <v>2795.9332293412867</v>
      </c>
      <c r="G169" s="528">
        <f t="shared" si="132"/>
        <v>13687.941669523079</v>
      </c>
      <c r="H169" s="528">
        <f t="shared" si="95"/>
        <v>-11064.091807710829</v>
      </c>
      <c r="I169" s="530">
        <f t="shared" si="98"/>
        <v>2795.9332293412867</v>
      </c>
      <c r="J169" s="649">
        <f t="shared" si="131"/>
        <v>0.4</v>
      </c>
      <c r="K169" s="775">
        <f t="shared" si="123"/>
        <v>946.28992420747863</v>
      </c>
      <c r="L169" s="775">
        <f t="shared" si="99"/>
        <v>0</v>
      </c>
      <c r="M169" s="530">
        <f t="shared" si="124"/>
        <v>946.28992420747863</v>
      </c>
      <c r="N169" s="649">
        <f t="shared" si="130"/>
        <v>0.5</v>
      </c>
      <c r="O169" s="530">
        <f t="shared" si="100"/>
        <v>751.91700000000026</v>
      </c>
      <c r="P169" s="1212">
        <f t="shared" si="127"/>
        <v>1698.206924207479</v>
      </c>
      <c r="Q169" s="1366">
        <f t="shared" si="101"/>
        <v>925.6429376047713</v>
      </c>
      <c r="R169" s="1366">
        <f t="shared" si="125"/>
        <v>-12762.298731918308</v>
      </c>
      <c r="S169" s="1516">
        <f t="shared" si="102"/>
        <v>16.973015282163189</v>
      </c>
      <c r="T169" s="135" t="str">
        <f t="shared" si="103"/>
        <v>No</v>
      </c>
      <c r="U169" s="1516">
        <f t="shared" si="104"/>
        <v>1</v>
      </c>
      <c r="V169" s="1541">
        <f t="shared" si="96"/>
        <v>3547.8502293412871</v>
      </c>
      <c r="W169" s="1542">
        <f t="shared" si="97"/>
        <v>-0.2689323879802199</v>
      </c>
      <c r="X169" s="527">
        <f t="shared" si="105"/>
        <v>1677.5599376047719</v>
      </c>
      <c r="Y169" s="1511">
        <f t="shared" si="106"/>
        <v>1118.3732917365148</v>
      </c>
      <c r="Z169" s="1511">
        <f t="shared" si="107"/>
        <v>751.91700000000026</v>
      </c>
      <c r="AA169" s="1511">
        <f t="shared" si="108"/>
        <v>0</v>
      </c>
      <c r="AB169" s="1511">
        <f t="shared" si="109"/>
        <v>0</v>
      </c>
      <c r="AC169" s="1511">
        <f t="shared" si="110"/>
        <v>3547.8502293412871</v>
      </c>
      <c r="AD169" s="1537">
        <f t="shared" si="111"/>
        <v>-12010.381731918307</v>
      </c>
      <c r="AE169" s="1506">
        <f t="shared" si="112"/>
        <v>0.47283843149045124</v>
      </c>
      <c r="AF169" s="1506">
        <f t="shared" si="113"/>
        <v>0.31522562099363421</v>
      </c>
      <c r="AG169" s="1506">
        <f t="shared" si="114"/>
        <v>0.21193594751591449</v>
      </c>
      <c r="AH169" s="1506">
        <f t="shared" si="126"/>
        <v>0</v>
      </c>
      <c r="AI169" s="1506">
        <f t="shared" si="115"/>
        <v>0</v>
      </c>
      <c r="AJ169" s="1543">
        <f t="shared" si="116"/>
        <v>0.99999999999999989</v>
      </c>
      <c r="AK169" s="1557">
        <f t="shared" si="117"/>
        <v>1677.5599376047717</v>
      </c>
      <c r="AL169" s="1558">
        <f t="shared" si="118"/>
        <v>0</v>
      </c>
      <c r="AM169" s="1558">
        <f t="shared" si="119"/>
        <v>0</v>
      </c>
      <c r="AN169" s="1558">
        <f t="shared" si="120"/>
        <v>1677.5599376047717</v>
      </c>
      <c r="AO169" s="1545">
        <f t="shared" si="121"/>
        <v>0</v>
      </c>
      <c r="AV169" s="561"/>
      <c r="AW169" s="561"/>
    </row>
    <row r="170" spans="1:49" ht="15.75" thickBot="1">
      <c r="A170" s="172">
        <f>'Input data'!A150</f>
        <v>2050</v>
      </c>
      <c r="B170" s="664">
        <f>'Input data'!B150</f>
        <v>75.517908999999989</v>
      </c>
      <c r="C170" s="239">
        <f>'Input data'!C150</f>
        <v>0</v>
      </c>
      <c r="D170" s="1522">
        <f>'Input data'!D150</f>
        <v>1596.1829886855978</v>
      </c>
      <c r="E170" s="670">
        <f>'Input data'!J150*C170</f>
        <v>0</v>
      </c>
      <c r="F170" s="667">
        <f>'Input data'!L150</f>
        <v>1.5961829886855978</v>
      </c>
      <c r="G170" s="667">
        <f t="shared" si="132"/>
        <v>13687.941669523079</v>
      </c>
      <c r="H170" s="667">
        <f t="shared" si="95"/>
        <v>-13686.443727987731</v>
      </c>
      <c r="I170" s="659">
        <f t="shared" si="98"/>
        <v>1.5961829886855978</v>
      </c>
      <c r="J170" s="650">
        <f t="shared" si="131"/>
        <v>0.4</v>
      </c>
      <c r="K170" s="667">
        <f t="shared" si="123"/>
        <v>0.54023174213656699</v>
      </c>
      <c r="L170" s="667">
        <f t="shared" si="99"/>
        <v>0</v>
      </c>
      <c r="M170" s="659">
        <f t="shared" si="124"/>
        <v>0.54023174213656699</v>
      </c>
      <c r="N170" s="650">
        <f t="shared" si="130"/>
        <v>0.5</v>
      </c>
      <c r="O170" s="659">
        <f t="shared" si="100"/>
        <v>751.91700000000026</v>
      </c>
      <c r="P170" s="1701">
        <f t="shared" si="127"/>
        <v>752.45723174213686</v>
      </c>
      <c r="Q170" s="1487">
        <f t="shared" si="101"/>
        <v>-750.95929020678898</v>
      </c>
      <c r="R170" s="1487">
        <f t="shared" si="125"/>
        <v>-14438.900959729868</v>
      </c>
      <c r="S170" s="1525">
        <f t="shared" si="102"/>
        <v>19.202785626245799</v>
      </c>
      <c r="T170" s="1105" t="str">
        <f t="shared" si="103"/>
        <v>No</v>
      </c>
      <c r="U170" s="1525">
        <f t="shared" si="104"/>
        <v>1</v>
      </c>
      <c r="V170" s="1546">
        <f t="shared" si="96"/>
        <v>753.5131829886858</v>
      </c>
      <c r="W170" s="1547">
        <f t="shared" si="97"/>
        <v>-471.07192930252825</v>
      </c>
      <c r="X170" s="670">
        <f t="shared" si="105"/>
        <v>0.95770979321135863</v>
      </c>
      <c r="Y170" s="1520">
        <f t="shared" si="106"/>
        <v>0.6384731954742392</v>
      </c>
      <c r="Z170" s="1520">
        <f t="shared" si="107"/>
        <v>751.91700000000026</v>
      </c>
      <c r="AA170" s="1520">
        <f t="shared" si="108"/>
        <v>0</v>
      </c>
      <c r="AB170" s="1520">
        <f t="shared" si="109"/>
        <v>0</v>
      </c>
      <c r="AC170" s="1520">
        <f t="shared" si="110"/>
        <v>753.5131829886858</v>
      </c>
      <c r="AD170" s="1548">
        <f t="shared" si="111"/>
        <v>-13686.983959729869</v>
      </c>
      <c r="AE170" s="1523">
        <f t="shared" si="112"/>
        <v>1.2709927508006704E-3</v>
      </c>
      <c r="AF170" s="1523">
        <f t="shared" si="113"/>
        <v>8.4732850053378039E-4</v>
      </c>
      <c r="AG170" s="1523">
        <f t="shared" si="114"/>
        <v>0.99788167874866562</v>
      </c>
      <c r="AH170" s="1523">
        <f t="shared" si="126"/>
        <v>0</v>
      </c>
      <c r="AI170" s="1523">
        <f>AB170/AC170</f>
        <v>0</v>
      </c>
      <c r="AJ170" s="1549">
        <f t="shared" si="116"/>
        <v>1</v>
      </c>
      <c r="AK170" s="1641">
        <f t="shared" si="117"/>
        <v>0.95770979321135852</v>
      </c>
      <c r="AL170" s="1642">
        <f t="shared" si="118"/>
        <v>0</v>
      </c>
      <c r="AM170" s="1642">
        <f t="shared" si="119"/>
        <v>0</v>
      </c>
      <c r="AN170" s="1642">
        <f t="shared" si="120"/>
        <v>0.95770979321135852</v>
      </c>
      <c r="AO170" s="1550">
        <f t="shared" si="121"/>
        <v>0</v>
      </c>
      <c r="AV170" s="561"/>
      <c r="AW170" s="561"/>
    </row>
    <row r="171" spans="1:49">
      <c r="F171" s="721"/>
      <c r="G171" s="721"/>
      <c r="S171" s="104"/>
      <c r="T171" s="1087"/>
    </row>
    <row r="172" spans="1:49" ht="23.25">
      <c r="A172" s="686" t="s">
        <v>664</v>
      </c>
    </row>
    <row r="173" spans="1:49" ht="24" thickBot="1">
      <c r="A173" s="686"/>
    </row>
    <row r="174" spans="1:49" ht="21.6" customHeight="1" thickBot="1">
      <c r="A174" s="1874" t="s">
        <v>602</v>
      </c>
      <c r="B174" s="1875"/>
      <c r="C174" s="1875"/>
      <c r="D174" s="1876"/>
      <c r="E174" s="1806" t="s">
        <v>603</v>
      </c>
      <c r="F174" s="1807"/>
      <c r="G174" s="1807"/>
      <c r="H174" s="1807"/>
      <c r="I174" s="1808"/>
      <c r="J174" s="1823" t="s">
        <v>604</v>
      </c>
      <c r="K174" s="1824"/>
      <c r="L174" s="1825"/>
      <c r="M174" s="1826" t="s">
        <v>764</v>
      </c>
      <c r="N174" s="1809" t="s">
        <v>607</v>
      </c>
      <c r="O174" s="1898"/>
      <c r="P174" s="1896" t="s">
        <v>594</v>
      </c>
      <c r="Q174" s="1815" t="s">
        <v>772</v>
      </c>
      <c r="R174" s="1815" t="s">
        <v>775</v>
      </c>
      <c r="S174" s="1815" t="s">
        <v>774</v>
      </c>
      <c r="T174" s="1839" t="s">
        <v>776</v>
      </c>
      <c r="U174" s="1837" t="s">
        <v>777</v>
      </c>
      <c r="V174" s="1813" t="s">
        <v>767</v>
      </c>
      <c r="W174" s="1835" t="s">
        <v>768</v>
      </c>
      <c r="X174" s="1930" t="s">
        <v>592</v>
      </c>
      <c r="Y174" s="1847"/>
      <c r="Z174" s="1847"/>
      <c r="AA174" s="1847"/>
      <c r="AB174" s="1847"/>
      <c r="AC174" s="1847"/>
      <c r="AD174" s="1847"/>
      <c r="AE174" s="1847"/>
      <c r="AF174" s="1847"/>
      <c r="AG174" s="1847"/>
      <c r="AH174" s="1847"/>
      <c r="AI174" s="1847"/>
      <c r="AJ174" s="1847"/>
      <c r="AK174" s="1914" t="s">
        <v>730</v>
      </c>
      <c r="AL174" s="1915"/>
      <c r="AM174" s="1915"/>
      <c r="AN174" s="1915"/>
      <c r="AO174" s="1916"/>
    </row>
    <row r="175" spans="1:49" ht="37.9" customHeight="1">
      <c r="A175" s="1869" t="s">
        <v>217</v>
      </c>
      <c r="B175" s="703" t="s">
        <v>218</v>
      </c>
      <c r="C175" s="703" t="s">
        <v>390</v>
      </c>
      <c r="D175" s="469" t="s">
        <v>630</v>
      </c>
      <c r="E175" s="704" t="s">
        <v>786</v>
      </c>
      <c r="F175" s="704" t="s">
        <v>787</v>
      </c>
      <c r="G175" s="704" t="s">
        <v>771</v>
      </c>
      <c r="H175" s="705" t="s">
        <v>597</v>
      </c>
      <c r="I175" s="705" t="s">
        <v>626</v>
      </c>
      <c r="J175" s="1463" t="s">
        <v>326</v>
      </c>
      <c r="K175" s="1463" t="s">
        <v>765</v>
      </c>
      <c r="L175" s="706" t="s">
        <v>766</v>
      </c>
      <c r="M175" s="1827"/>
      <c r="N175" s="508" t="s">
        <v>605</v>
      </c>
      <c r="O175" s="559" t="s">
        <v>606</v>
      </c>
      <c r="P175" s="1897"/>
      <c r="Q175" s="1816"/>
      <c r="R175" s="1816"/>
      <c r="S175" s="1816"/>
      <c r="T175" s="1840"/>
      <c r="U175" s="1838"/>
      <c r="V175" s="1814"/>
      <c r="W175" s="1836"/>
      <c r="X175" s="1466" t="s">
        <v>473</v>
      </c>
      <c r="Y175" s="1467" t="s">
        <v>489</v>
      </c>
      <c r="Z175" s="1638" t="s">
        <v>814</v>
      </c>
      <c r="AA175" s="1467" t="s">
        <v>377</v>
      </c>
      <c r="AB175" s="1467" t="s">
        <v>477</v>
      </c>
      <c r="AC175" s="1467" t="s">
        <v>225</v>
      </c>
      <c r="AD175" s="713" t="s">
        <v>617</v>
      </c>
      <c r="AE175" s="1092" t="s">
        <v>473</v>
      </c>
      <c r="AF175" s="1467" t="s">
        <v>489</v>
      </c>
      <c r="AG175" s="1638" t="s">
        <v>814</v>
      </c>
      <c r="AH175" s="1467" t="s">
        <v>377</v>
      </c>
      <c r="AI175" s="1467" t="s">
        <v>477</v>
      </c>
      <c r="AJ175" s="718" t="s">
        <v>225</v>
      </c>
      <c r="AK175" s="189" t="s">
        <v>731</v>
      </c>
      <c r="AL175" s="712" t="s">
        <v>493</v>
      </c>
      <c r="AM175" s="712" t="s">
        <v>732</v>
      </c>
      <c r="AN175" s="712" t="s">
        <v>225</v>
      </c>
      <c r="AO175" s="1185" t="s">
        <v>617</v>
      </c>
    </row>
    <row r="176" spans="1:49" ht="36" customHeight="1" thickBot="1">
      <c r="A176" s="1863"/>
      <c r="B176" s="1126" t="s">
        <v>232</v>
      </c>
      <c r="C176" s="1127" t="s">
        <v>482</v>
      </c>
      <c r="D176" s="1128" t="s">
        <v>480</v>
      </c>
      <c r="E176" s="1129" t="s">
        <v>228</v>
      </c>
      <c r="F176" s="1129" t="s">
        <v>228</v>
      </c>
      <c r="G176" s="1129" t="s">
        <v>228</v>
      </c>
      <c r="H176" s="1481" t="str">
        <f>G176</f>
        <v>Gg</v>
      </c>
      <c r="I176" s="1129" t="s">
        <v>228</v>
      </c>
      <c r="J176" s="707" t="s">
        <v>229</v>
      </c>
      <c r="K176" s="1114" t="s">
        <v>228</v>
      </c>
      <c r="L176" s="1114" t="s">
        <v>228</v>
      </c>
      <c r="M176" s="1114" t="s">
        <v>228</v>
      </c>
      <c r="N176" s="688" t="s">
        <v>229</v>
      </c>
      <c r="O176" s="690" t="s">
        <v>228</v>
      </c>
      <c r="P176" s="1115" t="s">
        <v>228</v>
      </c>
      <c r="Q176" s="1116" t="s">
        <v>228</v>
      </c>
      <c r="R176" s="1116" t="s">
        <v>228</v>
      </c>
      <c r="S176" s="1117" t="s">
        <v>28</v>
      </c>
      <c r="T176" s="1840"/>
      <c r="U176" s="1117" t="s">
        <v>28</v>
      </c>
      <c r="V176" s="1116" t="s">
        <v>228</v>
      </c>
      <c r="W176" s="1498" t="s">
        <v>28</v>
      </c>
      <c r="X176" s="191" t="s">
        <v>228</v>
      </c>
      <c r="Y176" s="1095" t="s">
        <v>228</v>
      </c>
      <c r="Z176" s="1095" t="s">
        <v>228</v>
      </c>
      <c r="AA176" s="1095" t="s">
        <v>228</v>
      </c>
      <c r="AB176" s="1095" t="s">
        <v>228</v>
      </c>
      <c r="AC176" s="1095" t="s">
        <v>228</v>
      </c>
      <c r="AD176" s="1096" t="s">
        <v>769</v>
      </c>
      <c r="AE176" s="1093" t="s">
        <v>229</v>
      </c>
      <c r="AF176" s="711" t="s">
        <v>229</v>
      </c>
      <c r="AG176" s="711" t="s">
        <v>229</v>
      </c>
      <c r="AH176" s="711" t="s">
        <v>229</v>
      </c>
      <c r="AI176" s="711" t="s">
        <v>229</v>
      </c>
      <c r="AJ176" s="1178" t="s">
        <v>229</v>
      </c>
      <c r="AK176" s="191" t="s">
        <v>228</v>
      </c>
      <c r="AL176" s="1095" t="s">
        <v>228</v>
      </c>
      <c r="AM176" s="1095" t="s">
        <v>228</v>
      </c>
      <c r="AN176" s="1095" t="s">
        <v>228</v>
      </c>
      <c r="AO176" s="1096" t="s">
        <v>590</v>
      </c>
    </row>
    <row r="177" spans="1:41">
      <c r="A177" s="736">
        <f>'Input data'!A117</f>
        <v>2017</v>
      </c>
      <c r="B177" s="737">
        <f>'Input data'!B117</f>
        <v>56.521948041648095</v>
      </c>
      <c r="C177" s="738">
        <f>'Input data'!C117</f>
        <v>3107.1496601967842</v>
      </c>
      <c r="D177" s="1505">
        <f>'Input data'!E117</f>
        <v>49995051</v>
      </c>
      <c r="E177" s="956">
        <f>'Input data'!J117*C177</f>
        <v>37506.923384615395</v>
      </c>
      <c r="F177" s="957">
        <f>'Input data'!L117</f>
        <v>87501.974384615402</v>
      </c>
      <c r="G177" s="1375">
        <f>F177*B11</f>
        <v>68439.708347615408</v>
      </c>
      <c r="H177" s="1504">
        <f t="shared" ref="H177" si="133">E177*$B$12+I177*$E$80-G177</f>
        <v>0</v>
      </c>
      <c r="I177" s="1505">
        <f>D177/1000</f>
        <v>49995.050999999999</v>
      </c>
      <c r="J177" s="417">
        <f>H17</f>
        <v>6.154773859516615E-2</v>
      </c>
      <c r="K177" s="1503">
        <f>(I177)*J177-(I177)*$J$137</f>
        <v>0</v>
      </c>
      <c r="L177" s="1503">
        <f>(E177)*$C$12*$G$12-(E177)*$C$12*$G$12</f>
        <v>0</v>
      </c>
      <c r="M177" s="1505">
        <f>L177+K177</f>
        <v>0</v>
      </c>
      <c r="N177" s="708">
        <v>0</v>
      </c>
      <c r="O177" s="1469">
        <f>N177*$E$177*($C$85)*$B$12</f>
        <v>0</v>
      </c>
      <c r="P177" s="1700">
        <f>O177+M177</f>
        <v>0</v>
      </c>
      <c r="Q177" s="1486">
        <f>E177*$B$12+(1-$J$137)*I177-P177</f>
        <v>68439.708347615408</v>
      </c>
      <c r="R177" s="1486">
        <f>Q177-G177</f>
        <v>0</v>
      </c>
      <c r="S177" s="1220">
        <f>R177/(Q177-I177*(1-J177))</f>
        <v>0</v>
      </c>
      <c r="T177" s="1491" t="str">
        <f>IF(AND(S177&gt;=0,S177&lt;=1),"Yes","No")</f>
        <v>Yes</v>
      </c>
      <c r="U177" s="1526">
        <f>IF(S177&lt;=0,0,IF(S177&gt;=1,1,S177))</f>
        <v>0</v>
      </c>
      <c r="V177" s="1495">
        <f t="shared" ref="V177:V210" si="134">AC177</f>
        <v>87501.974384615402</v>
      </c>
      <c r="W177" s="1527">
        <f t="shared" ref="W177:W210" si="135">(1-V177/F177)</f>
        <v>0</v>
      </c>
      <c r="X177" s="527">
        <f>(E177*$B$12-O177-L177)*(1-U177)+I177*(1-J177)</f>
        <v>68439.708347615408</v>
      </c>
      <c r="Y177" s="1503">
        <f>I177*J177+E177*$G$12*$C$12</f>
        <v>6080.5670370000007</v>
      </c>
      <c r="Z177" s="1533">
        <f>($C$12*$H$12*E177+O177)</f>
        <v>1694.9190000000001</v>
      </c>
      <c r="AA177" s="1533">
        <f>$F$137*$D$11</f>
        <v>0</v>
      </c>
      <c r="AB177" s="1533">
        <f>E177*$E$12</f>
        <v>11286.78</v>
      </c>
      <c r="AC177" s="1533">
        <f>SUM(X177:AB177)</f>
        <v>87501.974384615402</v>
      </c>
      <c r="AD177" s="1489">
        <f>X177-G177</f>
        <v>0</v>
      </c>
      <c r="AE177" s="708">
        <f>X177/AC177</f>
        <v>0.7821504466492184</v>
      </c>
      <c r="AF177" s="647">
        <f>Y177/AC177</f>
        <v>6.9490626694579893E-2</v>
      </c>
      <c r="AG177" s="647">
        <f>Z177/AC177</f>
        <v>1.9370065783315637E-2</v>
      </c>
      <c r="AH177" s="647">
        <f>AA177/AC177</f>
        <v>0</v>
      </c>
      <c r="AI177" s="647">
        <f>AB177/AC177</f>
        <v>0.12898886087288611</v>
      </c>
      <c r="AJ177" s="647">
        <f>SUM(AE177:AI177)</f>
        <v>1</v>
      </c>
      <c r="AK177" s="1499">
        <f>I177*(1-$J$177)-K177</f>
        <v>46917.968670000002</v>
      </c>
      <c r="AL177" s="1500">
        <f>(E177*$C$86*$B$12-L177)*(1-U177)</f>
        <v>20017.905677615392</v>
      </c>
      <c r="AM177" s="1500">
        <f>(E177*($C$85)*$B$12-O177)*(1-U177)</f>
        <v>1503.8340000000005</v>
      </c>
      <c r="AN177" s="1500">
        <f>SUM(AK177:AM177)</f>
        <v>68439.708347615393</v>
      </c>
      <c r="AO177" s="1186">
        <f>AN177-X177</f>
        <v>0</v>
      </c>
    </row>
    <row r="178" spans="1:41">
      <c r="A178" s="127">
        <f>'Input data'!A118</f>
        <v>2018</v>
      </c>
      <c r="B178" s="662">
        <f>'Input data'!B118</f>
        <v>57.436000617299655</v>
      </c>
      <c r="C178" s="236">
        <f>'Input data'!C118</f>
        <v>3150.6223338999603</v>
      </c>
      <c r="D178" s="1513">
        <f>'Input data'!E118</f>
        <v>50343843.445756853</v>
      </c>
      <c r="E178" s="527">
        <f>'Input data'!J118*C178</f>
        <v>38031.689302008039</v>
      </c>
      <c r="F178" s="528">
        <f>'Input data'!L118</f>
        <v>88375.532747764897</v>
      </c>
      <c r="G178" s="938">
        <f>G177*0.94</f>
        <v>64333.325846758482</v>
      </c>
      <c r="H178" s="1511">
        <f>E178*$B$12+I178*$E$80-G178</f>
        <v>4734.8219799348735</v>
      </c>
      <c r="I178" s="1513">
        <f t="shared" ref="I178:I210" si="136">D178/1000</f>
        <v>50343.843445756851</v>
      </c>
      <c r="J178" s="649">
        <f>($J$190-$J$177)/($A$190-$A$177)+J177</f>
        <v>8.7582527933999524E-2</v>
      </c>
      <c r="K178" s="1514">
        <f>(I178)*J178-(I178)*$J$137</f>
        <v>1310.6913586174865</v>
      </c>
      <c r="L178" s="1514">
        <f t="shared" ref="L178:L210" si="137">(E178)*$C$12*$G$12-(E178)*$C$12*$G$12</f>
        <v>0</v>
      </c>
      <c r="M178" s="1513">
        <f>L178+K178</f>
        <v>1310.6913586174865</v>
      </c>
      <c r="N178" s="649">
        <v>0.05</v>
      </c>
      <c r="O178" s="530">
        <f t="shared" ref="O178:O210" si="138">N178*$E$177*($C$85)*$B$12</f>
        <v>75.191700000000026</v>
      </c>
      <c r="P178" s="1212">
        <f>O178+M178</f>
        <v>1385.8830586174865</v>
      </c>
      <c r="Q178" s="1366">
        <f t="shared" ref="Q178:Q210" si="139">E178*$B$12+(1-$J$137)*I178-P178</f>
        <v>67682.264768075867</v>
      </c>
      <c r="R178" s="1366">
        <f>Q178-G178</f>
        <v>3348.9389213173854</v>
      </c>
      <c r="S178" s="576">
        <f t="shared" ref="S178:S210" si="140">R178/(Q178-I178*(1-J178))</f>
        <v>0.15399075358769243</v>
      </c>
      <c r="T178" s="135" t="str">
        <f t="shared" ref="T178:T210" si="141">IF(AND(S178&gt;=0,S178&lt;=1),"Yes","No")</f>
        <v>Yes</v>
      </c>
      <c r="U178" s="1528">
        <f t="shared" ref="U178:U210" si="142">IF(S178&lt;=0,0,IF(S178&gt;=1,1,S178))</f>
        <v>0.15399075358769243</v>
      </c>
      <c r="V178" s="1496">
        <f t="shared" si="134"/>
        <v>85026.593826447512</v>
      </c>
      <c r="W178" s="1529">
        <f t="shared" si="135"/>
        <v>3.7894412822106371E-2</v>
      </c>
      <c r="X178" s="527">
        <f t="shared" ref="X178:X210" si="143">(E178*$B$12-O178-L178)*(1-U178)+I178*(1-J178)</f>
        <v>64333.325846758482</v>
      </c>
      <c r="Y178" s="1511">
        <f t="shared" ref="Y178:Y210" si="144">I178*J178+E178*$G$12*$C$12</f>
        <v>7454.7480611260207</v>
      </c>
      <c r="Z178" s="1533">
        <f t="shared" ref="Z178:Z210" si="145">($C$12*$H$12*E178+O178)</f>
        <v>1793.8246078249765</v>
      </c>
      <c r="AA178" s="1533">
        <f t="shared" ref="AA178:AA210" si="146">$F$137*$D$11</f>
        <v>0</v>
      </c>
      <c r="AB178" s="1533">
        <f t="shared" ref="AB178:AB210" si="147">E178*$E$12</f>
        <v>11444.695310738029</v>
      </c>
      <c r="AC178" s="1533">
        <f t="shared" ref="AC178:AC210" si="148">SUM(X178:AB178)</f>
        <v>85026.593826447512</v>
      </c>
      <c r="AD178" s="1489">
        <f t="shared" ref="AD178:AD210" si="149">X178-G178</f>
        <v>0</v>
      </c>
      <c r="AE178" s="649">
        <f t="shared" ref="AE178:AE210" si="150">X178/AC178</f>
        <v>0.75662593256496657</v>
      </c>
      <c r="AF178" s="417">
        <f t="shared" ref="AF178:AF210" si="151">Y178/AC178</f>
        <v>8.7675487463867122E-2</v>
      </c>
      <c r="AG178" s="417">
        <f t="shared" ref="AG178:AG210" si="152">Z178/AC178</f>
        <v>2.1097218259577132E-2</v>
      </c>
      <c r="AH178" s="417">
        <f>AA178/AC178</f>
        <v>0</v>
      </c>
      <c r="AI178" s="417">
        <f t="shared" ref="AI178:AI209" si="153">AB178/AC178</f>
        <v>0.13460136171158907</v>
      </c>
      <c r="AJ178" s="417">
        <f t="shared" ref="AJ178:AJ210" si="154">SUM(AE178:AI178)</f>
        <v>0.99999999999999989</v>
      </c>
      <c r="AK178" s="1499">
        <f t="shared" ref="AK178:AK210" si="155">I178*(1-$J$177)-K178</f>
        <v>45934.602370863955</v>
      </c>
      <c r="AL178" s="1500">
        <f t="shared" ref="AL178:AL210" si="156">(E178*$C$86*$B$12-L178)*(1-U178)</f>
        <v>17172.278503770438</v>
      </c>
      <c r="AM178" s="1500">
        <f t="shared" ref="AM178:AM210" si="157">(E178*($C$85)*$B$12-O178)*(1-U178)</f>
        <v>1226.4449721240894</v>
      </c>
      <c r="AN178" s="1500">
        <f t="shared" ref="AN178:AN210" si="158">SUM(AK178:AM178)</f>
        <v>64333.325846758482</v>
      </c>
      <c r="AO178" s="1186">
        <f t="shared" ref="AO178:AO210" si="159">AN178-X178</f>
        <v>0</v>
      </c>
    </row>
    <row r="179" spans="1:41">
      <c r="A179" s="873">
        <f>'Input data'!A119</f>
        <v>2019</v>
      </c>
      <c r="B179" s="1553">
        <f>'Input data'!B119</f>
        <v>58.364834921819444</v>
      </c>
      <c r="C179" s="1552">
        <f>'Input data'!C119</f>
        <v>3168.3184457469288</v>
      </c>
      <c r="D179" s="1513">
        <f>'Input data'!E119</f>
        <v>48412890.850439847</v>
      </c>
      <c r="E179" s="1510">
        <f>'Input data'!J119*C179</f>
        <v>38245.302028730643</v>
      </c>
      <c r="F179" s="1511">
        <f>'Input data'!L119</f>
        <v>86658.1928791705</v>
      </c>
      <c r="G179" s="1559">
        <f>G177*0.89</f>
        <v>60911.340429377713</v>
      </c>
      <c r="H179" s="1511">
        <f t="shared" ref="H179:H210" si="160">E179*$B$12+I179*$E$80-G179</f>
        <v>6467.2730710352625</v>
      </c>
      <c r="I179" s="1513">
        <f t="shared" si="136"/>
        <v>48412.89085043985</v>
      </c>
      <c r="J179" s="1456">
        <f t="shared" ref="J179:J189" si="161">($J$190-$J$177)/($A$190-$A$177)+J178</f>
        <v>0.11361731727283289</v>
      </c>
      <c r="K179" s="1514">
        <f t="shared" ref="K179:K210" si="162">(I179)*J179-(I179)*$J$137</f>
        <v>2520.8388291502702</v>
      </c>
      <c r="L179" s="1514">
        <f t="shared" si="137"/>
        <v>0</v>
      </c>
      <c r="M179" s="1513">
        <f t="shared" ref="M179:M210" si="163">L179+K179</f>
        <v>2520.8388291502702</v>
      </c>
      <c r="N179" s="1456">
        <v>0.1</v>
      </c>
      <c r="O179" s="530">
        <f t="shared" si="138"/>
        <v>150.38340000000005</v>
      </c>
      <c r="P179" s="1212">
        <f>O179+M179</f>
        <v>2671.2222291502703</v>
      </c>
      <c r="Q179" s="1366">
        <f t="shared" si="139"/>
        <v>64707.391271262706</v>
      </c>
      <c r="R179" s="1366">
        <f t="shared" ref="R179:R210" si="164">Q179-G179</f>
        <v>3796.0508418849931</v>
      </c>
      <c r="S179" s="576">
        <f t="shared" si="140"/>
        <v>0.17417037474685518</v>
      </c>
      <c r="T179" s="135" t="str">
        <f t="shared" si="141"/>
        <v>Yes</v>
      </c>
      <c r="U179" s="1528">
        <f t="shared" si="142"/>
        <v>0.17417037474685518</v>
      </c>
      <c r="V179" s="1496">
        <f t="shared" si="134"/>
        <v>82862.142037285492</v>
      </c>
      <c r="W179" s="1529">
        <f t="shared" si="135"/>
        <v>4.3804869635095334E-2</v>
      </c>
      <c r="X179" s="527">
        <f t="shared" si="143"/>
        <v>60911.340429377713</v>
      </c>
      <c r="Y179" s="1511">
        <f t="shared" si="144"/>
        <v>8563.155476176491</v>
      </c>
      <c r="Z179" s="1533">
        <f t="shared" si="145"/>
        <v>1878.6693594882986</v>
      </c>
      <c r="AA179" s="1533">
        <f t="shared" si="146"/>
        <v>0</v>
      </c>
      <c r="AB179" s="1533">
        <f t="shared" si="147"/>
        <v>11508.976772243002</v>
      </c>
      <c r="AC179" s="1533">
        <f t="shared" si="148"/>
        <v>82862.142037285492</v>
      </c>
      <c r="AD179" s="1489">
        <f t="shared" si="149"/>
        <v>0</v>
      </c>
      <c r="AE179" s="649">
        <f t="shared" si="150"/>
        <v>0.73509251549361865</v>
      </c>
      <c r="AF179" s="417">
        <f t="shared" si="151"/>
        <v>0.10334219301648426</v>
      </c>
      <c r="AG179" s="417">
        <f t="shared" si="152"/>
        <v>2.2672227790623049E-2</v>
      </c>
      <c r="AH179" s="417">
        <f t="shared" ref="AH179:AH210" si="165">AA179/AC179</f>
        <v>0</v>
      </c>
      <c r="AI179" s="417">
        <f t="shared" si="153"/>
        <v>0.13889306369927423</v>
      </c>
      <c r="AJ179" s="417">
        <f t="shared" si="154"/>
        <v>1.0000000000000002</v>
      </c>
      <c r="AK179" s="1499">
        <f t="shared" si="155"/>
        <v>42912.348070590393</v>
      </c>
      <c r="AL179" s="1500">
        <f t="shared" si="156"/>
        <v>16856.823929070655</v>
      </c>
      <c r="AM179" s="1500">
        <f t="shared" si="157"/>
        <v>1142.168429716658</v>
      </c>
      <c r="AN179" s="1500">
        <f t="shared" si="158"/>
        <v>60911.340429377706</v>
      </c>
      <c r="AO179" s="1186">
        <f t="shared" si="159"/>
        <v>0</v>
      </c>
    </row>
    <row r="180" spans="1:41">
      <c r="A180" s="873">
        <f>'Input data'!A120</f>
        <v>2020</v>
      </c>
      <c r="B180" s="1553">
        <f>'Input data'!B120</f>
        <v>59.308690000000006</v>
      </c>
      <c r="C180" s="1552">
        <f>'Input data'!C120</f>
        <v>2944.9182124750064</v>
      </c>
      <c r="D180" s="1513">
        <f>'Input data'!E120</f>
        <v>45517474.780710384</v>
      </c>
      <c r="E180" s="1510">
        <f>'Input data'!J120*C180</f>
        <v>35548.600437309862</v>
      </c>
      <c r="F180" s="1511">
        <f>'Input data'!L120</f>
        <v>81066.07521802024</v>
      </c>
      <c r="G180" s="1559">
        <f>G177*0.81</f>
        <v>55436.163761568481</v>
      </c>
      <c r="H180" s="1511">
        <f t="shared" si="160"/>
        <v>7677.8534075289572</v>
      </c>
      <c r="I180" s="1513">
        <f t="shared" si="136"/>
        <v>45517.474780710385</v>
      </c>
      <c r="J180" s="1456">
        <f t="shared" si="161"/>
        <v>0.13965210661166627</v>
      </c>
      <c r="K180" s="1514">
        <f>(I180)*J180-(I180)*$J$177</f>
        <v>3555.1136014543667</v>
      </c>
      <c r="L180" s="1514">
        <f t="shared" si="137"/>
        <v>0</v>
      </c>
      <c r="M180" s="1513">
        <f t="shared" si="163"/>
        <v>3555.1136014543667</v>
      </c>
      <c r="N180" s="1456">
        <f>($N$142-$N$137)/($A$102-$A$97)+N179</f>
        <v>0.2</v>
      </c>
      <c r="O180" s="530">
        <f t="shared" si="138"/>
        <v>300.7668000000001</v>
      </c>
      <c r="P180" s="1212">
        <f t="shared" ref="P180:P210" si="166">O180+M180</f>
        <v>3855.8804014543666</v>
      </c>
      <c r="Q180" s="1366">
        <f t="shared" si="139"/>
        <v>59258.136767643075</v>
      </c>
      <c r="R180" s="1366">
        <f t="shared" si="164"/>
        <v>3821.9730060745933</v>
      </c>
      <c r="S180" s="576">
        <f>R180/(Q180-I180*(1-J180))</f>
        <v>0.1901737097750329</v>
      </c>
      <c r="T180" s="135" t="str">
        <f t="shared" si="141"/>
        <v>Yes</v>
      </c>
      <c r="U180" s="1528">
        <f>IF(S180&lt;=0,0,IF(S180&gt;=1,1,S180))</f>
        <v>0.1901737097750329</v>
      </c>
      <c r="V180" s="1496">
        <f>AC180</f>
        <v>77244.102211945661</v>
      </c>
      <c r="W180" s="1529">
        <f t="shared" si="135"/>
        <v>4.7146392566751349E-2</v>
      </c>
      <c r="X180" s="527">
        <f>(E180*$B$12-O180-L180)*(1-U180)+I180*(1-J180)</f>
        <v>55436.163761568474</v>
      </c>
      <c r="Y180" s="1511">
        <f t="shared" si="144"/>
        <v>9203.2770862680991</v>
      </c>
      <c r="Z180" s="1533">
        <f t="shared" si="145"/>
        <v>1907.190171140033</v>
      </c>
      <c r="AA180" s="1533">
        <f t="shared" si="146"/>
        <v>0</v>
      </c>
      <c r="AB180" s="1533">
        <f>E180*$E$12</f>
        <v>10697.471192969046</v>
      </c>
      <c r="AC180" s="1533">
        <f>SUM(X180:AB180)</f>
        <v>77244.102211945661</v>
      </c>
      <c r="AD180" s="1489">
        <f t="shared" si="149"/>
        <v>0</v>
      </c>
      <c r="AE180" s="649">
        <f t="shared" si="150"/>
        <v>0.71767503503970265</v>
      </c>
      <c r="AF180" s="417">
        <f t="shared" si="151"/>
        <v>0.1191453693256186</v>
      </c>
      <c r="AG180" s="417">
        <f t="shared" si="152"/>
        <v>2.4690430939400439E-2</v>
      </c>
      <c r="AH180" s="417">
        <f t="shared" si="165"/>
        <v>0</v>
      </c>
      <c r="AI180" s="417">
        <f t="shared" si="153"/>
        <v>0.13848916469527819</v>
      </c>
      <c r="AJ180" s="417">
        <f t="shared" si="154"/>
        <v>0.99999999999999989</v>
      </c>
      <c r="AK180" s="1499">
        <f t="shared" si="155"/>
        <v>39160.863539940787</v>
      </c>
      <c r="AL180" s="1500">
        <f t="shared" si="156"/>
        <v>15364.611233459033</v>
      </c>
      <c r="AM180" s="1500">
        <f t="shared" si="157"/>
        <v>910.6889881686584</v>
      </c>
      <c r="AN180" s="1500">
        <f t="shared" si="158"/>
        <v>55436.163761568481</v>
      </c>
      <c r="AO180" s="1186">
        <f t="shared" si="159"/>
        <v>0</v>
      </c>
    </row>
    <row r="181" spans="1:41">
      <c r="A181" s="873">
        <f>'Input data'!A121</f>
        <v>2021</v>
      </c>
      <c r="B181" s="1553">
        <f>'Input data'!B121</f>
        <v>59.991580449204264</v>
      </c>
      <c r="C181" s="1552">
        <f>'Input data'!C121</f>
        <v>3018.4380966643439</v>
      </c>
      <c r="D181" s="1513">
        <f>'Input data'!E121</f>
        <v>45871162.972715415</v>
      </c>
      <c r="E181" s="1510">
        <f>'Input data'!J121*C181</f>
        <v>36436.071259478318</v>
      </c>
      <c r="F181" s="1511">
        <f>'Input data'!L121</f>
        <v>82307.234232193732</v>
      </c>
      <c r="G181" s="1559">
        <f>G177*0.65</f>
        <v>44485.810425950018</v>
      </c>
      <c r="H181" s="1511">
        <f t="shared" si="160"/>
        <v>19469.363303088037</v>
      </c>
      <c r="I181" s="1513">
        <f t="shared" si="136"/>
        <v>45871.162972715414</v>
      </c>
      <c r="J181" s="1456">
        <f t="shared" si="161"/>
        <v>0.16568689595049965</v>
      </c>
      <c r="K181" s="1514">
        <f t="shared" si="162"/>
        <v>4776.9842588877582</v>
      </c>
      <c r="L181" s="1514">
        <f t="shared" si="137"/>
        <v>0</v>
      </c>
      <c r="M181" s="1513">
        <f t="shared" si="163"/>
        <v>4776.9842588877582</v>
      </c>
      <c r="N181" s="1456">
        <v>0.4</v>
      </c>
      <c r="O181" s="530">
        <f t="shared" si="138"/>
        <v>601.53360000000021</v>
      </c>
      <c r="P181" s="1212">
        <f t="shared" si="166"/>
        <v>5378.5178588877588</v>
      </c>
      <c r="Q181" s="1366">
        <f t="shared" si="139"/>
        <v>58576.655870150295</v>
      </c>
      <c r="R181" s="1366">
        <f t="shared" si="164"/>
        <v>14090.845444200277</v>
      </c>
      <c r="S181" s="576">
        <f t="shared" si="140"/>
        <v>0.69393398185139921</v>
      </c>
      <c r="T181" s="135" t="str">
        <f t="shared" si="141"/>
        <v>Yes</v>
      </c>
      <c r="U181" s="1528">
        <f t="shared" si="142"/>
        <v>0.69393398185139921</v>
      </c>
      <c r="V181" s="1496">
        <f t="shared" si="134"/>
        <v>68216.388787993448</v>
      </c>
      <c r="W181" s="1529">
        <f t="shared" si="135"/>
        <v>0.17119814042650427</v>
      </c>
      <c r="X181" s="527">
        <f t="shared" si="143"/>
        <v>44485.810425950018</v>
      </c>
      <c r="Y181" s="1511">
        <f t="shared" si="144"/>
        <v>10517.983465901121</v>
      </c>
      <c r="Z181" s="1533">
        <f t="shared" si="145"/>
        <v>2248.0613311541611</v>
      </c>
      <c r="AA181" s="1533">
        <f t="shared" si="146"/>
        <v>0</v>
      </c>
      <c r="AB181" s="1533">
        <f t="shared" si="147"/>
        <v>10964.533564988158</v>
      </c>
      <c r="AC181" s="1533">
        <f t="shared" si="148"/>
        <v>68216.388787993448</v>
      </c>
      <c r="AD181" s="1005">
        <f t="shared" si="149"/>
        <v>0</v>
      </c>
      <c r="AE181" s="649">
        <f t="shared" si="150"/>
        <v>0.6521279008803208</v>
      </c>
      <c r="AF181" s="417">
        <f t="shared" si="151"/>
        <v>0.15418557992844614</v>
      </c>
      <c r="AG181" s="417">
        <f t="shared" si="152"/>
        <v>3.2954856906026009E-2</v>
      </c>
      <c r="AH181" s="417">
        <f t="shared" si="165"/>
        <v>0</v>
      </c>
      <c r="AI181" s="417">
        <f t="shared" si="153"/>
        <v>0.16073166228520722</v>
      </c>
      <c r="AJ181" s="417">
        <f t="shared" si="154"/>
        <v>1.0000000000000002</v>
      </c>
      <c r="AK181" s="1499">
        <f t="shared" si="155"/>
        <v>38270.9123661267</v>
      </c>
      <c r="AL181" s="1500">
        <f t="shared" si="156"/>
        <v>5951.8757102033078</v>
      </c>
      <c r="AM181" s="1500">
        <f t="shared" si="157"/>
        <v>263.0223496200087</v>
      </c>
      <c r="AN181" s="1500">
        <f t="shared" si="158"/>
        <v>44485.810425950011</v>
      </c>
      <c r="AO181" s="1186">
        <f t="shared" si="159"/>
        <v>0</v>
      </c>
    </row>
    <row r="182" spans="1:41">
      <c r="A182" s="873">
        <f>'Input data'!A122</f>
        <v>2022</v>
      </c>
      <c r="B182" s="1553">
        <f>'Input data'!B122</f>
        <v>60.682333816399378</v>
      </c>
      <c r="C182" s="1552">
        <f>'Input data'!C122</f>
        <v>3086.0582602351519</v>
      </c>
      <c r="D182" s="1513">
        <f>'Input data'!E122</f>
        <v>45764081.347342722</v>
      </c>
      <c r="E182" s="1510">
        <f>'Input data'!J122*C182</f>
        <v>37252.325567017797</v>
      </c>
      <c r="F182" s="1511">
        <f>'Input data'!L122</f>
        <v>83016.406914360516</v>
      </c>
      <c r="G182" s="1559">
        <f>G177*(1-E4)</f>
        <v>34219.854173807704</v>
      </c>
      <c r="H182" s="1511">
        <f t="shared" si="160"/>
        <v>30103.201094928605</v>
      </c>
      <c r="I182" s="1513">
        <f t="shared" si="136"/>
        <v>45764.081347342719</v>
      </c>
      <c r="J182" s="1456">
        <f t="shared" si="161"/>
        <v>0.19172168528933303</v>
      </c>
      <c r="K182" s="1514">
        <f t="shared" si="162"/>
        <v>5957.2910858165087</v>
      </c>
      <c r="L182" s="1514">
        <f t="shared" si="137"/>
        <v>0</v>
      </c>
      <c r="M182" s="1513">
        <f t="shared" si="163"/>
        <v>5957.2910858165087</v>
      </c>
      <c r="N182" s="1456">
        <f>$E$26</f>
        <v>0.5</v>
      </c>
      <c r="O182" s="530">
        <f t="shared" si="138"/>
        <v>751.91700000000026</v>
      </c>
      <c r="P182" s="1212">
        <f t="shared" si="166"/>
        <v>6709.2080858165091</v>
      </c>
      <c r="Q182" s="1366">
        <f t="shared" si="139"/>
        <v>57613.847182919802</v>
      </c>
      <c r="R182" s="1366">
        <f t="shared" si="164"/>
        <v>23393.993009112099</v>
      </c>
      <c r="S182" s="576">
        <f t="shared" si="140"/>
        <v>1.1343239083165013</v>
      </c>
      <c r="T182" s="135" t="str">
        <f t="shared" si="141"/>
        <v>No</v>
      </c>
      <c r="U182" s="1528">
        <f t="shared" si="142"/>
        <v>1</v>
      </c>
      <c r="V182" s="1496">
        <f t="shared" si="134"/>
        <v>62392.67427715275</v>
      </c>
      <c r="W182" s="1529">
        <f>(1-V182/F182)</f>
        <v>0.24842959848266077</v>
      </c>
      <c r="X182" s="527">
        <f t="shared" si="143"/>
        <v>36990.114545712036</v>
      </c>
      <c r="Y182" s="1511">
        <f t="shared" si="144"/>
        <v>11757.063788642328</v>
      </c>
      <c r="Z182" s="1533">
        <f t="shared" si="145"/>
        <v>2435.3308526974706</v>
      </c>
      <c r="AA182" s="1533">
        <f t="shared" si="146"/>
        <v>0</v>
      </c>
      <c r="AB182" s="1533">
        <f t="shared" si="147"/>
        <v>11210.165090100914</v>
      </c>
      <c r="AC182" s="1533">
        <f t="shared" si="148"/>
        <v>62392.67427715275</v>
      </c>
      <c r="AD182" s="1005">
        <f t="shared" si="149"/>
        <v>2770.2603719043327</v>
      </c>
      <c r="AE182" s="649">
        <f t="shared" si="150"/>
        <v>0.59285989860603328</v>
      </c>
      <c r="AF182" s="417">
        <f t="shared" si="151"/>
        <v>0.18843660613771104</v>
      </c>
      <c r="AG182" s="417">
        <f t="shared" si="152"/>
        <v>3.9032320395172605E-2</v>
      </c>
      <c r="AH182" s="417">
        <f t="shared" si="165"/>
        <v>0</v>
      </c>
      <c r="AI182" s="417">
        <f t="shared" si="153"/>
        <v>0.17967117486108311</v>
      </c>
      <c r="AJ182" s="417">
        <f t="shared" si="154"/>
        <v>1</v>
      </c>
      <c r="AK182" s="1499">
        <f t="shared" si="155"/>
        <v>36990.114545712044</v>
      </c>
      <c r="AL182" s="1500">
        <f t="shared" si="156"/>
        <v>0</v>
      </c>
      <c r="AM182" s="1500">
        <f t="shared" si="157"/>
        <v>0</v>
      </c>
      <c r="AN182" s="1500">
        <f t="shared" si="158"/>
        <v>36990.114545712044</v>
      </c>
      <c r="AO182" s="1186">
        <f t="shared" si="159"/>
        <v>0</v>
      </c>
    </row>
    <row r="183" spans="1:41">
      <c r="A183" s="873">
        <f>'Input data'!A123</f>
        <v>2023</v>
      </c>
      <c r="B183" s="1553">
        <f>'Input data'!B123</f>
        <v>61.381040636574369</v>
      </c>
      <c r="C183" s="1552">
        <f>'Input data'!C123</f>
        <v>3153.9083559128044</v>
      </c>
      <c r="D183" s="1513">
        <f>'Input data'!E123</f>
        <v>45569695.474175937</v>
      </c>
      <c r="E183" s="1510">
        <f>'Input data'!J123*C183</f>
        <v>38071.355423487395</v>
      </c>
      <c r="F183" s="1511">
        <f>'Input data'!L123</f>
        <v>83641.050897663343</v>
      </c>
      <c r="G183" s="1559">
        <f>($G$147-$G$142)/($A$147-$A$142)+G182</f>
        <v>32166.662923379241</v>
      </c>
      <c r="H183" s="1511">
        <f t="shared" si="160"/>
        <v>32443.935646020014</v>
      </c>
      <c r="I183" s="1513">
        <f t="shared" si="136"/>
        <v>45569.69547417594</v>
      </c>
      <c r="J183" s="1456">
        <f t="shared" si="161"/>
        <v>0.21775647462816641</v>
      </c>
      <c r="K183" s="1514">
        <f t="shared" si="162"/>
        <v>7118.384531429756</v>
      </c>
      <c r="L183" s="1514">
        <f t="shared" si="137"/>
        <v>0</v>
      </c>
      <c r="M183" s="1513">
        <f t="shared" si="163"/>
        <v>7118.384531429756</v>
      </c>
      <c r="N183" s="1456">
        <f>($N$147-$N$142)/($A$107-$A$102)+N182</f>
        <v>0.5</v>
      </c>
      <c r="O183" s="530">
        <f t="shared" si="138"/>
        <v>751.91700000000026</v>
      </c>
      <c r="P183" s="1212">
        <f t="shared" si="166"/>
        <v>7870.3015314297563</v>
      </c>
      <c r="Q183" s="1366">
        <f t="shared" si="139"/>
        <v>56740.297037969496</v>
      </c>
      <c r="R183" s="1366">
        <f t="shared" si="164"/>
        <v>24573.634114590255</v>
      </c>
      <c r="S183" s="576">
        <f t="shared" si="140"/>
        <v>1.164975166869022</v>
      </c>
      <c r="T183" s="135" t="str">
        <f t="shared" si="141"/>
        <v>No</v>
      </c>
      <c r="U183" s="1528">
        <f t="shared" si="142"/>
        <v>1</v>
      </c>
      <c r="V183" s="1496">
        <f t="shared" si="134"/>
        <v>62547.353097534127</v>
      </c>
      <c r="W183" s="1529">
        <f t="shared" si="135"/>
        <v>0.25219312256056914</v>
      </c>
      <c r="X183" s="527">
        <f t="shared" si="143"/>
        <v>35646.599237840281</v>
      </c>
      <c r="Y183" s="1511">
        <f t="shared" si="144"/>
        <v>12971.779611845708</v>
      </c>
      <c r="Z183" s="1533">
        <f t="shared" si="145"/>
        <v>2472.3423999006995</v>
      </c>
      <c r="AA183" s="1533">
        <f t="shared" si="146"/>
        <v>0</v>
      </c>
      <c r="AB183" s="1533">
        <f t="shared" si="147"/>
        <v>11456.631847947434</v>
      </c>
      <c r="AC183" s="1533">
        <f t="shared" si="148"/>
        <v>62547.353097534127</v>
      </c>
      <c r="AD183" s="1005">
        <f t="shared" si="149"/>
        <v>3479.9363144610397</v>
      </c>
      <c r="AE183" s="649">
        <f t="shared" si="150"/>
        <v>0.56991379287072685</v>
      </c>
      <c r="AF183" s="417">
        <f t="shared" si="151"/>
        <v>0.20739134382901822</v>
      </c>
      <c r="AG183" s="417">
        <f t="shared" si="152"/>
        <v>3.9527530382387509E-2</v>
      </c>
      <c r="AH183" s="417">
        <f t="shared" si="165"/>
        <v>0</v>
      </c>
      <c r="AI183" s="417">
        <f t="shared" si="153"/>
        <v>0.18316733291786733</v>
      </c>
      <c r="AJ183" s="417">
        <f t="shared" si="154"/>
        <v>1</v>
      </c>
      <c r="AK183" s="1499">
        <f t="shared" si="155"/>
        <v>35646.599237840273</v>
      </c>
      <c r="AL183" s="1500">
        <f t="shared" si="156"/>
        <v>0</v>
      </c>
      <c r="AM183" s="1500">
        <f t="shared" si="157"/>
        <v>0</v>
      </c>
      <c r="AN183" s="1500">
        <f t="shared" si="158"/>
        <v>35646.599237840273</v>
      </c>
      <c r="AO183" s="1186">
        <f t="shared" si="159"/>
        <v>0</v>
      </c>
    </row>
    <row r="184" spans="1:41">
      <c r="A184" s="873">
        <f>'Input data'!A124</f>
        <v>2024</v>
      </c>
      <c r="B184" s="1553">
        <f>'Input data'!B124</f>
        <v>62.087792487153699</v>
      </c>
      <c r="C184" s="1552">
        <f>'Input data'!C124</f>
        <v>3232.6126442228219</v>
      </c>
      <c r="D184" s="1513">
        <f>'Input data'!E124</f>
        <v>46327457.455900244</v>
      </c>
      <c r="E184" s="1510">
        <f>'Input data'!J124*C184</f>
        <v>39021.40805516448</v>
      </c>
      <c r="F184" s="1511">
        <f>'Input data'!L124</f>
        <v>85348.865511064723</v>
      </c>
      <c r="G184" s="1559">
        <f t="shared" ref="G184:G186" si="167">($G$147-$G$142)/($A$147-$A$142)+G183</f>
        <v>30113.471672950778</v>
      </c>
      <c r="H184" s="1511">
        <f t="shared" si="160"/>
        <v>35753.397305987804</v>
      </c>
      <c r="I184" s="1513">
        <f t="shared" si="136"/>
        <v>46327.457455900243</v>
      </c>
      <c r="J184" s="1456">
        <f t="shared" si="161"/>
        <v>0.24379126396699979</v>
      </c>
      <c r="K184" s="1514">
        <f t="shared" si="162"/>
        <v>8442.8791682768988</v>
      </c>
      <c r="L184" s="1514">
        <f t="shared" si="137"/>
        <v>0</v>
      </c>
      <c r="M184" s="1513">
        <f t="shared" si="163"/>
        <v>8442.8791682768988</v>
      </c>
      <c r="N184" s="1456">
        <f>($N$147-$N$142)/($A$107-$A$102)+N183</f>
        <v>0.5</v>
      </c>
      <c r="O184" s="530">
        <f t="shared" si="138"/>
        <v>751.91700000000026</v>
      </c>
      <c r="P184" s="1212">
        <f t="shared" si="166"/>
        <v>9194.7961682768982</v>
      </c>
      <c r="Q184" s="1366">
        <f t="shared" si="139"/>
        <v>56672.072810661688</v>
      </c>
      <c r="R184" s="1366">
        <f t="shared" si="164"/>
        <v>26558.60113771091</v>
      </c>
      <c r="S184" s="576">
        <f t="shared" si="140"/>
        <v>1.2273576259261261</v>
      </c>
      <c r="T184" s="135" t="str">
        <f t="shared" si="141"/>
        <v>No</v>
      </c>
      <c r="U184" s="1528">
        <f t="shared" si="142"/>
        <v>1</v>
      </c>
      <c r="V184" s="1496">
        <f t="shared" si="134"/>
        <v>63710.020746751965</v>
      </c>
      <c r="W184" s="1529">
        <f t="shared" si="135"/>
        <v>0.25353406439254278</v>
      </c>
      <c r="X184" s="527">
        <f t="shared" si="143"/>
        <v>35033.228046348915</v>
      </c>
      <c r="Y184" s="1511">
        <f t="shared" si="144"/>
        <v>14418.991233854049</v>
      </c>
      <c r="Z184" s="1533">
        <f t="shared" si="145"/>
        <v>2515.2748004049222</v>
      </c>
      <c r="AA184" s="1533">
        <f t="shared" si="146"/>
        <v>0</v>
      </c>
      <c r="AB184" s="1533">
        <f t="shared" si="147"/>
        <v>11742.526666144084</v>
      </c>
      <c r="AC184" s="1533">
        <f t="shared" si="148"/>
        <v>63710.020746751965</v>
      </c>
      <c r="AD184" s="1005">
        <f t="shared" si="149"/>
        <v>4919.7563733981369</v>
      </c>
      <c r="AE184" s="649">
        <f t="shared" si="150"/>
        <v>0.54988567945388656</v>
      </c>
      <c r="AF184" s="417">
        <f t="shared" si="151"/>
        <v>0.22632218707273222</v>
      </c>
      <c r="AG184" s="417">
        <f t="shared" si="152"/>
        <v>3.9480049934423458E-2</v>
      </c>
      <c r="AH184" s="417">
        <f t="shared" si="165"/>
        <v>0</v>
      </c>
      <c r="AI184" s="417">
        <f t="shared" si="153"/>
        <v>0.18431208353895781</v>
      </c>
      <c r="AJ184" s="417">
        <f t="shared" si="154"/>
        <v>1</v>
      </c>
      <c r="AK184" s="1499">
        <f t="shared" si="155"/>
        <v>35033.228046348915</v>
      </c>
      <c r="AL184" s="1500">
        <f t="shared" si="156"/>
        <v>0</v>
      </c>
      <c r="AM184" s="1500">
        <f t="shared" si="157"/>
        <v>0</v>
      </c>
      <c r="AN184" s="1500">
        <f t="shared" si="158"/>
        <v>35033.228046348915</v>
      </c>
      <c r="AO184" s="1186">
        <f t="shared" si="159"/>
        <v>0</v>
      </c>
    </row>
    <row r="185" spans="1:41">
      <c r="A185" s="873">
        <f>'Input data'!A125</f>
        <v>2025</v>
      </c>
      <c r="B185" s="1553">
        <f>'Input data'!B125</f>
        <v>62.802682000000026</v>
      </c>
      <c r="C185" s="1552">
        <f>'Input data'!C125</f>
        <v>3311.8439930677405</v>
      </c>
      <c r="D185" s="1513">
        <f>'Input data'!E125</f>
        <v>46801820.784301206</v>
      </c>
      <c r="E185" s="1510">
        <f>'Input data'!J125*C185</f>
        <v>39977.822922737316</v>
      </c>
      <c r="F185" s="1511">
        <f>'Input data'!L125</f>
        <v>86779.643707038515</v>
      </c>
      <c r="G185" s="1559">
        <f t="shared" si="167"/>
        <v>28060.280422522315</v>
      </c>
      <c r="H185" s="1511">
        <f t="shared" si="160"/>
        <v>38800.553555119644</v>
      </c>
      <c r="I185" s="1513">
        <f t="shared" si="136"/>
        <v>46801.820784301206</v>
      </c>
      <c r="J185" s="1456">
        <f t="shared" si="161"/>
        <v>0.26982605330583315</v>
      </c>
      <c r="K185" s="1514">
        <f t="shared" si="162"/>
        <v>9747.8043583449235</v>
      </c>
      <c r="L185" s="1514">
        <f t="shared" si="137"/>
        <v>0</v>
      </c>
      <c r="M185" s="1513">
        <f t="shared" si="163"/>
        <v>9747.8043583449235</v>
      </c>
      <c r="N185" s="1456">
        <f>($N$147-$N$142)/($A$107-$A$102)+N184</f>
        <v>0.5</v>
      </c>
      <c r="O185" s="530">
        <f t="shared" si="138"/>
        <v>751.91700000000026</v>
      </c>
      <c r="P185" s="1212">
        <f t="shared" si="166"/>
        <v>10499.721358344923</v>
      </c>
      <c r="Q185" s="1366">
        <f t="shared" si="139"/>
        <v>56361.112619297041</v>
      </c>
      <c r="R185" s="1366">
        <f t="shared" si="164"/>
        <v>28300.832196774725</v>
      </c>
      <c r="S185" s="576">
        <f t="shared" si="140"/>
        <v>1.2755222774459622</v>
      </c>
      <c r="T185" s="135" t="str">
        <f t="shared" si="141"/>
        <v>No</v>
      </c>
      <c r="U185" s="1528">
        <f t="shared" si="142"/>
        <v>1</v>
      </c>
      <c r="V185" s="1496">
        <f t="shared" si="134"/>
        <v>64592.001282287783</v>
      </c>
      <c r="W185" s="1529">
        <f t="shared" si="135"/>
        <v>0.25567796175396307</v>
      </c>
      <c r="X185" s="527">
        <f t="shared" si="143"/>
        <v>34173.470194546295</v>
      </c>
      <c r="Y185" s="1511">
        <f t="shared" si="144"/>
        <v>15829.700338874749</v>
      </c>
      <c r="Z185" s="1533">
        <f t="shared" si="145"/>
        <v>2558.4947071487691</v>
      </c>
      <c r="AA185" s="1533">
        <f t="shared" si="146"/>
        <v>0</v>
      </c>
      <c r="AB185" s="1533">
        <f t="shared" si="147"/>
        <v>12030.33604171797</v>
      </c>
      <c r="AC185" s="1533">
        <f t="shared" si="148"/>
        <v>64592.001282287783</v>
      </c>
      <c r="AD185" s="1005">
        <f t="shared" si="149"/>
        <v>6113.1897720239795</v>
      </c>
      <c r="AE185" s="649">
        <f t="shared" si="150"/>
        <v>0.52906659518408883</v>
      </c>
      <c r="AF185" s="417">
        <f t="shared" si="151"/>
        <v>0.24507214553848355</v>
      </c>
      <c r="AG185" s="417">
        <f t="shared" si="152"/>
        <v>3.9610085712739038E-2</v>
      </c>
      <c r="AH185" s="417">
        <f t="shared" si="165"/>
        <v>0</v>
      </c>
      <c r="AI185" s="417">
        <f t="shared" si="153"/>
        <v>0.18625117356468859</v>
      </c>
      <c r="AJ185" s="417">
        <f t="shared" si="154"/>
        <v>1</v>
      </c>
      <c r="AK185" s="1499">
        <f t="shared" si="155"/>
        <v>34173.470194546295</v>
      </c>
      <c r="AL185" s="1500">
        <f t="shared" si="156"/>
        <v>0</v>
      </c>
      <c r="AM185" s="1500">
        <f t="shared" si="157"/>
        <v>0</v>
      </c>
      <c r="AN185" s="1500">
        <f t="shared" si="158"/>
        <v>34173.470194546295</v>
      </c>
      <c r="AO185" s="1186">
        <f t="shared" si="159"/>
        <v>0</v>
      </c>
    </row>
    <row r="186" spans="1:41">
      <c r="A186" s="873">
        <f>'Input data'!A126</f>
        <v>2026</v>
      </c>
      <c r="B186" s="1553">
        <f>'Input data'!B126</f>
        <v>63.421065342005143</v>
      </c>
      <c r="C186" s="1552">
        <f>'Input data'!C126</f>
        <v>3393.1756913606432</v>
      </c>
      <c r="D186" s="1513">
        <f>'Input data'!E126</f>
        <v>46479674.028888769</v>
      </c>
      <c r="E186" s="1510">
        <f>'Input data'!J126*C186</f>
        <v>40959.591459892159</v>
      </c>
      <c r="F186" s="1511">
        <f>'Input data'!L126</f>
        <v>87439.265488780919</v>
      </c>
      <c r="G186" s="1559">
        <f t="shared" si="167"/>
        <v>26007.089172093853</v>
      </c>
      <c r="H186" s="1511">
        <f t="shared" si="160"/>
        <v>41114.771230982733</v>
      </c>
      <c r="I186" s="1513">
        <f t="shared" si="136"/>
        <v>46479.674028888767</v>
      </c>
      <c r="J186" s="1456">
        <f t="shared" si="161"/>
        <v>0.2958608426446665</v>
      </c>
      <c r="K186" s="1514">
        <f t="shared" si="162"/>
        <v>10890.796696917872</v>
      </c>
      <c r="L186" s="1514">
        <f t="shared" si="137"/>
        <v>0</v>
      </c>
      <c r="M186" s="1513">
        <f t="shared" si="163"/>
        <v>10890.796696917872</v>
      </c>
      <c r="N186" s="1456">
        <f>($N$147-$N$142)/($A$107-$A$102)+N185</f>
        <v>0.5</v>
      </c>
      <c r="O186" s="530">
        <f t="shared" si="138"/>
        <v>751.91700000000026</v>
      </c>
      <c r="P186" s="1212">
        <f t="shared" si="166"/>
        <v>11642.713696917872</v>
      </c>
      <c r="Q186" s="1366">
        <f t="shared" si="139"/>
        <v>55479.146706158717</v>
      </c>
      <c r="R186" s="1366">
        <f t="shared" si="164"/>
        <v>29472.057534064865</v>
      </c>
      <c r="S186" s="576">
        <f t="shared" si="140"/>
        <v>1.2954187867924141</v>
      </c>
      <c r="T186" s="135" t="str">
        <f t="shared" si="141"/>
        <v>No</v>
      </c>
      <c r="U186" s="1528">
        <f t="shared" si="142"/>
        <v>1</v>
      </c>
      <c r="V186" s="1496">
        <f t="shared" si="134"/>
        <v>64688.277287474535</v>
      </c>
      <c r="W186" s="1529">
        <f t="shared" si="135"/>
        <v>0.26019189518724284</v>
      </c>
      <c r="X186" s="527">
        <f t="shared" si="143"/>
        <v>32728.158504852316</v>
      </c>
      <c r="Y186" s="1511">
        <f t="shared" si="144"/>
        <v>17031.483472706295</v>
      </c>
      <c r="Z186" s="1533">
        <f t="shared" si="145"/>
        <v>2602.8603334669356</v>
      </c>
      <c r="AA186" s="1533">
        <f t="shared" si="146"/>
        <v>0</v>
      </c>
      <c r="AB186" s="1533">
        <f t="shared" si="147"/>
        <v>12325.774976448984</v>
      </c>
      <c r="AC186" s="1533">
        <f t="shared" si="148"/>
        <v>64688.277287474535</v>
      </c>
      <c r="AD186" s="1005">
        <f t="shared" si="149"/>
        <v>6721.0693327584631</v>
      </c>
      <c r="AE186" s="1456">
        <f t="shared" si="150"/>
        <v>0.50593646758296662</v>
      </c>
      <c r="AF186" s="1506">
        <f t="shared" si="151"/>
        <v>0.26328546974621736</v>
      </c>
      <c r="AG186" s="1506">
        <f t="shared" si="152"/>
        <v>4.0236970941424692E-2</v>
      </c>
      <c r="AH186" s="1506">
        <f t="shared" si="165"/>
        <v>0</v>
      </c>
      <c r="AI186" s="1506">
        <f t="shared" si="153"/>
        <v>0.19054109172939127</v>
      </c>
      <c r="AJ186" s="1506">
        <f t="shared" si="154"/>
        <v>0.99999999999999989</v>
      </c>
      <c r="AK186" s="1557">
        <f t="shared" si="155"/>
        <v>32728.158504852312</v>
      </c>
      <c r="AL186" s="1558">
        <f t="shared" si="156"/>
        <v>0</v>
      </c>
      <c r="AM186" s="1558">
        <f t="shared" si="157"/>
        <v>0</v>
      </c>
      <c r="AN186" s="1558">
        <f t="shared" si="158"/>
        <v>32728.158504852312</v>
      </c>
      <c r="AO186" s="1545">
        <f t="shared" si="159"/>
        <v>0</v>
      </c>
    </row>
    <row r="187" spans="1:41">
      <c r="A187" s="873">
        <f>'Input data'!A127</f>
        <v>2027</v>
      </c>
      <c r="B187" s="1553">
        <f>'Input data'!B127</f>
        <v>64.045537563425796</v>
      </c>
      <c r="C187" s="1552">
        <f>'Input data'!C127</f>
        <v>3472.5774012476563</v>
      </c>
      <c r="D187" s="1513">
        <f>'Input data'!E127</f>
        <v>45641833.264745638</v>
      </c>
      <c r="E187" s="1510">
        <f>'Input data'!J127*C187</f>
        <v>41918.062784106085</v>
      </c>
      <c r="F187" s="1511">
        <f>'Input data'!L127</f>
        <v>87559.896048851719</v>
      </c>
      <c r="G187" s="1559">
        <f>G177*(1-E5)</f>
        <v>23953.89792166539</v>
      </c>
      <c r="H187" s="1511">
        <f t="shared" si="160"/>
        <v>42931.666591504014</v>
      </c>
      <c r="I187" s="1513">
        <f t="shared" si="136"/>
        <v>45641.833264745641</v>
      </c>
      <c r="J187" s="1456">
        <f t="shared" si="161"/>
        <v>0.32189563198349985</v>
      </c>
      <c r="K187" s="1514">
        <f t="shared" si="162"/>
        <v>11882.7551408581</v>
      </c>
      <c r="L187" s="1514">
        <f t="shared" si="137"/>
        <v>0</v>
      </c>
      <c r="M187" s="1513">
        <f t="shared" si="163"/>
        <v>11882.7551408581</v>
      </c>
      <c r="N187" s="1456">
        <f>$C$27</f>
        <v>0.5</v>
      </c>
      <c r="O187" s="530">
        <f t="shared" si="138"/>
        <v>751.91700000000026</v>
      </c>
      <c r="P187" s="1212">
        <f t="shared" si="166"/>
        <v>12634.6721408581</v>
      </c>
      <c r="Q187" s="1366">
        <f t="shared" si="139"/>
        <v>54250.892372311304</v>
      </c>
      <c r="R187" s="1366">
        <f t="shared" si="164"/>
        <v>30296.994450645914</v>
      </c>
      <c r="S187" s="576">
        <f t="shared" si="140"/>
        <v>1.3002462909953691</v>
      </c>
      <c r="T187" s="135" t="str">
        <f t="shared" si="141"/>
        <v>No</v>
      </c>
      <c r="U187" s="1528">
        <f t="shared" si="142"/>
        <v>1</v>
      </c>
      <c r="V187" s="1496">
        <f t="shared" si="134"/>
        <v>64258.930177645256</v>
      </c>
      <c r="W187" s="1529">
        <f t="shared" si="135"/>
        <v>0.26611459038514973</v>
      </c>
      <c r="X187" s="527">
        <f t="shared" si="143"/>
        <v>30949.926501104819</v>
      </c>
      <c r="Y187" s="1511">
        <f t="shared" si="144"/>
        <v>18048.627314353078</v>
      </c>
      <c r="Z187" s="1533">
        <f t="shared" si="145"/>
        <v>2646.1731704518984</v>
      </c>
      <c r="AA187" s="1533">
        <f t="shared" si="146"/>
        <v>0</v>
      </c>
      <c r="AB187" s="1533">
        <f t="shared" si="147"/>
        <v>12614.203191735462</v>
      </c>
      <c r="AC187" s="1533">
        <f t="shared" si="148"/>
        <v>64258.930177645256</v>
      </c>
      <c r="AD187" s="1005">
        <f t="shared" si="149"/>
        <v>6996.0285794394294</v>
      </c>
      <c r="AE187" s="1456">
        <f t="shared" si="150"/>
        <v>0.48164397408333831</v>
      </c>
      <c r="AF187" s="1506">
        <f t="shared" si="151"/>
        <v>0.28087344847567869</v>
      </c>
      <c r="AG187" s="1506">
        <f t="shared" si="152"/>
        <v>4.1179851004934154E-2</v>
      </c>
      <c r="AH187" s="1506">
        <f t="shared" si="165"/>
        <v>0</v>
      </c>
      <c r="AI187" s="1506">
        <f t="shared" si="153"/>
        <v>0.19630272643604887</v>
      </c>
      <c r="AJ187" s="1506">
        <f t="shared" si="154"/>
        <v>1</v>
      </c>
      <c r="AK187" s="1557">
        <f t="shared" si="155"/>
        <v>30949.926501104819</v>
      </c>
      <c r="AL187" s="1558">
        <f t="shared" si="156"/>
        <v>0</v>
      </c>
      <c r="AM187" s="1558">
        <f t="shared" si="157"/>
        <v>0</v>
      </c>
      <c r="AN187" s="1558">
        <f t="shared" si="158"/>
        <v>30949.926501104819</v>
      </c>
      <c r="AO187" s="1545">
        <f t="shared" si="159"/>
        <v>0</v>
      </c>
    </row>
    <row r="188" spans="1:41">
      <c r="A188" s="873">
        <f>'Input data'!A128</f>
        <v>2028</v>
      </c>
      <c r="B188" s="1553">
        <f>'Input data'!B128</f>
        <v>64.676158618096451</v>
      </c>
      <c r="C188" s="1552">
        <f>'Input data'!C128</f>
        <v>3555.7273448150845</v>
      </c>
      <c r="D188" s="1513">
        <f>'Input data'!E128</f>
        <v>44757313.865039073</v>
      </c>
      <c r="E188" s="1510">
        <f>'Input data'!J128*C188</f>
        <v>42921.779664168149</v>
      </c>
      <c r="F188" s="1511">
        <f>'Input data'!L128</f>
        <v>87679.093529207224</v>
      </c>
      <c r="G188" s="1559">
        <f>($G$152-$G$147)/($A$152-$A$147)+G187</f>
        <v>21900.706671236927</v>
      </c>
      <c r="H188" s="1511">
        <f t="shared" si="160"/>
        <v>44730.718503003707</v>
      </c>
      <c r="I188" s="1513">
        <f t="shared" si="136"/>
        <v>44757.313865039076</v>
      </c>
      <c r="J188" s="1456">
        <f t="shared" si="161"/>
        <v>0.34793042132233321</v>
      </c>
      <c r="K188" s="1514">
        <f t="shared" si="162"/>
        <v>12817.71961633172</v>
      </c>
      <c r="L188" s="1514">
        <f t="shared" si="137"/>
        <v>0</v>
      </c>
      <c r="M188" s="1513">
        <f t="shared" si="163"/>
        <v>12817.71961633172</v>
      </c>
      <c r="N188" s="1456">
        <f>N187</f>
        <v>0.5</v>
      </c>
      <c r="O188" s="530">
        <f t="shared" si="138"/>
        <v>751.91700000000026</v>
      </c>
      <c r="P188" s="1212">
        <f t="shared" si="166"/>
        <v>13569.63661633172</v>
      </c>
      <c r="Q188" s="1366">
        <f t="shared" si="139"/>
        <v>53061.788557908912</v>
      </c>
      <c r="R188" s="1366">
        <f t="shared" si="164"/>
        <v>31161.081886671986</v>
      </c>
      <c r="S188" s="576">
        <f t="shared" si="140"/>
        <v>1.3050720305104722</v>
      </c>
      <c r="T188" s="135" t="str">
        <f t="shared" si="141"/>
        <v>No</v>
      </c>
      <c r="U188" s="1528">
        <f t="shared" si="142"/>
        <v>1</v>
      </c>
      <c r="V188" s="1496">
        <f t="shared" si="134"/>
        <v>63802.187766018447</v>
      </c>
      <c r="W188" s="1529">
        <f t="shared" si="135"/>
        <v>0.27232153985756047</v>
      </c>
      <c r="X188" s="527">
        <f t="shared" si="143"/>
        <v>29184.882794720124</v>
      </c>
      <c r="Y188" s="1511">
        <f t="shared" si="144"/>
        <v>19009.527403083772</v>
      </c>
      <c r="Z188" s="1533">
        <f t="shared" si="145"/>
        <v>2691.530631344991</v>
      </c>
      <c r="AA188" s="1533">
        <f t="shared" si="146"/>
        <v>0</v>
      </c>
      <c r="AB188" s="1533">
        <f t="shared" si="147"/>
        <v>12916.246936869558</v>
      </c>
      <c r="AC188" s="1533">
        <f t="shared" si="148"/>
        <v>63802.187766018447</v>
      </c>
      <c r="AD188" s="1005">
        <f t="shared" si="149"/>
        <v>7284.1761234831974</v>
      </c>
      <c r="AE188" s="1456">
        <f t="shared" si="150"/>
        <v>0.4574276183404517</v>
      </c>
      <c r="AF188" s="1506">
        <f t="shared" si="151"/>
        <v>0.29794475814524335</v>
      </c>
      <c r="AG188" s="1506">
        <f t="shared" si="152"/>
        <v>4.2185553906327354E-2</v>
      </c>
      <c r="AH188" s="1506">
        <f t="shared" si="165"/>
        <v>0</v>
      </c>
      <c r="AI188" s="1506">
        <f t="shared" si="153"/>
        <v>0.20244206960797753</v>
      </c>
      <c r="AJ188" s="1506">
        <f t="shared" si="154"/>
        <v>0.99999999999999989</v>
      </c>
      <c r="AK188" s="1557">
        <f t="shared" si="155"/>
        <v>29184.882794720128</v>
      </c>
      <c r="AL188" s="1558">
        <f t="shared" si="156"/>
        <v>0</v>
      </c>
      <c r="AM188" s="1558">
        <f t="shared" si="157"/>
        <v>0</v>
      </c>
      <c r="AN188" s="1558">
        <f t="shared" si="158"/>
        <v>29184.882794720128</v>
      </c>
      <c r="AO188" s="1545">
        <f t="shared" si="159"/>
        <v>0</v>
      </c>
    </row>
    <row r="189" spans="1:41">
      <c r="A189" s="873">
        <f>'Input data'!A129</f>
        <v>2029</v>
      </c>
      <c r="B189" s="1553">
        <f>'Input data'!B129</f>
        <v>65.31298905018393</v>
      </c>
      <c r="C189" s="1552">
        <f>'Input data'!C129</f>
        <v>3635.303730869829</v>
      </c>
      <c r="D189" s="1513">
        <f>'Input data'!E129</f>
        <v>43023314.860788628</v>
      </c>
      <c r="E189" s="1510">
        <f>'Input data'!J129*C189</f>
        <v>43882.359533626659</v>
      </c>
      <c r="F189" s="1511">
        <f>'Input data'!L129</f>
        <v>86905.674394415284</v>
      </c>
      <c r="G189" s="1559">
        <f t="shared" ref="G189:G191" si="168">($G$152-$G$147)/($A$152-$A$147)+G188</f>
        <v>19847.515420808464</v>
      </c>
      <c r="H189" s="1511">
        <f t="shared" si="160"/>
        <v>45707.822034793317</v>
      </c>
      <c r="I189" s="1513">
        <f t="shared" si="136"/>
        <v>43023.314860788625</v>
      </c>
      <c r="J189" s="1456">
        <f t="shared" si="161"/>
        <v>0.37396521066116656</v>
      </c>
      <c r="K189" s="1514">
        <f t="shared" si="162"/>
        <v>13441.235268707171</v>
      </c>
      <c r="L189" s="1514">
        <f t="shared" si="137"/>
        <v>0</v>
      </c>
      <c r="M189" s="1513">
        <f t="shared" si="163"/>
        <v>13441.235268707171</v>
      </c>
      <c r="N189" s="1456">
        <f t="shared" ref="N189:N210" si="169">N188</f>
        <v>0.5</v>
      </c>
      <c r="O189" s="530">
        <f t="shared" si="138"/>
        <v>751.91700000000026</v>
      </c>
      <c r="P189" s="1212">
        <f t="shared" si="166"/>
        <v>14193.15226870717</v>
      </c>
      <c r="Q189" s="1366">
        <f t="shared" si="139"/>
        <v>51362.185186894611</v>
      </c>
      <c r="R189" s="1366">
        <f t="shared" si="164"/>
        <v>31514.669766086146</v>
      </c>
      <c r="S189" s="576">
        <f t="shared" si="140"/>
        <v>1.2900994497849489</v>
      </c>
      <c r="T189" s="135" t="str">
        <f t="shared" si="141"/>
        <v>No</v>
      </c>
      <c r="U189" s="1528">
        <f t="shared" si="142"/>
        <v>1</v>
      </c>
      <c r="V189" s="1496">
        <f t="shared" si="134"/>
        <v>62477.581063052799</v>
      </c>
      <c r="W189" s="1529">
        <f t="shared" si="135"/>
        <v>0.28108743763378785</v>
      </c>
      <c r="X189" s="527">
        <f t="shared" si="143"/>
        <v>26934.091855532108</v>
      </c>
      <c r="Y189" s="1511">
        <f t="shared" si="144"/>
        <v>19603.240788447583</v>
      </c>
      <c r="Z189" s="1533">
        <f t="shared" si="145"/>
        <v>2734.9387524288591</v>
      </c>
      <c r="AA189" s="1533">
        <f t="shared" si="146"/>
        <v>0</v>
      </c>
      <c r="AB189" s="1533">
        <f t="shared" si="147"/>
        <v>13205.309666644245</v>
      </c>
      <c r="AC189" s="1533">
        <f t="shared" si="148"/>
        <v>62477.581063052799</v>
      </c>
      <c r="AD189" s="1005">
        <f t="shared" si="149"/>
        <v>7086.5764347236436</v>
      </c>
      <c r="AE189" s="1456">
        <f t="shared" si="150"/>
        <v>0.43110010658623354</v>
      </c>
      <c r="AF189" s="1506">
        <f t="shared" si="151"/>
        <v>0.31376440084426221</v>
      </c>
      <c r="AG189" s="1506">
        <f t="shared" si="152"/>
        <v>4.3774722162638474E-2</v>
      </c>
      <c r="AH189" s="1506">
        <f t="shared" si="165"/>
        <v>0</v>
      </c>
      <c r="AI189" s="1506">
        <f t="shared" si="153"/>
        <v>0.21136077040686574</v>
      </c>
      <c r="AJ189" s="1506">
        <f t="shared" si="154"/>
        <v>1</v>
      </c>
      <c r="AK189" s="1557">
        <f t="shared" si="155"/>
        <v>26934.091855532111</v>
      </c>
      <c r="AL189" s="1558">
        <f t="shared" si="156"/>
        <v>0</v>
      </c>
      <c r="AM189" s="1558">
        <f t="shared" si="157"/>
        <v>0</v>
      </c>
      <c r="AN189" s="1558">
        <f t="shared" si="158"/>
        <v>26934.091855532111</v>
      </c>
      <c r="AO189" s="1545">
        <f t="shared" si="159"/>
        <v>0</v>
      </c>
    </row>
    <row r="190" spans="1:41">
      <c r="A190" s="873">
        <f>'Input data'!A130</f>
        <v>2030</v>
      </c>
      <c r="B190" s="1553">
        <f>'Input data'!B130</f>
        <v>65.956090000000003</v>
      </c>
      <c r="C190" s="1552">
        <f>'Input data'!C130</f>
        <v>3717.2759118719223</v>
      </c>
      <c r="D190" s="1513">
        <f>'Input data'!E130</f>
        <v>41579903.969008513</v>
      </c>
      <c r="E190" s="1510">
        <f>'Input data'!J130*C190</f>
        <v>44871.859444719004</v>
      </c>
      <c r="F190" s="1511">
        <f>'Input data'!L130</f>
        <v>86451.763413727516</v>
      </c>
      <c r="G190" s="1559">
        <f t="shared" si="168"/>
        <v>17794.324170380001</v>
      </c>
      <c r="H190" s="1511">
        <f t="shared" si="160"/>
        <v>46974.223163660732</v>
      </c>
      <c r="I190" s="1513">
        <f t="shared" si="136"/>
        <v>41579.903969008512</v>
      </c>
      <c r="J190" s="1506">
        <f>$H$19</f>
        <v>0.4</v>
      </c>
      <c r="K190" s="1514">
        <f t="shared" si="162"/>
        <v>14072.812527306756</v>
      </c>
      <c r="L190" s="1514">
        <f t="shared" si="137"/>
        <v>0</v>
      </c>
      <c r="M190" s="1513">
        <f t="shared" si="163"/>
        <v>14072.812527306756</v>
      </c>
      <c r="N190" s="1456">
        <f t="shared" si="169"/>
        <v>0.5</v>
      </c>
      <c r="O190" s="530">
        <f t="shared" si="138"/>
        <v>751.91700000000026</v>
      </c>
      <c r="P190" s="1212">
        <f t="shared" si="166"/>
        <v>14824.729527306756</v>
      </c>
      <c r="Q190" s="1366">
        <f t="shared" si="139"/>
        <v>49943.817806733976</v>
      </c>
      <c r="R190" s="1366">
        <f t="shared" si="164"/>
        <v>32149.493636353975</v>
      </c>
      <c r="S190" s="576">
        <f t="shared" si="140"/>
        <v>1.2861919452429416</v>
      </c>
      <c r="T190" s="135" t="str">
        <f t="shared" si="141"/>
        <v>No</v>
      </c>
      <c r="U190" s="1528">
        <f t="shared" si="142"/>
        <v>1</v>
      </c>
      <c r="V190" s="1496">
        <f t="shared" si="134"/>
        <v>61455.887988398666</v>
      </c>
      <c r="W190" s="1529">
        <f t="shared" si="135"/>
        <v>0.28913089147421367</v>
      </c>
      <c r="X190" s="527">
        <f t="shared" si="143"/>
        <v>24947.942381405108</v>
      </c>
      <c r="Y190" s="1511">
        <f t="shared" si="144"/>
        <v>20225.216684398358</v>
      </c>
      <c r="Z190" s="1533">
        <f t="shared" si="145"/>
        <v>2779.6537556460157</v>
      </c>
      <c r="AA190" s="1533">
        <f t="shared" si="146"/>
        <v>0</v>
      </c>
      <c r="AB190" s="1533">
        <f t="shared" si="147"/>
        <v>13503.075166949178</v>
      </c>
      <c r="AC190" s="1533">
        <f t="shared" si="148"/>
        <v>61455.887988398666</v>
      </c>
      <c r="AD190" s="1005">
        <f t="shared" si="149"/>
        <v>7153.6182110251066</v>
      </c>
      <c r="AE190" s="1456">
        <f t="shared" si="150"/>
        <v>0.40594877395823581</v>
      </c>
      <c r="AF190" s="1506">
        <f t="shared" si="151"/>
        <v>0.32910136597841322</v>
      </c>
      <c r="AG190" s="1506">
        <f t="shared" si="152"/>
        <v>4.5230064142442211E-2</v>
      </c>
      <c r="AH190" s="1506">
        <f t="shared" si="165"/>
        <v>0</v>
      </c>
      <c r="AI190" s="1506">
        <f t="shared" si="153"/>
        <v>0.21971979592090868</v>
      </c>
      <c r="AJ190" s="1506">
        <f t="shared" si="154"/>
        <v>1</v>
      </c>
      <c r="AK190" s="1557">
        <f t="shared" si="155"/>
        <v>24947.942381405112</v>
      </c>
      <c r="AL190" s="1558">
        <f t="shared" si="156"/>
        <v>0</v>
      </c>
      <c r="AM190" s="1558">
        <f t="shared" si="157"/>
        <v>0</v>
      </c>
      <c r="AN190" s="1558">
        <f t="shared" si="158"/>
        <v>24947.942381405112</v>
      </c>
      <c r="AO190" s="1545">
        <f t="shared" si="159"/>
        <v>0</v>
      </c>
    </row>
    <row r="191" spans="1:41">
      <c r="A191" s="873">
        <f>'Input data'!A131</f>
        <v>2031</v>
      </c>
      <c r="B191" s="1553">
        <f>'Input data'!B131</f>
        <v>66.518977190687664</v>
      </c>
      <c r="C191" s="1552">
        <f>'Input data'!C131</f>
        <v>3813.477009093895</v>
      </c>
      <c r="D191" s="1513">
        <f>'Input data'!E131</f>
        <v>40172018.684421316</v>
      </c>
      <c r="E191" s="1510">
        <f>'Input data'!J131*C191</f>
        <v>46033.118984046108</v>
      </c>
      <c r="F191" s="1511">
        <f>'Input data'!L131</f>
        <v>86205.137668467418</v>
      </c>
      <c r="G191" s="1559">
        <f t="shared" si="168"/>
        <v>15741.132919951538</v>
      </c>
      <c r="H191" s="1511">
        <f t="shared" si="160"/>
        <v>48372.520276501025</v>
      </c>
      <c r="I191" s="1513">
        <f t="shared" si="136"/>
        <v>40172.018684421317</v>
      </c>
      <c r="J191" s="1506">
        <f>J190</f>
        <v>0.4</v>
      </c>
      <c r="K191" s="1514">
        <f t="shared" si="162"/>
        <v>13596.310568939634</v>
      </c>
      <c r="L191" s="1514">
        <f t="shared" si="137"/>
        <v>0</v>
      </c>
      <c r="M191" s="1513">
        <f t="shared" si="163"/>
        <v>13596.310568939634</v>
      </c>
      <c r="N191" s="1456">
        <f t="shared" si="169"/>
        <v>0.5</v>
      </c>
      <c r="O191" s="530">
        <f t="shared" si="138"/>
        <v>751.91700000000026</v>
      </c>
      <c r="P191" s="1212">
        <f t="shared" si="166"/>
        <v>14348.227568939634</v>
      </c>
      <c r="Q191" s="1366">
        <f t="shared" si="139"/>
        <v>49765.42562751293</v>
      </c>
      <c r="R191" s="1366">
        <f t="shared" si="164"/>
        <v>34024.292707561392</v>
      </c>
      <c r="S191" s="576">
        <f t="shared" si="140"/>
        <v>1.3258517817233786</v>
      </c>
      <c r="T191" s="135" t="str">
        <f t="shared" si="141"/>
        <v>No</v>
      </c>
      <c r="U191" s="1528">
        <f t="shared" si="142"/>
        <v>1</v>
      </c>
      <c r="V191" s="1496">
        <f t="shared" si="134"/>
        <v>60542.923251607295</v>
      </c>
      <c r="W191" s="1529">
        <f t="shared" si="135"/>
        <v>0.29768776097259209</v>
      </c>
      <c r="X191" s="527">
        <f t="shared" si="143"/>
        <v>24103.211210652789</v>
      </c>
      <c r="Y191" s="1511">
        <f t="shared" si="144"/>
        <v>19755.05407593066</v>
      </c>
      <c r="Z191" s="1533">
        <f t="shared" si="145"/>
        <v>2832.1304900599107</v>
      </c>
      <c r="AA191" s="1533">
        <f t="shared" si="146"/>
        <v>0</v>
      </c>
      <c r="AB191" s="1533">
        <f t="shared" si="147"/>
        <v>13852.527474963932</v>
      </c>
      <c r="AC191" s="1533">
        <f t="shared" si="148"/>
        <v>60542.923251607295</v>
      </c>
      <c r="AD191" s="1005">
        <f t="shared" si="149"/>
        <v>8362.0782907012508</v>
      </c>
      <c r="AE191" s="1456">
        <f t="shared" si="150"/>
        <v>0.39811773063027472</v>
      </c>
      <c r="AF191" s="1506">
        <f t="shared" si="151"/>
        <v>0.32629831886101079</v>
      </c>
      <c r="AG191" s="1506">
        <f t="shared" si="152"/>
        <v>4.6778885754987447E-2</v>
      </c>
      <c r="AH191" s="1506">
        <f t="shared" si="165"/>
        <v>0</v>
      </c>
      <c r="AI191" s="1506">
        <f t="shared" si="153"/>
        <v>0.228805064753727</v>
      </c>
      <c r="AJ191" s="1506">
        <f t="shared" si="154"/>
        <v>0.99999999999999989</v>
      </c>
      <c r="AK191" s="1557">
        <f t="shared" si="155"/>
        <v>24103.211210652793</v>
      </c>
      <c r="AL191" s="1558">
        <f t="shared" si="156"/>
        <v>0</v>
      </c>
      <c r="AM191" s="1558">
        <f t="shared" si="157"/>
        <v>0</v>
      </c>
      <c r="AN191" s="1558">
        <f t="shared" si="158"/>
        <v>24103.211210652793</v>
      </c>
      <c r="AO191" s="1545">
        <f t="shared" si="159"/>
        <v>0</v>
      </c>
    </row>
    <row r="192" spans="1:41">
      <c r="A192" s="873">
        <f>'Input data'!A132</f>
        <v>2032</v>
      </c>
      <c r="B192" s="1553">
        <f>'Input data'!B132</f>
        <v>67.08666821358311</v>
      </c>
      <c r="C192" s="1552">
        <f>'Input data'!C132</f>
        <v>3916.9054384503629</v>
      </c>
      <c r="D192" s="1513">
        <f>'Input data'!E132</f>
        <v>39638613.148632608</v>
      </c>
      <c r="E192" s="1510">
        <f>'Input data'!J132*C192</f>
        <v>47281.620858725182</v>
      </c>
      <c r="F192" s="1511">
        <f>'Input data'!L132</f>
        <v>86920.234007357794</v>
      </c>
      <c r="G192" s="1559">
        <f>G177*(1-E6)</f>
        <v>13687.941669523079</v>
      </c>
      <c r="H192" s="1511">
        <f t="shared" si="160"/>
        <v>50641.535160321655</v>
      </c>
      <c r="I192" s="1513">
        <f t="shared" si="136"/>
        <v>39638.613148632605</v>
      </c>
      <c r="J192" s="1506">
        <f t="shared" ref="J192:J210" si="170">J191</f>
        <v>0.4</v>
      </c>
      <c r="K192" s="1514">
        <f t="shared" si="162"/>
        <v>13415.778259106088</v>
      </c>
      <c r="L192" s="1514">
        <f t="shared" si="137"/>
        <v>0</v>
      </c>
      <c r="M192" s="1513">
        <f t="shared" si="163"/>
        <v>13415.778259106088</v>
      </c>
      <c r="N192" s="1456">
        <f t="shared" si="169"/>
        <v>0.5</v>
      </c>
      <c r="O192" s="530">
        <f t="shared" si="138"/>
        <v>751.91700000000026</v>
      </c>
      <c r="P192" s="1212">
        <f t="shared" si="166"/>
        <v>14167.695259106087</v>
      </c>
      <c r="Q192" s="1366">
        <f t="shared" si="139"/>
        <v>50161.781570738647</v>
      </c>
      <c r="R192" s="1366">
        <f t="shared" si="164"/>
        <v>36473.839901215571</v>
      </c>
      <c r="S192" s="576">
        <f t="shared" si="140"/>
        <v>1.3827049571871139</v>
      </c>
      <c r="T192" s="135" t="str">
        <f t="shared" si="141"/>
        <v>No</v>
      </c>
      <c r="U192" s="1528">
        <f t="shared" si="142"/>
        <v>1</v>
      </c>
      <c r="V192" s="1496">
        <f t="shared" si="134"/>
        <v>60541.620325798714</v>
      </c>
      <c r="W192" s="1529">
        <f t="shared" si="135"/>
        <v>0.3034807025407471</v>
      </c>
      <c r="X192" s="527">
        <f t="shared" si="143"/>
        <v>23783.167889179564</v>
      </c>
      <c r="Y192" s="1511">
        <f t="shared" si="144"/>
        <v>19641.66957103182</v>
      </c>
      <c r="Z192" s="1533">
        <f t="shared" si="145"/>
        <v>2888.549661721353</v>
      </c>
      <c r="AA192" s="1533">
        <f t="shared" si="146"/>
        <v>0</v>
      </c>
      <c r="AB192" s="1533">
        <f t="shared" si="147"/>
        <v>14228.233203865982</v>
      </c>
      <c r="AC192" s="1533">
        <f t="shared" si="148"/>
        <v>60541.620325798714</v>
      </c>
      <c r="AD192" s="1005">
        <f t="shared" si="149"/>
        <v>10095.226219656484</v>
      </c>
      <c r="AE192" s="1456">
        <f t="shared" si="150"/>
        <v>0.39283996300714796</v>
      </c>
      <c r="AF192" s="1506">
        <f t="shared" si="151"/>
        <v>0.32443250552813296</v>
      </c>
      <c r="AG192" s="1506">
        <f t="shared" si="152"/>
        <v>4.7711799687172395E-2</v>
      </c>
      <c r="AH192" s="1506">
        <f t="shared" si="165"/>
        <v>0</v>
      </c>
      <c r="AI192" s="1506">
        <f t="shared" si="153"/>
        <v>0.23501573177754673</v>
      </c>
      <c r="AJ192" s="1506">
        <f t="shared" si="154"/>
        <v>1</v>
      </c>
      <c r="AK192" s="1557">
        <f t="shared" si="155"/>
        <v>23783.16788917956</v>
      </c>
      <c r="AL192" s="1558">
        <f t="shared" si="156"/>
        <v>0</v>
      </c>
      <c r="AM192" s="1558">
        <f t="shared" si="157"/>
        <v>0</v>
      </c>
      <c r="AN192" s="1558">
        <f t="shared" si="158"/>
        <v>23783.16788917956</v>
      </c>
      <c r="AO192" s="1545">
        <f t="shared" si="159"/>
        <v>0</v>
      </c>
    </row>
    <row r="193" spans="1:41">
      <c r="A193" s="873">
        <f>'Input data'!A133</f>
        <v>2033</v>
      </c>
      <c r="B193" s="1553">
        <f>'Input data'!B133</f>
        <v>67.659204065895452</v>
      </c>
      <c r="C193" s="1552">
        <f>'Input data'!C133</f>
        <v>4023.8304695138613</v>
      </c>
      <c r="D193" s="1513">
        <f>'Input data'!E133</f>
        <v>38783300.848650038</v>
      </c>
      <c r="E193" s="1510">
        <f>'Input data'!J133*C193</f>
        <v>48572.330797602815</v>
      </c>
      <c r="F193" s="1511">
        <f>'Input data'!L133</f>
        <v>87355.631646252848</v>
      </c>
      <c r="G193" s="1559">
        <f>G192</f>
        <v>13687.941669523079</v>
      </c>
      <c r="H193" s="1511">
        <f t="shared" si="160"/>
        <v>50579.483950642127</v>
      </c>
      <c r="I193" s="1513">
        <f t="shared" si="136"/>
        <v>38783.30084865004</v>
      </c>
      <c r="J193" s="1506">
        <f t="shared" si="170"/>
        <v>0.4</v>
      </c>
      <c r="K193" s="1514">
        <f t="shared" si="162"/>
        <v>13126.29587696962</v>
      </c>
      <c r="L193" s="1514">
        <f t="shared" si="137"/>
        <v>0</v>
      </c>
      <c r="M193" s="1513">
        <f t="shared" si="163"/>
        <v>13126.29587696962</v>
      </c>
      <c r="N193" s="1456">
        <f t="shared" si="169"/>
        <v>0.5</v>
      </c>
      <c r="O193" s="530">
        <f t="shared" si="138"/>
        <v>751.91700000000026</v>
      </c>
      <c r="P193" s="1212">
        <f t="shared" si="166"/>
        <v>13878.212876969619</v>
      </c>
      <c r="Q193" s="1366">
        <f t="shared" si="139"/>
        <v>50389.212743195589</v>
      </c>
      <c r="R193" s="1366">
        <f t="shared" si="164"/>
        <v>36701.271073672513</v>
      </c>
      <c r="S193" s="576">
        <f t="shared" si="140"/>
        <v>1.3533300189690385</v>
      </c>
      <c r="T193" s="135" t="str">
        <f t="shared" si="141"/>
        <v>No</v>
      </c>
      <c r="U193" s="1528">
        <f t="shared" si="142"/>
        <v>1</v>
      </c>
      <c r="V193" s="1496">
        <f t="shared" si="134"/>
        <v>60236.399412247294</v>
      </c>
      <c r="W193" s="1529">
        <f t="shared" si="135"/>
        <v>0.31044629548126956</v>
      </c>
      <c r="X193" s="527">
        <f t="shared" si="143"/>
        <v>23269.980509190023</v>
      </c>
      <c r="Y193" s="1511">
        <f t="shared" si="144"/>
        <v>19402.902303780367</v>
      </c>
      <c r="Z193" s="1533">
        <f t="shared" si="145"/>
        <v>2946.8761945712818</v>
      </c>
      <c r="AA193" s="1533">
        <f t="shared" si="146"/>
        <v>0</v>
      </c>
      <c r="AB193" s="1533">
        <f t="shared" si="147"/>
        <v>14616.640404705622</v>
      </c>
      <c r="AC193" s="1533">
        <f t="shared" si="148"/>
        <v>60236.399412247294</v>
      </c>
      <c r="AD193" s="1005">
        <f t="shared" si="149"/>
        <v>9582.0388396669441</v>
      </c>
      <c r="AE193" s="1456">
        <f t="shared" si="150"/>
        <v>0.38631094713902769</v>
      </c>
      <c r="AF193" s="1506">
        <f t="shared" si="151"/>
        <v>0.32211258463492026</v>
      </c>
      <c r="AG193" s="1506">
        <f t="shared" si="152"/>
        <v>4.8921851626678094E-2</v>
      </c>
      <c r="AH193" s="1506">
        <f t="shared" si="165"/>
        <v>0</v>
      </c>
      <c r="AI193" s="1506">
        <f t="shared" si="153"/>
        <v>0.24265461659937396</v>
      </c>
      <c r="AJ193" s="1506">
        <f t="shared" si="154"/>
        <v>1</v>
      </c>
      <c r="AK193" s="1557">
        <f t="shared" si="155"/>
        <v>23269.98050919002</v>
      </c>
      <c r="AL193" s="1558">
        <f t="shared" si="156"/>
        <v>0</v>
      </c>
      <c r="AM193" s="1558">
        <f t="shared" si="157"/>
        <v>0</v>
      </c>
      <c r="AN193" s="1558">
        <f t="shared" si="158"/>
        <v>23269.98050919002</v>
      </c>
      <c r="AO193" s="1545">
        <f t="shared" si="159"/>
        <v>0</v>
      </c>
    </row>
    <row r="194" spans="1:41">
      <c r="A194" s="873">
        <f>'Input data'!A134</f>
        <v>2034</v>
      </c>
      <c r="B194" s="1553">
        <f>'Input data'!B134</f>
        <v>68.236626094715163</v>
      </c>
      <c r="C194" s="1552">
        <f>'Input data'!C134</f>
        <v>4047.8499716455863</v>
      </c>
      <c r="D194" s="1513">
        <f>'Input data'!E134</f>
        <v>38249557.30478432</v>
      </c>
      <c r="E194" s="1510">
        <f>'Input data'!J134*C194</f>
        <v>48862.27422637675</v>
      </c>
      <c r="F194" s="1511">
        <f>'Input data'!L134</f>
        <v>87111.831531161064</v>
      </c>
      <c r="G194" s="1559">
        <f t="shared" ref="G194:G210" si="171">G193</f>
        <v>13687.941669523079</v>
      </c>
      <c r="H194" s="1511">
        <f t="shared" si="160"/>
        <v>50244.962718643277</v>
      </c>
      <c r="I194" s="1513">
        <f t="shared" si="136"/>
        <v>38249.557304784321</v>
      </c>
      <c r="J194" s="1506">
        <f t="shared" si="170"/>
        <v>0.4</v>
      </c>
      <c r="K194" s="1514">
        <f t="shared" si="162"/>
        <v>12945.649167538035</v>
      </c>
      <c r="L194" s="1514">
        <f t="shared" si="137"/>
        <v>0</v>
      </c>
      <c r="M194" s="1513">
        <f t="shared" si="163"/>
        <v>12945.649167538035</v>
      </c>
      <c r="N194" s="1456">
        <f t="shared" si="169"/>
        <v>0.5</v>
      </c>
      <c r="O194" s="530">
        <f t="shared" si="138"/>
        <v>751.91700000000026</v>
      </c>
      <c r="P194" s="1212">
        <f t="shared" si="166"/>
        <v>13697.566167538034</v>
      </c>
      <c r="Q194" s="1366">
        <f t="shared" si="139"/>
        <v>50235.33822062832</v>
      </c>
      <c r="R194" s="1366">
        <f t="shared" si="164"/>
        <v>36547.396551105237</v>
      </c>
      <c r="S194" s="576">
        <f t="shared" si="140"/>
        <v>1.3394388032758531</v>
      </c>
      <c r="T194" s="135" t="str">
        <f t="shared" si="141"/>
        <v>No</v>
      </c>
      <c r="U194" s="1528">
        <f t="shared" si="142"/>
        <v>1</v>
      </c>
      <c r="V194" s="1496">
        <f t="shared" si="134"/>
        <v>59826.227693403351</v>
      </c>
      <c r="W194" s="1529">
        <f t="shared" si="135"/>
        <v>0.31322500466537995</v>
      </c>
      <c r="X194" s="527">
        <f t="shared" si="143"/>
        <v>22949.734382870593</v>
      </c>
      <c r="Y194" s="1511">
        <f t="shared" si="144"/>
        <v>19212.62301706522</v>
      </c>
      <c r="Z194" s="1533">
        <f t="shared" si="145"/>
        <v>2959.9785922623614</v>
      </c>
      <c r="AA194" s="1533">
        <f t="shared" si="146"/>
        <v>0</v>
      </c>
      <c r="AB194" s="1533">
        <f t="shared" si="147"/>
        <v>14703.891701205175</v>
      </c>
      <c r="AC194" s="1533">
        <f t="shared" si="148"/>
        <v>59826.227693403351</v>
      </c>
      <c r="AD194" s="1005">
        <f t="shared" si="149"/>
        <v>9261.7927133475132</v>
      </c>
      <c r="AE194" s="1456">
        <f t="shared" si="150"/>
        <v>0.38360657637454737</v>
      </c>
      <c r="AF194" s="1506">
        <f t="shared" si="151"/>
        <v>0.32114047229462322</v>
      </c>
      <c r="AG194" s="1506">
        <f t="shared" si="152"/>
        <v>4.9476269963595568E-2</v>
      </c>
      <c r="AH194" s="1506">
        <f t="shared" si="165"/>
        <v>0</v>
      </c>
      <c r="AI194" s="1506">
        <f t="shared" si="153"/>
        <v>0.24577668136723382</v>
      </c>
      <c r="AJ194" s="1506">
        <f t="shared" si="154"/>
        <v>1</v>
      </c>
      <c r="AK194" s="1557">
        <f t="shared" si="155"/>
        <v>22949.734382870589</v>
      </c>
      <c r="AL194" s="1558">
        <f t="shared" si="156"/>
        <v>0</v>
      </c>
      <c r="AM194" s="1558">
        <f t="shared" si="157"/>
        <v>0</v>
      </c>
      <c r="AN194" s="1558">
        <f t="shared" si="158"/>
        <v>22949.734382870589</v>
      </c>
      <c r="AO194" s="1545">
        <f t="shared" si="159"/>
        <v>0</v>
      </c>
    </row>
    <row r="195" spans="1:41">
      <c r="A195" s="873">
        <f>'Input data'!A135</f>
        <v>2035</v>
      </c>
      <c r="B195" s="1553">
        <f>'Input data'!B135</f>
        <v>68.818976000000006</v>
      </c>
      <c r="C195" s="1552">
        <f>'Input data'!C135</f>
        <v>0</v>
      </c>
      <c r="D195" s="1513">
        <f>'Input data'!E135</f>
        <v>38181094.662935674</v>
      </c>
      <c r="E195" s="1510">
        <f>'Input data'!J135*C195</f>
        <v>0</v>
      </c>
      <c r="F195" s="1511">
        <f>'Input data'!L135</f>
        <v>38181.094662935677</v>
      </c>
      <c r="G195" s="1559">
        <f t="shared" si="171"/>
        <v>13687.941669523079</v>
      </c>
      <c r="H195" s="1511">
        <f t="shared" si="160"/>
        <v>22143.192959820935</v>
      </c>
      <c r="I195" s="1513">
        <f t="shared" si="136"/>
        <v>38181.094662935677</v>
      </c>
      <c r="J195" s="1506">
        <f t="shared" si="170"/>
        <v>0.4</v>
      </c>
      <c r="K195" s="1514">
        <f t="shared" si="162"/>
        <v>12922.477831582613</v>
      </c>
      <c r="L195" s="1514">
        <f t="shared" si="137"/>
        <v>0</v>
      </c>
      <c r="M195" s="1513">
        <f t="shared" si="163"/>
        <v>12922.477831582613</v>
      </c>
      <c r="N195" s="1456">
        <f t="shared" si="169"/>
        <v>0.5</v>
      </c>
      <c r="O195" s="530">
        <f t="shared" si="138"/>
        <v>751.91700000000026</v>
      </c>
      <c r="P195" s="1212">
        <f t="shared" si="166"/>
        <v>13674.394831582613</v>
      </c>
      <c r="Q195" s="1366">
        <f t="shared" si="139"/>
        <v>22156.739797761402</v>
      </c>
      <c r="R195" s="1366">
        <f t="shared" si="164"/>
        <v>8468.7981282383225</v>
      </c>
      <c r="S195" s="576">
        <f t="shared" si="140"/>
        <v>-11.262942755966773</v>
      </c>
      <c r="T195" s="135" t="str">
        <f t="shared" si="141"/>
        <v>No</v>
      </c>
      <c r="U195" s="1528">
        <f t="shared" si="142"/>
        <v>0</v>
      </c>
      <c r="V195" s="1496">
        <f t="shared" si="134"/>
        <v>38181.094662935677</v>
      </c>
      <c r="W195" s="1529">
        <f t="shared" si="135"/>
        <v>0</v>
      </c>
      <c r="X195" s="527">
        <f t="shared" si="143"/>
        <v>22156.739797761405</v>
      </c>
      <c r="Y195" s="1511">
        <f t="shared" si="144"/>
        <v>15272.437865174272</v>
      </c>
      <c r="Z195" s="1533">
        <f t="shared" si="145"/>
        <v>751.91700000000026</v>
      </c>
      <c r="AA195" s="1533">
        <f t="shared" si="146"/>
        <v>0</v>
      </c>
      <c r="AB195" s="1533">
        <f t="shared" si="147"/>
        <v>0</v>
      </c>
      <c r="AC195" s="1533">
        <f t="shared" si="148"/>
        <v>38181.094662935677</v>
      </c>
      <c r="AD195" s="1005">
        <f t="shared" si="149"/>
        <v>8468.7981282383262</v>
      </c>
      <c r="AE195" s="1456">
        <f t="shared" si="150"/>
        <v>0.58030656253735113</v>
      </c>
      <c r="AF195" s="1506">
        <f t="shared" si="151"/>
        <v>0.4</v>
      </c>
      <c r="AG195" s="1506">
        <f t="shared" si="152"/>
        <v>1.9693437462648868E-2</v>
      </c>
      <c r="AH195" s="1506">
        <f t="shared" si="165"/>
        <v>0</v>
      </c>
      <c r="AI195" s="1506">
        <f t="shared" si="153"/>
        <v>0</v>
      </c>
      <c r="AJ195" s="1506">
        <f t="shared" si="154"/>
        <v>1</v>
      </c>
      <c r="AK195" s="1557">
        <f t="shared" si="155"/>
        <v>22908.656797761403</v>
      </c>
      <c r="AL195" s="1558">
        <f t="shared" si="156"/>
        <v>0</v>
      </c>
      <c r="AM195" s="1558">
        <f t="shared" si="157"/>
        <v>-751.91700000000026</v>
      </c>
      <c r="AN195" s="1558">
        <f t="shared" si="158"/>
        <v>22156.739797761402</v>
      </c>
      <c r="AO195" s="1545">
        <f t="shared" si="159"/>
        <v>0</v>
      </c>
    </row>
    <row r="196" spans="1:41">
      <c r="A196" s="873">
        <f>'Input data'!A136</f>
        <v>2036</v>
      </c>
      <c r="B196" s="1553">
        <f>'Input data'!B136</f>
        <v>69.322810489383542</v>
      </c>
      <c r="C196" s="1552">
        <f>'Input data'!C136</f>
        <v>0</v>
      </c>
      <c r="D196" s="1513">
        <f>'Input data'!E136</f>
        <v>32537026.437175773</v>
      </c>
      <c r="E196" s="1510">
        <f>'Input data'!J136*C196</f>
        <v>0</v>
      </c>
      <c r="F196" s="1511">
        <f>'Input data'!L136</f>
        <v>32537.026437175773</v>
      </c>
      <c r="G196" s="1559">
        <f t="shared" si="171"/>
        <v>13687.941669523079</v>
      </c>
      <c r="H196" s="1511">
        <f t="shared" si="160"/>
        <v>16846.50436983339</v>
      </c>
      <c r="I196" s="1513">
        <f t="shared" si="136"/>
        <v>32537.026437175773</v>
      </c>
      <c r="J196" s="1506">
        <f t="shared" si="170"/>
        <v>0.4</v>
      </c>
      <c r="K196" s="1514">
        <f t="shared" si="162"/>
        <v>11012.230177051004</v>
      </c>
      <c r="L196" s="1514">
        <f t="shared" si="137"/>
        <v>0</v>
      </c>
      <c r="M196" s="1513">
        <f t="shared" si="163"/>
        <v>11012.230177051004</v>
      </c>
      <c r="N196" s="1456">
        <f t="shared" si="169"/>
        <v>0.5</v>
      </c>
      <c r="O196" s="530">
        <f t="shared" si="138"/>
        <v>751.91700000000026</v>
      </c>
      <c r="P196" s="1212">
        <f t="shared" si="166"/>
        <v>11764.147177051003</v>
      </c>
      <c r="Q196" s="1366">
        <f t="shared" si="139"/>
        <v>18770.298862305466</v>
      </c>
      <c r="R196" s="1366">
        <f t="shared" si="164"/>
        <v>5082.3571927823868</v>
      </c>
      <c r="S196" s="576">
        <f t="shared" si="140"/>
        <v>-6.7591997425013703</v>
      </c>
      <c r="T196" s="135" t="str">
        <f t="shared" si="141"/>
        <v>No</v>
      </c>
      <c r="U196" s="1528">
        <f t="shared" si="142"/>
        <v>0</v>
      </c>
      <c r="V196" s="1496">
        <f t="shared" si="134"/>
        <v>32537.026437175773</v>
      </c>
      <c r="W196" s="1529">
        <f t="shared" si="135"/>
        <v>0</v>
      </c>
      <c r="X196" s="527">
        <f t="shared" si="143"/>
        <v>18770.298862305463</v>
      </c>
      <c r="Y196" s="1511">
        <f t="shared" si="144"/>
        <v>13014.810574870309</v>
      </c>
      <c r="Z196" s="1533">
        <f t="shared" si="145"/>
        <v>751.91700000000026</v>
      </c>
      <c r="AA196" s="1533">
        <f t="shared" si="146"/>
        <v>0</v>
      </c>
      <c r="AB196" s="1533">
        <f t="shared" si="147"/>
        <v>0</v>
      </c>
      <c r="AC196" s="1533">
        <f t="shared" si="148"/>
        <v>32537.026437175773</v>
      </c>
      <c r="AD196" s="1005">
        <f t="shared" si="149"/>
        <v>5082.3571927823832</v>
      </c>
      <c r="AE196" s="1456">
        <f t="shared" si="150"/>
        <v>0.57689042047367656</v>
      </c>
      <c r="AF196" s="1506">
        <f t="shared" si="151"/>
        <v>0.4</v>
      </c>
      <c r="AG196" s="1506">
        <f t="shared" si="152"/>
        <v>2.3109579526323393E-2</v>
      </c>
      <c r="AH196" s="1506">
        <f t="shared" si="165"/>
        <v>0</v>
      </c>
      <c r="AI196" s="1506">
        <f t="shared" si="153"/>
        <v>0</v>
      </c>
      <c r="AJ196" s="1506">
        <f t="shared" si="154"/>
        <v>1</v>
      </c>
      <c r="AK196" s="1557">
        <f t="shared" si="155"/>
        <v>19522.215862305464</v>
      </c>
      <c r="AL196" s="1558">
        <f t="shared" si="156"/>
        <v>0</v>
      </c>
      <c r="AM196" s="1558">
        <f t="shared" si="157"/>
        <v>-751.91700000000026</v>
      </c>
      <c r="AN196" s="1558">
        <f t="shared" si="158"/>
        <v>18770.298862305463</v>
      </c>
      <c r="AO196" s="1545">
        <f t="shared" si="159"/>
        <v>0</v>
      </c>
    </row>
    <row r="197" spans="1:41">
      <c r="A197" s="873">
        <f>'Input data'!A137</f>
        <v>2037</v>
      </c>
      <c r="B197" s="1553">
        <f>'Input data'!B137</f>
        <v>69.830333629884052</v>
      </c>
      <c r="C197" s="1552">
        <f>'Input data'!C137</f>
        <v>0</v>
      </c>
      <c r="D197" s="1513">
        <f>'Input data'!E137</f>
        <v>27502394.556130182</v>
      </c>
      <c r="E197" s="1510">
        <f>'Input data'!J137*C197</f>
        <v>0</v>
      </c>
      <c r="F197" s="1511">
        <f>'Input data'!L137</f>
        <v>27502.394556130181</v>
      </c>
      <c r="G197" s="1559">
        <f t="shared" si="171"/>
        <v>13687.941669523079</v>
      </c>
      <c r="H197" s="1511">
        <f t="shared" si="160"/>
        <v>12121.742695725279</v>
      </c>
      <c r="I197" s="1513">
        <f t="shared" si="136"/>
        <v>27502.394556130181</v>
      </c>
      <c r="J197" s="1506">
        <f t="shared" si="170"/>
        <v>0.4</v>
      </c>
      <c r="K197" s="1514">
        <f t="shared" si="162"/>
        <v>9308.2476315702534</v>
      </c>
      <c r="L197" s="1514">
        <f t="shared" si="137"/>
        <v>0</v>
      </c>
      <c r="M197" s="1513">
        <f t="shared" si="163"/>
        <v>9308.2476315702534</v>
      </c>
      <c r="N197" s="1456">
        <f t="shared" si="169"/>
        <v>0.5</v>
      </c>
      <c r="O197" s="530">
        <f t="shared" si="138"/>
        <v>751.91700000000026</v>
      </c>
      <c r="P197" s="1212">
        <f t="shared" si="166"/>
        <v>10060.164631570253</v>
      </c>
      <c r="Q197" s="1366">
        <f t="shared" si="139"/>
        <v>15749.519733678106</v>
      </c>
      <c r="R197" s="1366">
        <f t="shared" si="164"/>
        <v>2061.5780641550264</v>
      </c>
      <c r="S197" s="576">
        <f t="shared" si="140"/>
        <v>-2.7417628064733512</v>
      </c>
      <c r="T197" s="135" t="str">
        <f t="shared" si="141"/>
        <v>No</v>
      </c>
      <c r="U197" s="1528">
        <f t="shared" si="142"/>
        <v>0</v>
      </c>
      <c r="V197" s="1496">
        <f t="shared" si="134"/>
        <v>27502.394556130181</v>
      </c>
      <c r="W197" s="1529">
        <f t="shared" si="135"/>
        <v>0</v>
      </c>
      <c r="X197" s="527">
        <f t="shared" si="143"/>
        <v>15749.519733678108</v>
      </c>
      <c r="Y197" s="1511">
        <f t="shared" si="144"/>
        <v>11000.957822452074</v>
      </c>
      <c r="Z197" s="1533">
        <f t="shared" si="145"/>
        <v>751.91700000000026</v>
      </c>
      <c r="AA197" s="1533">
        <f t="shared" si="146"/>
        <v>0</v>
      </c>
      <c r="AB197" s="1533">
        <f t="shared" si="147"/>
        <v>0</v>
      </c>
      <c r="AC197" s="1533">
        <f t="shared" si="148"/>
        <v>27502.394556130181</v>
      </c>
      <c r="AD197" s="1005">
        <f t="shared" si="149"/>
        <v>2061.5780641550282</v>
      </c>
      <c r="AE197" s="1456">
        <f t="shared" si="150"/>
        <v>0.57265994426538391</v>
      </c>
      <c r="AF197" s="1506">
        <f t="shared" si="151"/>
        <v>0.40000000000000008</v>
      </c>
      <c r="AG197" s="1506">
        <f t="shared" si="152"/>
        <v>2.7340055734616054E-2</v>
      </c>
      <c r="AH197" s="1506">
        <f t="shared" si="165"/>
        <v>0</v>
      </c>
      <c r="AI197" s="1506">
        <f t="shared" si="153"/>
        <v>0</v>
      </c>
      <c r="AJ197" s="1506">
        <f t="shared" si="154"/>
        <v>1</v>
      </c>
      <c r="AK197" s="1557">
        <f t="shared" si="155"/>
        <v>16501.436733678107</v>
      </c>
      <c r="AL197" s="1558">
        <f t="shared" si="156"/>
        <v>0</v>
      </c>
      <c r="AM197" s="1558">
        <f t="shared" si="157"/>
        <v>-751.91700000000026</v>
      </c>
      <c r="AN197" s="1558">
        <f t="shared" si="158"/>
        <v>15749.519733678108</v>
      </c>
      <c r="AO197" s="1545">
        <f t="shared" si="159"/>
        <v>0</v>
      </c>
    </row>
    <row r="198" spans="1:41">
      <c r="A198" s="873">
        <f>'Input data'!A138</f>
        <v>2038</v>
      </c>
      <c r="B198" s="1553">
        <f>'Input data'!B138</f>
        <v>70.341572426693446</v>
      </c>
      <c r="C198" s="1552">
        <f>'Input data'!C138</f>
        <v>0</v>
      </c>
      <c r="D198" s="1513">
        <f>'Input data'!E138</f>
        <v>25672806.243326273</v>
      </c>
      <c r="E198" s="1510">
        <f>'Input data'!J138*C198</f>
        <v>0</v>
      </c>
      <c r="F198" s="1511">
        <f>'Input data'!L138</f>
        <v>25672.806243326271</v>
      </c>
      <c r="G198" s="1559">
        <f t="shared" si="171"/>
        <v>13687.941669523079</v>
      </c>
      <c r="H198" s="1511">
        <f t="shared" si="160"/>
        <v>10404.761406134596</v>
      </c>
      <c r="I198" s="1513">
        <f t="shared" si="136"/>
        <v>25672.806243326271</v>
      </c>
      <c r="J198" s="1506">
        <f t="shared" si="170"/>
        <v>0.4</v>
      </c>
      <c r="K198" s="1514">
        <f t="shared" si="162"/>
        <v>8689.0193296619145</v>
      </c>
      <c r="L198" s="1514">
        <f t="shared" si="137"/>
        <v>0</v>
      </c>
      <c r="M198" s="1513">
        <f t="shared" si="163"/>
        <v>8689.0193296619145</v>
      </c>
      <c r="N198" s="1456">
        <f t="shared" si="169"/>
        <v>0.5</v>
      </c>
      <c r="O198" s="530">
        <f t="shared" si="138"/>
        <v>751.91700000000026</v>
      </c>
      <c r="P198" s="1212">
        <f t="shared" si="166"/>
        <v>9440.936329661914</v>
      </c>
      <c r="Q198" s="1366">
        <f t="shared" si="139"/>
        <v>14651.766745995761</v>
      </c>
      <c r="R198" s="1366">
        <f t="shared" si="164"/>
        <v>963.82507647268176</v>
      </c>
      <c r="S198" s="576">
        <f t="shared" si="140"/>
        <v>-1.2818237604319096</v>
      </c>
      <c r="T198" s="135" t="str">
        <f t="shared" si="141"/>
        <v>No</v>
      </c>
      <c r="U198" s="1528">
        <f t="shared" si="142"/>
        <v>0</v>
      </c>
      <c r="V198" s="1496">
        <f t="shared" si="134"/>
        <v>25672.806243326275</v>
      </c>
      <c r="W198" s="1529">
        <f t="shared" si="135"/>
        <v>-2.2204460492503131E-16</v>
      </c>
      <c r="X198" s="527">
        <f t="shared" si="143"/>
        <v>14651.766745995763</v>
      </c>
      <c r="Y198" s="1511">
        <f t="shared" si="144"/>
        <v>10269.122497330509</v>
      </c>
      <c r="Z198" s="1533">
        <f t="shared" si="145"/>
        <v>751.91700000000026</v>
      </c>
      <c r="AA198" s="1533">
        <f t="shared" si="146"/>
        <v>0</v>
      </c>
      <c r="AB198" s="1533">
        <f t="shared" si="147"/>
        <v>0</v>
      </c>
      <c r="AC198" s="1533">
        <f t="shared" si="148"/>
        <v>25672.806243326275</v>
      </c>
      <c r="AD198" s="1005">
        <f t="shared" si="149"/>
        <v>963.82507647268358</v>
      </c>
      <c r="AE198" s="1456">
        <f t="shared" si="150"/>
        <v>0.57071153839306266</v>
      </c>
      <c r="AF198" s="1506">
        <f t="shared" si="151"/>
        <v>0.39999999999999997</v>
      </c>
      <c r="AG198" s="1506">
        <f t="shared" si="152"/>
        <v>2.9288461606937238E-2</v>
      </c>
      <c r="AH198" s="1506">
        <f t="shared" si="165"/>
        <v>0</v>
      </c>
      <c r="AI198" s="1506">
        <f t="shared" si="153"/>
        <v>0</v>
      </c>
      <c r="AJ198" s="1506">
        <f t="shared" si="154"/>
        <v>0.99999999999999989</v>
      </c>
      <c r="AK198" s="1557">
        <f t="shared" si="155"/>
        <v>15403.683745995761</v>
      </c>
      <c r="AL198" s="1558">
        <f t="shared" si="156"/>
        <v>0</v>
      </c>
      <c r="AM198" s="1558">
        <f t="shared" si="157"/>
        <v>-751.91700000000026</v>
      </c>
      <c r="AN198" s="1558">
        <f t="shared" si="158"/>
        <v>14651.766745995761</v>
      </c>
      <c r="AO198" s="1545">
        <f t="shared" si="159"/>
        <v>0</v>
      </c>
    </row>
    <row r="199" spans="1:41">
      <c r="A199" s="873">
        <f>'Input data'!A139</f>
        <v>2039</v>
      </c>
      <c r="B199" s="1553">
        <f>'Input data'!B139</f>
        <v>70.856554082712819</v>
      </c>
      <c r="C199" s="1552">
        <f>'Input data'!C139</f>
        <v>0</v>
      </c>
      <c r="D199" s="1513">
        <f>'Input data'!E139</f>
        <v>23843217.930522356</v>
      </c>
      <c r="E199" s="1510">
        <f>'Input data'!J139*C199</f>
        <v>0</v>
      </c>
      <c r="F199" s="1511">
        <f>'Input data'!L139</f>
        <v>23843.217930522354</v>
      </c>
      <c r="G199" s="1559">
        <f t="shared" si="171"/>
        <v>13687.941669523079</v>
      </c>
      <c r="H199" s="1511">
        <f t="shared" si="160"/>
        <v>8687.780116543905</v>
      </c>
      <c r="I199" s="1513">
        <f t="shared" si="136"/>
        <v>23843.217930522354</v>
      </c>
      <c r="J199" s="1506">
        <f t="shared" si="170"/>
        <v>0.4</v>
      </c>
      <c r="K199" s="1514">
        <f t="shared" si="162"/>
        <v>8069.7910277535739</v>
      </c>
      <c r="L199" s="1514">
        <f t="shared" si="137"/>
        <v>0</v>
      </c>
      <c r="M199" s="1513">
        <f t="shared" si="163"/>
        <v>8069.7910277535739</v>
      </c>
      <c r="N199" s="1456">
        <f t="shared" si="169"/>
        <v>0.5</v>
      </c>
      <c r="O199" s="530">
        <f t="shared" si="138"/>
        <v>751.91700000000026</v>
      </c>
      <c r="P199" s="1212">
        <f t="shared" si="166"/>
        <v>8821.7080277535733</v>
      </c>
      <c r="Q199" s="1366">
        <f t="shared" si="139"/>
        <v>13554.013758313411</v>
      </c>
      <c r="R199" s="1366">
        <f t="shared" si="164"/>
        <v>-133.92791120966831</v>
      </c>
      <c r="S199" s="576">
        <f t="shared" si="140"/>
        <v>0.17811528560953946</v>
      </c>
      <c r="T199" s="135" t="str">
        <f t="shared" si="141"/>
        <v>Yes</v>
      </c>
      <c r="U199" s="1528">
        <f t="shared" si="142"/>
        <v>0.17811528560953946</v>
      </c>
      <c r="V199" s="1496">
        <f t="shared" si="134"/>
        <v>23977.145841732025</v>
      </c>
      <c r="W199" s="1529">
        <f t="shared" si="135"/>
        <v>-5.6170233229393407E-3</v>
      </c>
      <c r="X199" s="527">
        <f t="shared" si="143"/>
        <v>13687.941669523079</v>
      </c>
      <c r="Y199" s="1511">
        <f t="shared" si="144"/>
        <v>9537.2871722089421</v>
      </c>
      <c r="Z199" s="1533">
        <f t="shared" si="145"/>
        <v>751.91700000000026</v>
      </c>
      <c r="AA199" s="1533">
        <f t="shared" si="146"/>
        <v>0</v>
      </c>
      <c r="AB199" s="1533">
        <f t="shared" si="147"/>
        <v>0</v>
      </c>
      <c r="AC199" s="1533">
        <f t="shared" si="148"/>
        <v>23977.145841732025</v>
      </c>
      <c r="AD199" s="1005">
        <f t="shared" si="149"/>
        <v>0</v>
      </c>
      <c r="AE199" s="1456">
        <f t="shared" si="150"/>
        <v>0.57087452192492949</v>
      </c>
      <c r="AF199" s="1506">
        <f t="shared" si="151"/>
        <v>0.39776574055821823</v>
      </c>
      <c r="AG199" s="1506">
        <f t="shared" si="152"/>
        <v>3.1359737516852192E-2</v>
      </c>
      <c r="AH199" s="1506">
        <f t="shared" si="165"/>
        <v>0</v>
      </c>
      <c r="AI199" s="1506">
        <f t="shared" si="153"/>
        <v>0</v>
      </c>
      <c r="AJ199" s="1506">
        <f t="shared" si="154"/>
        <v>0.99999999999999989</v>
      </c>
      <c r="AK199" s="1557">
        <f t="shared" si="155"/>
        <v>14305.93075831341</v>
      </c>
      <c r="AL199" s="1558">
        <f t="shared" si="156"/>
        <v>0</v>
      </c>
      <c r="AM199" s="1558">
        <f t="shared" si="157"/>
        <v>-617.98908879033206</v>
      </c>
      <c r="AN199" s="1558">
        <f t="shared" si="158"/>
        <v>13687.941669523079</v>
      </c>
      <c r="AO199" s="1545">
        <f t="shared" si="159"/>
        <v>0</v>
      </c>
    </row>
    <row r="200" spans="1:41">
      <c r="A200" s="873">
        <f>'Input data'!A140</f>
        <v>2040</v>
      </c>
      <c r="B200" s="1553">
        <f>'Input data'!B140</f>
        <v>71.375305999999995</v>
      </c>
      <c r="C200" s="1552">
        <f>'Input data'!C140</f>
        <v>0</v>
      </c>
      <c r="D200" s="1513">
        <f>'Input data'!E140</f>
        <v>22013629.617718432</v>
      </c>
      <c r="E200" s="1510">
        <f>'Input data'!J140*C200</f>
        <v>0</v>
      </c>
      <c r="F200" s="1511">
        <f>'Input data'!L140</f>
        <v>22013.62961771843</v>
      </c>
      <c r="G200" s="1559">
        <f t="shared" si="171"/>
        <v>13687.941669523079</v>
      </c>
      <c r="H200" s="1511">
        <f t="shared" si="160"/>
        <v>6970.7988269532107</v>
      </c>
      <c r="I200" s="1513">
        <f t="shared" si="136"/>
        <v>22013.62961771843</v>
      </c>
      <c r="J200" s="1506">
        <f t="shared" si="170"/>
        <v>0.4</v>
      </c>
      <c r="K200" s="1514">
        <f t="shared" si="162"/>
        <v>7450.5627258452305</v>
      </c>
      <c r="L200" s="1514">
        <f t="shared" si="137"/>
        <v>0</v>
      </c>
      <c r="M200" s="1513">
        <f t="shared" si="163"/>
        <v>7450.5627258452305</v>
      </c>
      <c r="N200" s="1456">
        <f t="shared" si="169"/>
        <v>0.5</v>
      </c>
      <c r="O200" s="530">
        <f t="shared" si="138"/>
        <v>751.91700000000026</v>
      </c>
      <c r="P200" s="1212">
        <f t="shared" si="166"/>
        <v>8202.4797258452309</v>
      </c>
      <c r="Q200" s="1366">
        <f t="shared" si="139"/>
        <v>12456.260770631059</v>
      </c>
      <c r="R200" s="1366">
        <f t="shared" si="164"/>
        <v>-1231.6808988920202</v>
      </c>
      <c r="S200" s="576">
        <f t="shared" si="140"/>
        <v>1.6380543316509948</v>
      </c>
      <c r="T200" s="135" t="str">
        <f t="shared" si="141"/>
        <v>No</v>
      </c>
      <c r="U200" s="1528">
        <f t="shared" si="142"/>
        <v>1</v>
      </c>
      <c r="V200" s="1496">
        <f t="shared" si="134"/>
        <v>22765.546617718432</v>
      </c>
      <c r="W200" s="1529">
        <f t="shared" si="135"/>
        <v>-3.4156884305657442E-2</v>
      </c>
      <c r="X200" s="527">
        <f t="shared" si="143"/>
        <v>13208.177770631059</v>
      </c>
      <c r="Y200" s="1511">
        <f t="shared" si="144"/>
        <v>8805.4518470873718</v>
      </c>
      <c r="Z200" s="1533">
        <f t="shared" si="145"/>
        <v>751.91700000000026</v>
      </c>
      <c r="AA200" s="1533">
        <f t="shared" si="146"/>
        <v>0</v>
      </c>
      <c r="AB200" s="1533">
        <f t="shared" si="147"/>
        <v>0</v>
      </c>
      <c r="AC200" s="1533">
        <f t="shared" si="148"/>
        <v>22765.546617718432</v>
      </c>
      <c r="AD200" s="1005">
        <f t="shared" si="149"/>
        <v>-479.76389889202073</v>
      </c>
      <c r="AE200" s="1456">
        <f t="shared" si="150"/>
        <v>0.58018276443892325</v>
      </c>
      <c r="AF200" s="1506">
        <f t="shared" si="151"/>
        <v>0.3867885096259488</v>
      </c>
      <c r="AG200" s="1506">
        <f t="shared" si="152"/>
        <v>3.3028725935127907E-2</v>
      </c>
      <c r="AH200" s="1506">
        <f t="shared" si="165"/>
        <v>0</v>
      </c>
      <c r="AI200" s="1506">
        <f t="shared" si="153"/>
        <v>0</v>
      </c>
      <c r="AJ200" s="1506">
        <f t="shared" si="154"/>
        <v>1</v>
      </c>
      <c r="AK200" s="1557">
        <f t="shared" si="155"/>
        <v>13208.17777063106</v>
      </c>
      <c r="AL200" s="1558">
        <f t="shared" si="156"/>
        <v>0</v>
      </c>
      <c r="AM200" s="1558">
        <f t="shared" si="157"/>
        <v>0</v>
      </c>
      <c r="AN200" s="1558">
        <f t="shared" si="158"/>
        <v>13208.17777063106</v>
      </c>
      <c r="AO200" s="1545">
        <f t="shared" si="159"/>
        <v>0</v>
      </c>
    </row>
    <row r="201" spans="1:41">
      <c r="A201" s="873">
        <f>'Input data'!A141</f>
        <v>2041</v>
      </c>
      <c r="B201" s="1553">
        <f>'Input data'!B141</f>
        <v>71.818612994947316</v>
      </c>
      <c r="C201" s="1552">
        <f>'Input data'!C141</f>
        <v>0</v>
      </c>
      <c r="D201" s="1513">
        <f>'Input data'!E141</f>
        <v>20405559.977125086</v>
      </c>
      <c r="E201" s="1510">
        <f>'Input data'!J141*C201</f>
        <v>0</v>
      </c>
      <c r="F201" s="1511">
        <f>'Input data'!L141</f>
        <v>20405.559977125085</v>
      </c>
      <c r="G201" s="1559">
        <f t="shared" si="171"/>
        <v>13687.941669523079</v>
      </c>
      <c r="H201" s="1511">
        <f t="shared" si="160"/>
        <v>5461.7022362419266</v>
      </c>
      <c r="I201" s="1513">
        <f t="shared" si="136"/>
        <v>20405.559977125085</v>
      </c>
      <c r="J201" s="1506">
        <f t="shared" si="170"/>
        <v>0.4</v>
      </c>
      <c r="K201" s="1514">
        <f t="shared" si="162"/>
        <v>6906.3079194899547</v>
      </c>
      <c r="L201" s="1514">
        <f t="shared" si="137"/>
        <v>0</v>
      </c>
      <c r="M201" s="1513">
        <f t="shared" si="163"/>
        <v>6906.3079194899547</v>
      </c>
      <c r="N201" s="1456">
        <f t="shared" si="169"/>
        <v>0.5</v>
      </c>
      <c r="O201" s="530">
        <f t="shared" si="138"/>
        <v>751.91700000000026</v>
      </c>
      <c r="P201" s="1212">
        <f t="shared" si="166"/>
        <v>7658.224919489955</v>
      </c>
      <c r="Q201" s="1366">
        <f t="shared" si="139"/>
        <v>11491.41898627505</v>
      </c>
      <c r="R201" s="1366">
        <f t="shared" si="164"/>
        <v>-2196.5226832480294</v>
      </c>
      <c r="S201" s="576">
        <f t="shared" si="140"/>
        <v>2.9212302464873456</v>
      </c>
      <c r="T201" s="135" t="str">
        <f t="shared" si="141"/>
        <v>No</v>
      </c>
      <c r="U201" s="1528">
        <f t="shared" si="142"/>
        <v>1</v>
      </c>
      <c r="V201" s="1496">
        <f t="shared" si="134"/>
        <v>21157.476977125087</v>
      </c>
      <c r="W201" s="1529">
        <f t="shared" si="135"/>
        <v>-3.6848633452985835E-2</v>
      </c>
      <c r="X201" s="527">
        <f t="shared" si="143"/>
        <v>12243.335986275051</v>
      </c>
      <c r="Y201" s="1511">
        <f t="shared" si="144"/>
        <v>8162.2239908500342</v>
      </c>
      <c r="Z201" s="1533">
        <f t="shared" si="145"/>
        <v>751.91700000000026</v>
      </c>
      <c r="AA201" s="1533">
        <f t="shared" si="146"/>
        <v>0</v>
      </c>
      <c r="AB201" s="1533">
        <f t="shared" si="147"/>
        <v>0</v>
      </c>
      <c r="AC201" s="1533">
        <f t="shared" si="148"/>
        <v>21157.476977125087</v>
      </c>
      <c r="AD201" s="1005">
        <f t="shared" si="149"/>
        <v>-1444.6056832480281</v>
      </c>
      <c r="AE201" s="1456">
        <f t="shared" si="150"/>
        <v>0.57867655956862096</v>
      </c>
      <c r="AF201" s="1506">
        <f t="shared" si="151"/>
        <v>0.38578437304574731</v>
      </c>
      <c r="AG201" s="1506">
        <f t="shared" si="152"/>
        <v>3.5539067385631722E-2</v>
      </c>
      <c r="AH201" s="1506">
        <f t="shared" si="165"/>
        <v>0</v>
      </c>
      <c r="AI201" s="1506">
        <f t="shared" si="153"/>
        <v>0</v>
      </c>
      <c r="AJ201" s="1506">
        <f t="shared" si="154"/>
        <v>1</v>
      </c>
      <c r="AK201" s="1557">
        <f t="shared" si="155"/>
        <v>12243.335986275051</v>
      </c>
      <c r="AL201" s="1558">
        <f t="shared" si="156"/>
        <v>0</v>
      </c>
      <c r="AM201" s="1558">
        <f t="shared" si="157"/>
        <v>0</v>
      </c>
      <c r="AN201" s="1558">
        <f t="shared" si="158"/>
        <v>12243.335986275051</v>
      </c>
      <c r="AO201" s="1545">
        <f t="shared" si="159"/>
        <v>0</v>
      </c>
    </row>
    <row r="202" spans="1:41">
      <c r="A202" s="873">
        <f>'Input data'!A142</f>
        <v>2042</v>
      </c>
      <c r="B202" s="1553">
        <f>'Input data'!B142</f>
        <v>72.264673338395411</v>
      </c>
      <c r="C202" s="1552">
        <f>'Input data'!C142</f>
        <v>0</v>
      </c>
      <c r="D202" s="1513">
        <f>'Input data'!E142</f>
        <v>18797490.33653174</v>
      </c>
      <c r="E202" s="1510">
        <f>'Input data'!J142*C202</f>
        <v>0</v>
      </c>
      <c r="F202" s="1511">
        <f>'Input data'!L142</f>
        <v>18797.49033653174</v>
      </c>
      <c r="G202" s="1559">
        <f t="shared" si="171"/>
        <v>13687.941669523079</v>
      </c>
      <c r="H202" s="1511">
        <f t="shared" si="160"/>
        <v>3952.6056455306425</v>
      </c>
      <c r="I202" s="1513">
        <f t="shared" si="136"/>
        <v>18797.49033653174</v>
      </c>
      <c r="J202" s="1506">
        <f t="shared" si="170"/>
        <v>0.4</v>
      </c>
      <c r="K202" s="1514">
        <f t="shared" si="162"/>
        <v>6362.0531131346797</v>
      </c>
      <c r="L202" s="1514">
        <f t="shared" si="137"/>
        <v>0</v>
      </c>
      <c r="M202" s="1513">
        <f t="shared" si="163"/>
        <v>6362.0531131346797</v>
      </c>
      <c r="N202" s="1456">
        <f t="shared" si="169"/>
        <v>0.5</v>
      </c>
      <c r="O202" s="530">
        <f t="shared" si="138"/>
        <v>751.91700000000026</v>
      </c>
      <c r="P202" s="1212">
        <f t="shared" si="166"/>
        <v>7113.9701131346801</v>
      </c>
      <c r="Q202" s="1366">
        <f t="shared" si="139"/>
        <v>10526.577201919041</v>
      </c>
      <c r="R202" s="1366">
        <f t="shared" si="164"/>
        <v>-3161.3644676040385</v>
      </c>
      <c r="S202" s="576">
        <f t="shared" si="140"/>
        <v>4.2044061613236909</v>
      </c>
      <c r="T202" s="135" t="str">
        <f t="shared" si="141"/>
        <v>No</v>
      </c>
      <c r="U202" s="1528">
        <f t="shared" si="142"/>
        <v>1</v>
      </c>
      <c r="V202" s="1496">
        <f t="shared" si="134"/>
        <v>19549.407336531742</v>
      </c>
      <c r="W202" s="1529">
        <f t="shared" si="135"/>
        <v>-4.0000924939362692E-2</v>
      </c>
      <c r="X202" s="527">
        <f t="shared" si="143"/>
        <v>11278.494201919044</v>
      </c>
      <c r="Y202" s="1511">
        <f t="shared" si="144"/>
        <v>7518.9961346126966</v>
      </c>
      <c r="Z202" s="1533">
        <f t="shared" si="145"/>
        <v>751.91700000000026</v>
      </c>
      <c r="AA202" s="1533">
        <f t="shared" si="146"/>
        <v>0</v>
      </c>
      <c r="AB202" s="1533">
        <f t="shared" si="147"/>
        <v>0</v>
      </c>
      <c r="AC202" s="1533">
        <f t="shared" si="148"/>
        <v>19549.407336531742</v>
      </c>
      <c r="AD202" s="1005">
        <f t="shared" si="149"/>
        <v>-2409.4474676040354</v>
      </c>
      <c r="AE202" s="1456">
        <f t="shared" si="150"/>
        <v>0.57692256382847262</v>
      </c>
      <c r="AF202" s="1506">
        <f t="shared" si="151"/>
        <v>0.3846150425523151</v>
      </c>
      <c r="AG202" s="1506">
        <f t="shared" si="152"/>
        <v>3.8462393619212283E-2</v>
      </c>
      <c r="AH202" s="1506">
        <f t="shared" si="165"/>
        <v>0</v>
      </c>
      <c r="AI202" s="1506">
        <f t="shared" si="153"/>
        <v>0</v>
      </c>
      <c r="AJ202" s="1506">
        <f t="shared" si="154"/>
        <v>1</v>
      </c>
      <c r="AK202" s="1557">
        <f t="shared" si="155"/>
        <v>11278.494201919042</v>
      </c>
      <c r="AL202" s="1558">
        <f t="shared" si="156"/>
        <v>0</v>
      </c>
      <c r="AM202" s="1558">
        <f t="shared" si="157"/>
        <v>0</v>
      </c>
      <c r="AN202" s="1558">
        <f t="shared" si="158"/>
        <v>11278.494201919042</v>
      </c>
      <c r="AO202" s="1545">
        <f t="shared" si="159"/>
        <v>0</v>
      </c>
    </row>
    <row r="203" spans="1:41">
      <c r="A203" s="873">
        <f>'Input data'!A143</f>
        <v>2043</v>
      </c>
      <c r="B203" s="1553">
        <f>'Input data'!B143</f>
        <v>72.713504131197794</v>
      </c>
      <c r="C203" s="1552">
        <f>'Input data'!C143</f>
        <v>0</v>
      </c>
      <c r="D203" s="1513">
        <f>'Input data'!E143</f>
        <v>17189420.695938386</v>
      </c>
      <c r="E203" s="1510">
        <f>'Input data'!J143*C203</f>
        <v>0</v>
      </c>
      <c r="F203" s="1511">
        <f>'Input data'!L143</f>
        <v>17189.420695938385</v>
      </c>
      <c r="G203" s="1559">
        <f t="shared" si="171"/>
        <v>13687.941669523079</v>
      </c>
      <c r="H203" s="1511">
        <f t="shared" si="160"/>
        <v>2443.5090548193511</v>
      </c>
      <c r="I203" s="1513">
        <f t="shared" si="136"/>
        <v>17189.420695938385</v>
      </c>
      <c r="J203" s="1506">
        <f t="shared" si="170"/>
        <v>0.4</v>
      </c>
      <c r="K203" s="1514">
        <f t="shared" si="162"/>
        <v>5817.7983067793994</v>
      </c>
      <c r="L203" s="1514">
        <f t="shared" si="137"/>
        <v>0</v>
      </c>
      <c r="M203" s="1513">
        <f t="shared" si="163"/>
        <v>5817.7983067793994</v>
      </c>
      <c r="N203" s="1456">
        <f t="shared" si="169"/>
        <v>0.5</v>
      </c>
      <c r="O203" s="530">
        <f t="shared" si="138"/>
        <v>751.91700000000026</v>
      </c>
      <c r="P203" s="1212">
        <f t="shared" si="166"/>
        <v>6569.7153067793997</v>
      </c>
      <c r="Q203" s="1366">
        <f t="shared" si="139"/>
        <v>9561.7354175630317</v>
      </c>
      <c r="R203" s="1366">
        <f t="shared" si="164"/>
        <v>-4126.2062519600477</v>
      </c>
      <c r="S203" s="576">
        <f t="shared" si="140"/>
        <v>5.4875820761600691</v>
      </c>
      <c r="T203" s="135" t="str">
        <f t="shared" si="141"/>
        <v>No</v>
      </c>
      <c r="U203" s="1528">
        <f t="shared" si="142"/>
        <v>1</v>
      </c>
      <c r="V203" s="1496">
        <f t="shared" si="134"/>
        <v>17941.337695938386</v>
      </c>
      <c r="W203" s="1529">
        <f t="shared" si="135"/>
        <v>-4.3743009918750131E-2</v>
      </c>
      <c r="X203" s="527">
        <f t="shared" si="143"/>
        <v>10313.652417563031</v>
      </c>
      <c r="Y203" s="1511">
        <f t="shared" si="144"/>
        <v>6875.7682783753544</v>
      </c>
      <c r="Z203" s="1533">
        <f t="shared" si="145"/>
        <v>751.91700000000026</v>
      </c>
      <c r="AA203" s="1533">
        <f t="shared" si="146"/>
        <v>0</v>
      </c>
      <c r="AB203" s="1533">
        <f t="shared" si="147"/>
        <v>0</v>
      </c>
      <c r="AC203" s="1533">
        <f t="shared" si="148"/>
        <v>17941.337695938386</v>
      </c>
      <c r="AD203" s="1005">
        <f t="shared" si="149"/>
        <v>-3374.2892519600482</v>
      </c>
      <c r="AE203" s="1456">
        <f t="shared" si="150"/>
        <v>0.57485414924762646</v>
      </c>
      <c r="AF203" s="1506">
        <f t="shared" si="151"/>
        <v>0.38323609949841764</v>
      </c>
      <c r="AG203" s="1506">
        <f t="shared" si="152"/>
        <v>4.1909751253955914E-2</v>
      </c>
      <c r="AH203" s="1506">
        <f t="shared" si="165"/>
        <v>0</v>
      </c>
      <c r="AI203" s="1506">
        <f t="shared" si="153"/>
        <v>0</v>
      </c>
      <c r="AJ203" s="1506">
        <f t="shared" si="154"/>
        <v>1</v>
      </c>
      <c r="AK203" s="1557">
        <f t="shared" si="155"/>
        <v>10313.652417563031</v>
      </c>
      <c r="AL203" s="1558">
        <f t="shared" si="156"/>
        <v>0</v>
      </c>
      <c r="AM203" s="1558">
        <f t="shared" si="157"/>
        <v>0</v>
      </c>
      <c r="AN203" s="1558">
        <f t="shared" si="158"/>
        <v>10313.652417563031</v>
      </c>
      <c r="AO203" s="1545">
        <f t="shared" si="159"/>
        <v>0</v>
      </c>
    </row>
    <row r="204" spans="1:41">
      <c r="A204" s="873">
        <f>'Input data'!A144</f>
        <v>2044</v>
      </c>
      <c r="B204" s="1553">
        <f>'Input data'!B144</f>
        <v>73.165122580420132</v>
      </c>
      <c r="C204" s="1552">
        <f>'Input data'!C144</f>
        <v>0</v>
      </c>
      <c r="D204" s="1513">
        <f>'Input data'!E144</f>
        <v>15581351.055345042</v>
      </c>
      <c r="E204" s="1510">
        <f>'Input data'!J144*C204</f>
        <v>0</v>
      </c>
      <c r="F204" s="1511">
        <f>'Input data'!L144</f>
        <v>15581.351055345041</v>
      </c>
      <c r="G204" s="1559">
        <f t="shared" si="171"/>
        <v>13687.941669523079</v>
      </c>
      <c r="H204" s="1511">
        <f t="shared" si="160"/>
        <v>934.41246410806889</v>
      </c>
      <c r="I204" s="1513">
        <f t="shared" si="136"/>
        <v>15581.351055345041</v>
      </c>
      <c r="J204" s="1506">
        <f t="shared" si="170"/>
        <v>0.4</v>
      </c>
      <c r="K204" s="1514">
        <f t="shared" si="162"/>
        <v>5273.5435004241244</v>
      </c>
      <c r="L204" s="1514">
        <f t="shared" si="137"/>
        <v>0</v>
      </c>
      <c r="M204" s="1513">
        <f t="shared" si="163"/>
        <v>5273.5435004241244</v>
      </c>
      <c r="N204" s="1456">
        <f t="shared" si="169"/>
        <v>0.5</v>
      </c>
      <c r="O204" s="530">
        <f t="shared" si="138"/>
        <v>751.91700000000026</v>
      </c>
      <c r="P204" s="1212">
        <f t="shared" si="166"/>
        <v>6025.4605004241248</v>
      </c>
      <c r="Q204" s="1366">
        <f t="shared" si="139"/>
        <v>8596.8936332070225</v>
      </c>
      <c r="R204" s="1366">
        <f t="shared" si="164"/>
        <v>-5091.0480363160568</v>
      </c>
      <c r="S204" s="576">
        <f t="shared" si="140"/>
        <v>6.7707579909964108</v>
      </c>
      <c r="T204" s="135" t="str">
        <f t="shared" si="141"/>
        <v>No</v>
      </c>
      <c r="U204" s="1528">
        <f t="shared" si="142"/>
        <v>1</v>
      </c>
      <c r="V204" s="1496">
        <f t="shared" si="134"/>
        <v>16333.268055345039</v>
      </c>
      <c r="W204" s="1529">
        <f t="shared" si="135"/>
        <v>-4.8257496883882922E-2</v>
      </c>
      <c r="X204" s="527">
        <f t="shared" si="143"/>
        <v>9348.8106332070238</v>
      </c>
      <c r="Y204" s="1511">
        <f t="shared" si="144"/>
        <v>6232.5404221380168</v>
      </c>
      <c r="Z204" s="1533">
        <f t="shared" si="145"/>
        <v>751.91700000000026</v>
      </c>
      <c r="AA204" s="1533">
        <f t="shared" si="146"/>
        <v>0</v>
      </c>
      <c r="AB204" s="1533">
        <f t="shared" si="147"/>
        <v>0</v>
      </c>
      <c r="AC204" s="1533">
        <f t="shared" si="148"/>
        <v>16333.268055345039</v>
      </c>
      <c r="AD204" s="1005">
        <f t="shared" si="149"/>
        <v>-4339.1310363160555</v>
      </c>
      <c r="AE204" s="1456">
        <f t="shared" si="150"/>
        <v>0.57237844879106348</v>
      </c>
      <c r="AF204" s="1506">
        <f t="shared" si="151"/>
        <v>0.38158563252737571</v>
      </c>
      <c r="AG204" s="1506">
        <f t="shared" si="152"/>
        <v>4.6035918681560879E-2</v>
      </c>
      <c r="AH204" s="1506">
        <f t="shared" si="165"/>
        <v>0</v>
      </c>
      <c r="AI204" s="1506">
        <f t="shared" si="153"/>
        <v>0</v>
      </c>
      <c r="AJ204" s="1506">
        <f t="shared" si="154"/>
        <v>1</v>
      </c>
      <c r="AK204" s="1557">
        <f t="shared" si="155"/>
        <v>9348.8106332070238</v>
      </c>
      <c r="AL204" s="1558">
        <f t="shared" si="156"/>
        <v>0</v>
      </c>
      <c r="AM204" s="1558">
        <f t="shared" si="157"/>
        <v>0</v>
      </c>
      <c r="AN204" s="1558">
        <f t="shared" si="158"/>
        <v>9348.8106332070238</v>
      </c>
      <c r="AO204" s="1545">
        <f t="shared" si="159"/>
        <v>0</v>
      </c>
    </row>
    <row r="205" spans="1:41">
      <c r="A205" s="873">
        <f>'Input data'!A145</f>
        <v>2045</v>
      </c>
      <c r="B205" s="1553">
        <f>'Input data'!B145</f>
        <v>73.619545999999971</v>
      </c>
      <c r="C205" s="1552">
        <f>'Input data'!C145</f>
        <v>0</v>
      </c>
      <c r="D205" s="1513">
        <f>'Input data'!E145</f>
        <v>13973281.414751694</v>
      </c>
      <c r="E205" s="1510">
        <f>'Input data'!J145*C205</f>
        <v>0</v>
      </c>
      <c r="F205" s="1511">
        <f>'Input data'!L145</f>
        <v>13973.281414751693</v>
      </c>
      <c r="G205" s="1559">
        <f t="shared" si="171"/>
        <v>13687.941669523079</v>
      </c>
      <c r="H205" s="1511">
        <f t="shared" si="160"/>
        <v>-574.68412660321701</v>
      </c>
      <c r="I205" s="1513">
        <f t="shared" si="136"/>
        <v>13973.281414751693</v>
      </c>
      <c r="J205" s="1506">
        <f t="shared" si="170"/>
        <v>0.4</v>
      </c>
      <c r="K205" s="1514">
        <f t="shared" si="162"/>
        <v>4729.2886940688468</v>
      </c>
      <c r="L205" s="1514">
        <f t="shared" si="137"/>
        <v>0</v>
      </c>
      <c r="M205" s="1513">
        <f t="shared" si="163"/>
        <v>4729.2886940688468</v>
      </c>
      <c r="N205" s="1456">
        <f t="shared" si="169"/>
        <v>0.5</v>
      </c>
      <c r="O205" s="530">
        <f t="shared" si="138"/>
        <v>751.91700000000026</v>
      </c>
      <c r="P205" s="1212">
        <f t="shared" si="166"/>
        <v>5481.2056940688472</v>
      </c>
      <c r="Q205" s="1366">
        <f t="shared" si="139"/>
        <v>7632.0518488510152</v>
      </c>
      <c r="R205" s="1366">
        <f t="shared" si="164"/>
        <v>-6055.8898206720642</v>
      </c>
      <c r="S205" s="576">
        <f t="shared" si="140"/>
        <v>8.0539339058327819</v>
      </c>
      <c r="T205" s="135" t="str">
        <f t="shared" si="141"/>
        <v>No</v>
      </c>
      <c r="U205" s="1528">
        <f t="shared" si="142"/>
        <v>1</v>
      </c>
      <c r="V205" s="1496">
        <f t="shared" si="134"/>
        <v>14725.198414751691</v>
      </c>
      <c r="W205" s="1529">
        <f t="shared" si="135"/>
        <v>-5.3811053945152398E-2</v>
      </c>
      <c r="X205" s="527">
        <f t="shared" si="143"/>
        <v>8383.9688488510146</v>
      </c>
      <c r="Y205" s="1511">
        <f t="shared" si="144"/>
        <v>5589.3125659006773</v>
      </c>
      <c r="Z205" s="1533">
        <f t="shared" si="145"/>
        <v>751.91700000000026</v>
      </c>
      <c r="AA205" s="1533">
        <f t="shared" si="146"/>
        <v>0</v>
      </c>
      <c r="AB205" s="1533">
        <f t="shared" si="147"/>
        <v>0</v>
      </c>
      <c r="AC205" s="1533">
        <f t="shared" si="148"/>
        <v>14725.198414751691</v>
      </c>
      <c r="AD205" s="1005">
        <f t="shared" si="149"/>
        <v>-5303.9728206720647</v>
      </c>
      <c r="AE205" s="1456">
        <f t="shared" si="150"/>
        <v>0.56936202913584932</v>
      </c>
      <c r="AF205" s="1506">
        <f t="shared" si="151"/>
        <v>0.37957468609056627</v>
      </c>
      <c r="AG205" s="1506">
        <f t="shared" si="152"/>
        <v>5.1063284773584475E-2</v>
      </c>
      <c r="AH205" s="1506">
        <f t="shared" si="165"/>
        <v>0</v>
      </c>
      <c r="AI205" s="1506">
        <f t="shared" si="153"/>
        <v>0</v>
      </c>
      <c r="AJ205" s="1506">
        <f t="shared" si="154"/>
        <v>1.0000000000000002</v>
      </c>
      <c r="AK205" s="1557">
        <f t="shared" si="155"/>
        <v>8383.9688488510146</v>
      </c>
      <c r="AL205" s="1558">
        <f t="shared" si="156"/>
        <v>0</v>
      </c>
      <c r="AM205" s="1558">
        <f t="shared" si="157"/>
        <v>0</v>
      </c>
      <c r="AN205" s="1558">
        <f t="shared" si="158"/>
        <v>8383.9688488510146</v>
      </c>
      <c r="AO205" s="1545">
        <f t="shared" si="159"/>
        <v>0</v>
      </c>
    </row>
    <row r="206" spans="1:41">
      <c r="A206" s="873">
        <f>'Input data'!A146</f>
        <v>2046</v>
      </c>
      <c r="B206" s="1553">
        <f>'Input data'!B146</f>
        <v>73.995362001779526</v>
      </c>
      <c r="C206" s="1552">
        <f>'Input data'!C146</f>
        <v>0</v>
      </c>
      <c r="D206" s="1513">
        <f>'Input data'!E146</f>
        <v>11178944.368399095</v>
      </c>
      <c r="E206" s="1510">
        <f>'Input data'!J146*C206</f>
        <v>0</v>
      </c>
      <c r="F206" s="1511">
        <f>'Input data'!L146</f>
        <v>11178.944368399094</v>
      </c>
      <c r="G206" s="1559">
        <f t="shared" si="171"/>
        <v>13687.941669523079</v>
      </c>
      <c r="H206" s="1511">
        <f t="shared" si="160"/>
        <v>-3197.0360468801173</v>
      </c>
      <c r="I206" s="1513">
        <f t="shared" si="136"/>
        <v>11178.944368399094</v>
      </c>
      <c r="J206" s="1506">
        <f t="shared" si="170"/>
        <v>0.4</v>
      </c>
      <c r="K206" s="1514">
        <f t="shared" si="162"/>
        <v>3783.5390016035058</v>
      </c>
      <c r="L206" s="1514">
        <f t="shared" si="137"/>
        <v>0</v>
      </c>
      <c r="M206" s="1513">
        <f t="shared" si="163"/>
        <v>3783.5390016035058</v>
      </c>
      <c r="N206" s="1456">
        <f t="shared" si="169"/>
        <v>0.5</v>
      </c>
      <c r="O206" s="530">
        <f t="shared" si="138"/>
        <v>751.91700000000026</v>
      </c>
      <c r="P206" s="1212">
        <f t="shared" si="166"/>
        <v>4535.4560016035057</v>
      </c>
      <c r="Q206" s="1366">
        <f t="shared" si="139"/>
        <v>5955.4496210394564</v>
      </c>
      <c r="R206" s="1366">
        <f t="shared" si="164"/>
        <v>-7732.492048483623</v>
      </c>
      <c r="S206" s="576">
        <f t="shared" si="140"/>
        <v>10.283704249915388</v>
      </c>
      <c r="T206" s="135" t="str">
        <f t="shared" si="141"/>
        <v>No</v>
      </c>
      <c r="U206" s="1528">
        <f t="shared" si="142"/>
        <v>1</v>
      </c>
      <c r="V206" s="1496">
        <f t="shared" si="134"/>
        <v>11930.861368399093</v>
      </c>
      <c r="W206" s="1529">
        <f t="shared" si="135"/>
        <v>-6.7261896581714442E-2</v>
      </c>
      <c r="X206" s="527">
        <f t="shared" si="143"/>
        <v>6707.3666210394558</v>
      </c>
      <c r="Y206" s="1511">
        <f t="shared" si="144"/>
        <v>4471.5777473596381</v>
      </c>
      <c r="Z206" s="1533">
        <f t="shared" si="145"/>
        <v>751.91700000000026</v>
      </c>
      <c r="AA206" s="1533">
        <f t="shared" si="146"/>
        <v>0</v>
      </c>
      <c r="AB206" s="1533">
        <f t="shared" si="147"/>
        <v>0</v>
      </c>
      <c r="AC206" s="1533">
        <f t="shared" si="148"/>
        <v>11930.861368399093</v>
      </c>
      <c r="AD206" s="1005">
        <f t="shared" si="149"/>
        <v>-6980.5750484836235</v>
      </c>
      <c r="AE206" s="649">
        <f t="shared" si="150"/>
        <v>0.56218628428665274</v>
      </c>
      <c r="AF206" s="417">
        <f t="shared" si="151"/>
        <v>0.37479085619110192</v>
      </c>
      <c r="AG206" s="417">
        <f t="shared" si="152"/>
        <v>6.3022859522245372E-2</v>
      </c>
      <c r="AH206" s="417">
        <f t="shared" si="165"/>
        <v>0</v>
      </c>
      <c r="AI206" s="417">
        <f t="shared" si="153"/>
        <v>0</v>
      </c>
      <c r="AJ206" s="417">
        <f t="shared" si="154"/>
        <v>1</v>
      </c>
      <c r="AK206" s="1499">
        <f t="shared" si="155"/>
        <v>6707.3666210394567</v>
      </c>
      <c r="AL206" s="1500">
        <f t="shared" si="156"/>
        <v>0</v>
      </c>
      <c r="AM206" s="1500">
        <f t="shared" si="157"/>
        <v>0</v>
      </c>
      <c r="AN206" s="1500">
        <f t="shared" si="158"/>
        <v>6707.3666210394567</v>
      </c>
      <c r="AO206" s="1186">
        <f t="shared" si="159"/>
        <v>0</v>
      </c>
    </row>
    <row r="207" spans="1:41">
      <c r="A207" s="873">
        <f>'Input data'!A147</f>
        <v>2047</v>
      </c>
      <c r="B207" s="1553">
        <f>'Input data'!B147</f>
        <v>74.373096484110363</v>
      </c>
      <c r="C207" s="1552">
        <f>'Input data'!C147</f>
        <v>0</v>
      </c>
      <c r="D207" s="1513">
        <f>'Input data'!E147</f>
        <v>8384607.3220464904</v>
      </c>
      <c r="E207" s="1510">
        <f>'Input data'!J147*C207</f>
        <v>0</v>
      </c>
      <c r="F207" s="1511">
        <f>'Input data'!L147</f>
        <v>8384.6073220464896</v>
      </c>
      <c r="G207" s="1559">
        <f t="shared" si="171"/>
        <v>13687.941669523079</v>
      </c>
      <c r="H207" s="1511">
        <f t="shared" si="160"/>
        <v>-5819.387967157023</v>
      </c>
      <c r="I207" s="1513">
        <f t="shared" si="136"/>
        <v>8384.6073220464896</v>
      </c>
      <c r="J207" s="1506">
        <f t="shared" si="170"/>
        <v>0.4</v>
      </c>
      <c r="K207" s="1514">
        <f t="shared" si="162"/>
        <v>2837.7893091381629</v>
      </c>
      <c r="L207" s="1514">
        <f t="shared" si="137"/>
        <v>0</v>
      </c>
      <c r="M207" s="1513">
        <f t="shared" si="163"/>
        <v>2837.7893091381629</v>
      </c>
      <c r="N207" s="1456">
        <f t="shared" si="169"/>
        <v>0.5</v>
      </c>
      <c r="O207" s="530">
        <f t="shared" si="138"/>
        <v>751.91700000000026</v>
      </c>
      <c r="P207" s="1212">
        <f t="shared" si="166"/>
        <v>3589.7063091381633</v>
      </c>
      <c r="Q207" s="1366">
        <f t="shared" si="139"/>
        <v>4278.847393227893</v>
      </c>
      <c r="R207" s="1366">
        <f t="shared" si="164"/>
        <v>-9409.0942762951854</v>
      </c>
      <c r="S207" s="576">
        <f t="shared" si="140"/>
        <v>12.513474593997982</v>
      </c>
      <c r="T207" s="135" t="str">
        <f t="shared" si="141"/>
        <v>No</v>
      </c>
      <c r="U207" s="1528">
        <f t="shared" si="142"/>
        <v>1</v>
      </c>
      <c r="V207" s="1496">
        <f t="shared" si="134"/>
        <v>9136.524322046489</v>
      </c>
      <c r="W207" s="1529">
        <f t="shared" si="135"/>
        <v>-8.9678260545715593E-2</v>
      </c>
      <c r="X207" s="527">
        <f t="shared" si="143"/>
        <v>5030.7643932278934</v>
      </c>
      <c r="Y207" s="1511">
        <f t="shared" si="144"/>
        <v>3353.8429288185962</v>
      </c>
      <c r="Z207" s="1533">
        <f t="shared" si="145"/>
        <v>751.91700000000026</v>
      </c>
      <c r="AA207" s="1533">
        <f t="shared" si="146"/>
        <v>0</v>
      </c>
      <c r="AB207" s="1533">
        <f t="shared" si="147"/>
        <v>0</v>
      </c>
      <c r="AC207" s="1533">
        <f t="shared" si="148"/>
        <v>9136.524322046489</v>
      </c>
      <c r="AD207" s="1489">
        <f t="shared" si="149"/>
        <v>-8657.1772762951859</v>
      </c>
      <c r="AE207" s="649">
        <f t="shared" si="150"/>
        <v>0.5506212445676556</v>
      </c>
      <c r="AF207" s="417">
        <f t="shared" si="151"/>
        <v>0.36708082971177047</v>
      </c>
      <c r="AG207" s="417">
        <f t="shared" si="152"/>
        <v>8.2297925720574067E-2</v>
      </c>
      <c r="AH207" s="417">
        <f t="shared" si="165"/>
        <v>0</v>
      </c>
      <c r="AI207" s="417">
        <f t="shared" si="153"/>
        <v>0</v>
      </c>
      <c r="AJ207" s="417">
        <f t="shared" si="154"/>
        <v>1.0000000000000002</v>
      </c>
      <c r="AK207" s="1499">
        <f t="shared" si="155"/>
        <v>5030.7643932278934</v>
      </c>
      <c r="AL207" s="1500">
        <f t="shared" si="156"/>
        <v>0</v>
      </c>
      <c r="AM207" s="1500">
        <f t="shared" si="157"/>
        <v>0</v>
      </c>
      <c r="AN207" s="1500">
        <f t="shared" si="158"/>
        <v>5030.7643932278934</v>
      </c>
      <c r="AO207" s="1186">
        <f t="shared" si="159"/>
        <v>0</v>
      </c>
    </row>
    <row r="208" spans="1:41">
      <c r="A208" s="873">
        <f>'Input data'!A148</f>
        <v>2048</v>
      </c>
      <c r="B208" s="1553">
        <f>'Input data'!B148</f>
        <v>74.752759240528661</v>
      </c>
      <c r="C208" s="1552">
        <f>'Input data'!C148</f>
        <v>0</v>
      </c>
      <c r="D208" s="1513">
        <f>'Input data'!E148</f>
        <v>5590270.2756938878</v>
      </c>
      <c r="E208" s="1510">
        <f>'Input data'!J148*C208</f>
        <v>0</v>
      </c>
      <c r="F208" s="1511">
        <f>'Input data'!L148</f>
        <v>5590.2702756938879</v>
      </c>
      <c r="G208" s="1559">
        <f t="shared" si="171"/>
        <v>13687.941669523079</v>
      </c>
      <c r="H208" s="1511">
        <f t="shared" si="160"/>
        <v>-8441.7398874339269</v>
      </c>
      <c r="I208" s="1513">
        <f t="shared" si="136"/>
        <v>5590.2702756938879</v>
      </c>
      <c r="J208" s="1506">
        <f t="shared" si="170"/>
        <v>0.4</v>
      </c>
      <c r="K208" s="1514">
        <f t="shared" si="162"/>
        <v>1892.0396166728203</v>
      </c>
      <c r="L208" s="1514">
        <f t="shared" si="137"/>
        <v>0</v>
      </c>
      <c r="M208" s="1513">
        <f t="shared" si="163"/>
        <v>1892.0396166728203</v>
      </c>
      <c r="N208" s="1456">
        <f t="shared" si="169"/>
        <v>0.5</v>
      </c>
      <c r="O208" s="530">
        <f t="shared" si="138"/>
        <v>751.91700000000026</v>
      </c>
      <c r="P208" s="1212">
        <f t="shared" si="166"/>
        <v>2643.9566166728205</v>
      </c>
      <c r="Q208" s="1366">
        <f t="shared" si="139"/>
        <v>2602.2451654163328</v>
      </c>
      <c r="R208" s="1366">
        <f t="shared" si="164"/>
        <v>-11085.696504106747</v>
      </c>
      <c r="S208" s="576">
        <f t="shared" si="140"/>
        <v>14.743244938080597</v>
      </c>
      <c r="T208" s="135" t="str">
        <f t="shared" si="141"/>
        <v>No</v>
      </c>
      <c r="U208" s="1528">
        <f t="shared" si="142"/>
        <v>1</v>
      </c>
      <c r="V208" s="1496">
        <f t="shared" si="134"/>
        <v>6342.1872756938883</v>
      </c>
      <c r="W208" s="1529">
        <f t="shared" si="135"/>
        <v>-0.13450458795691578</v>
      </c>
      <c r="X208" s="527">
        <f t="shared" si="143"/>
        <v>3354.1621654163328</v>
      </c>
      <c r="Y208" s="1511">
        <f t="shared" si="144"/>
        <v>2236.1081102775552</v>
      </c>
      <c r="Z208" s="1533">
        <f t="shared" si="145"/>
        <v>751.91700000000026</v>
      </c>
      <c r="AA208" s="1533">
        <f t="shared" si="146"/>
        <v>0</v>
      </c>
      <c r="AB208" s="1533">
        <f t="shared" si="147"/>
        <v>0</v>
      </c>
      <c r="AC208" s="1533">
        <f t="shared" si="148"/>
        <v>6342.1872756938883</v>
      </c>
      <c r="AD208" s="1489">
        <f t="shared" si="149"/>
        <v>-10333.779504106747</v>
      </c>
      <c r="AE208" s="649">
        <f t="shared" si="150"/>
        <v>0.52886520369257928</v>
      </c>
      <c r="AF208" s="417">
        <f t="shared" si="151"/>
        <v>0.35257680246171952</v>
      </c>
      <c r="AG208" s="417">
        <f t="shared" si="152"/>
        <v>0.11855799384570116</v>
      </c>
      <c r="AH208" s="417">
        <f t="shared" si="165"/>
        <v>0</v>
      </c>
      <c r="AI208" s="417">
        <f t="shared" si="153"/>
        <v>0</v>
      </c>
      <c r="AJ208" s="417">
        <f t="shared" si="154"/>
        <v>1</v>
      </c>
      <c r="AK208" s="1499">
        <f t="shared" si="155"/>
        <v>3354.1621654163328</v>
      </c>
      <c r="AL208" s="1500">
        <f t="shared" si="156"/>
        <v>0</v>
      </c>
      <c r="AM208" s="1500">
        <f t="shared" si="157"/>
        <v>0</v>
      </c>
      <c r="AN208" s="1500">
        <f t="shared" si="158"/>
        <v>3354.1621654163328</v>
      </c>
      <c r="AO208" s="1186">
        <f t="shared" si="159"/>
        <v>0</v>
      </c>
    </row>
    <row r="209" spans="1:41">
      <c r="A209" s="873">
        <f>'Input data'!A149</f>
        <v>2049</v>
      </c>
      <c r="B209" s="1553">
        <f>'Input data'!B149</f>
        <v>75.134360114565098</v>
      </c>
      <c r="C209" s="1552">
        <f>'Input data'!C149</f>
        <v>0</v>
      </c>
      <c r="D209" s="1513">
        <f>'Input data'!E149</f>
        <v>2795933.2293412867</v>
      </c>
      <c r="E209" s="1510">
        <f>'Input data'!J149*C209</f>
        <v>0</v>
      </c>
      <c r="F209" s="1511">
        <f>'Input data'!L149</f>
        <v>2795.9332293412867</v>
      </c>
      <c r="G209" s="1559">
        <f t="shared" si="171"/>
        <v>13687.941669523079</v>
      </c>
      <c r="H209" s="1511">
        <f t="shared" si="160"/>
        <v>-11064.091807710829</v>
      </c>
      <c r="I209" s="1513">
        <f t="shared" si="136"/>
        <v>2795.9332293412867</v>
      </c>
      <c r="J209" s="1506">
        <f t="shared" si="170"/>
        <v>0.4</v>
      </c>
      <c r="K209" s="1514">
        <f t="shared" si="162"/>
        <v>946.28992420747863</v>
      </c>
      <c r="L209" s="1514">
        <f t="shared" si="137"/>
        <v>0</v>
      </c>
      <c r="M209" s="1513">
        <f t="shared" si="163"/>
        <v>946.28992420747863</v>
      </c>
      <c r="N209" s="1456">
        <f t="shared" si="169"/>
        <v>0.5</v>
      </c>
      <c r="O209" s="530">
        <f t="shared" si="138"/>
        <v>751.91700000000026</v>
      </c>
      <c r="P209" s="1212">
        <f t="shared" si="166"/>
        <v>1698.206924207479</v>
      </c>
      <c r="Q209" s="1366">
        <f t="shared" si="139"/>
        <v>925.6429376047713</v>
      </c>
      <c r="R209" s="1366">
        <f t="shared" si="164"/>
        <v>-12762.298731918308</v>
      </c>
      <c r="S209" s="576">
        <f t="shared" si="140"/>
        <v>16.973015282163189</v>
      </c>
      <c r="T209" s="135" t="str">
        <f t="shared" si="141"/>
        <v>No</v>
      </c>
      <c r="U209" s="1528">
        <f t="shared" si="142"/>
        <v>1</v>
      </c>
      <c r="V209" s="1496">
        <f t="shared" si="134"/>
        <v>3547.8502293412871</v>
      </c>
      <c r="W209" s="1529">
        <f t="shared" si="135"/>
        <v>-0.2689323879802199</v>
      </c>
      <c r="X209" s="527">
        <f t="shared" si="143"/>
        <v>1677.5599376047719</v>
      </c>
      <c r="Y209" s="1511">
        <f t="shared" si="144"/>
        <v>1118.3732917365148</v>
      </c>
      <c r="Z209" s="1533">
        <f t="shared" si="145"/>
        <v>751.91700000000026</v>
      </c>
      <c r="AA209" s="1533">
        <f t="shared" si="146"/>
        <v>0</v>
      </c>
      <c r="AB209" s="1533">
        <f t="shared" si="147"/>
        <v>0</v>
      </c>
      <c r="AC209" s="1533">
        <f t="shared" si="148"/>
        <v>3547.8502293412871</v>
      </c>
      <c r="AD209" s="1489">
        <f t="shared" si="149"/>
        <v>-12010.381731918307</v>
      </c>
      <c r="AE209" s="649">
        <f t="shared" si="150"/>
        <v>0.47283843149045124</v>
      </c>
      <c r="AF209" s="417">
        <f t="shared" si="151"/>
        <v>0.31522562099363421</v>
      </c>
      <c r="AG209" s="417">
        <f t="shared" si="152"/>
        <v>0.21193594751591449</v>
      </c>
      <c r="AH209" s="417">
        <f t="shared" si="165"/>
        <v>0</v>
      </c>
      <c r="AI209" s="417">
        <f t="shared" si="153"/>
        <v>0</v>
      </c>
      <c r="AJ209" s="417">
        <f t="shared" si="154"/>
        <v>0.99999999999999989</v>
      </c>
      <c r="AK209" s="1499">
        <f t="shared" si="155"/>
        <v>1677.5599376047717</v>
      </c>
      <c r="AL209" s="1500">
        <f t="shared" si="156"/>
        <v>0</v>
      </c>
      <c r="AM209" s="1500">
        <f t="shared" si="157"/>
        <v>0</v>
      </c>
      <c r="AN209" s="1500">
        <f t="shared" si="158"/>
        <v>1677.5599376047717</v>
      </c>
      <c r="AO209" s="1186">
        <f t="shared" si="159"/>
        <v>0</v>
      </c>
    </row>
    <row r="210" spans="1:41" ht="15.75" thickBot="1">
      <c r="A210" s="172">
        <f>'Input data'!A150</f>
        <v>2050</v>
      </c>
      <c r="B210" s="664">
        <f>'Input data'!B150</f>
        <v>75.517908999999989</v>
      </c>
      <c r="C210" s="239">
        <f>'Input data'!C150</f>
        <v>0</v>
      </c>
      <c r="D210" s="1522">
        <f>'Input data'!E150</f>
        <v>1596.1829886855978</v>
      </c>
      <c r="E210" s="670">
        <f>'Input data'!J150*C210</f>
        <v>0</v>
      </c>
      <c r="F210" s="667">
        <f>'Input data'!L150</f>
        <v>1.5961829886855978</v>
      </c>
      <c r="G210" s="1477">
        <f t="shared" si="171"/>
        <v>13687.941669523079</v>
      </c>
      <c r="H210" s="1520">
        <f t="shared" si="160"/>
        <v>-13686.443727987731</v>
      </c>
      <c r="I210" s="1522">
        <f t="shared" si="136"/>
        <v>1.5961829886855978</v>
      </c>
      <c r="J210" s="651">
        <f t="shared" si="170"/>
        <v>0.4</v>
      </c>
      <c r="K210" s="1520">
        <f t="shared" si="162"/>
        <v>0.54023174213656699</v>
      </c>
      <c r="L210" s="1520">
        <f t="shared" si="137"/>
        <v>0</v>
      </c>
      <c r="M210" s="1522">
        <f t="shared" si="163"/>
        <v>0.54023174213656699</v>
      </c>
      <c r="N210" s="650">
        <f t="shared" si="169"/>
        <v>0.5</v>
      </c>
      <c r="O210" s="659">
        <f t="shared" si="138"/>
        <v>751.91700000000026</v>
      </c>
      <c r="P210" s="1701">
        <f t="shared" si="166"/>
        <v>752.45723174213686</v>
      </c>
      <c r="Q210" s="1487">
        <f t="shared" si="139"/>
        <v>-750.95929020678898</v>
      </c>
      <c r="R210" s="1487">
        <f t="shared" si="164"/>
        <v>-14438.900959729868</v>
      </c>
      <c r="S210" s="578">
        <f t="shared" si="140"/>
        <v>19.202785626245799</v>
      </c>
      <c r="T210" s="1105" t="str">
        <f t="shared" si="141"/>
        <v>No</v>
      </c>
      <c r="U210" s="1530">
        <f t="shared" si="142"/>
        <v>1</v>
      </c>
      <c r="V210" s="1497">
        <f t="shared" si="134"/>
        <v>753.5131829886858</v>
      </c>
      <c r="W210" s="1531">
        <f t="shared" si="135"/>
        <v>-471.07192930252825</v>
      </c>
      <c r="X210" s="670">
        <f t="shared" si="143"/>
        <v>0.95770979321135863</v>
      </c>
      <c r="Y210" s="1520">
        <f t="shared" si="144"/>
        <v>0.6384731954742392</v>
      </c>
      <c r="Z210" s="1534">
        <f t="shared" si="145"/>
        <v>751.91700000000026</v>
      </c>
      <c r="AA210" s="1534">
        <f t="shared" si="146"/>
        <v>0</v>
      </c>
      <c r="AB210" s="1534">
        <f t="shared" si="147"/>
        <v>0</v>
      </c>
      <c r="AC210" s="1534">
        <f t="shared" si="148"/>
        <v>753.5131829886858</v>
      </c>
      <c r="AD210" s="1490">
        <f t="shared" si="149"/>
        <v>-13686.983959729869</v>
      </c>
      <c r="AE210" s="650">
        <f t="shared" si="150"/>
        <v>1.2709927508006704E-3</v>
      </c>
      <c r="AF210" s="651">
        <f t="shared" si="151"/>
        <v>8.4732850053378039E-4</v>
      </c>
      <c r="AG210" s="651">
        <f t="shared" si="152"/>
        <v>0.99788167874866562</v>
      </c>
      <c r="AH210" s="651">
        <f t="shared" si="165"/>
        <v>0</v>
      </c>
      <c r="AI210" s="651">
        <f>AB210/AC210</f>
        <v>0</v>
      </c>
      <c r="AJ210" s="651">
        <f t="shared" si="154"/>
        <v>1</v>
      </c>
      <c r="AK210" s="1501">
        <f t="shared" si="155"/>
        <v>0.95770979321135852</v>
      </c>
      <c r="AL210" s="1502">
        <f t="shared" si="156"/>
        <v>0</v>
      </c>
      <c r="AM210" s="1502">
        <f t="shared" si="157"/>
        <v>0</v>
      </c>
      <c r="AN210" s="1502">
        <f t="shared" si="158"/>
        <v>0.95770979321135852</v>
      </c>
      <c r="AO210" s="1187">
        <f t="shared" si="159"/>
        <v>0</v>
      </c>
    </row>
  </sheetData>
  <mergeCells count="78">
    <mergeCell ref="AE94:AE95"/>
    <mergeCell ref="BC94:BC95"/>
    <mergeCell ref="AK134:AO134"/>
    <mergeCell ref="AR94:BB94"/>
    <mergeCell ref="BM94:BT94"/>
    <mergeCell ref="BE94:BL94"/>
    <mergeCell ref="BD94:BD96"/>
    <mergeCell ref="CB94:CC94"/>
    <mergeCell ref="CG94:CM94"/>
    <mergeCell ref="CM95:CM96"/>
    <mergeCell ref="CD94:CE94"/>
    <mergeCell ref="BV94:BX94"/>
    <mergeCell ref="BY94:CA94"/>
    <mergeCell ref="N174:O174"/>
    <mergeCell ref="P174:P175"/>
    <mergeCell ref="Q174:Q175"/>
    <mergeCell ref="R174:R175"/>
    <mergeCell ref="S174:S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A175:A176"/>
    <mergeCell ref="A174:D174"/>
    <mergeCell ref="E174:I174"/>
    <mergeCell ref="J174:L174"/>
    <mergeCell ref="M174:M175"/>
    <mergeCell ref="A135:A136"/>
    <mergeCell ref="P134:P135"/>
    <mergeCell ref="Q134:Q135"/>
    <mergeCell ref="A134:D134"/>
    <mergeCell ref="E134:I134"/>
    <mergeCell ref="M134:M135"/>
    <mergeCell ref="N134:O134"/>
    <mergeCell ref="J134:L134"/>
    <mergeCell ref="A36:A37"/>
    <mergeCell ref="C42:I42"/>
    <mergeCell ref="Q42:W42"/>
    <mergeCell ref="A94:D94"/>
    <mergeCell ref="E94:G94"/>
    <mergeCell ref="H94:K94"/>
    <mergeCell ref="L94:P94"/>
    <mergeCell ref="Q94:U94"/>
    <mergeCell ref="V94:V95"/>
    <mergeCell ref="W94:X94"/>
    <mergeCell ref="J42:P42"/>
    <mergeCell ref="A95:A96"/>
    <mergeCell ref="A26:A27"/>
    <mergeCell ref="B26:B27"/>
    <mergeCell ref="E26:E27"/>
    <mergeCell ref="F26:F27"/>
    <mergeCell ref="A4:A6"/>
    <mergeCell ref="B4:B6"/>
    <mergeCell ref="A8:A9"/>
    <mergeCell ref="B8:F8"/>
    <mergeCell ref="G8:I8"/>
    <mergeCell ref="H26:H27"/>
    <mergeCell ref="C29:D29"/>
    <mergeCell ref="E29:F29"/>
    <mergeCell ref="G29:H29"/>
    <mergeCell ref="G26:G27"/>
    <mergeCell ref="R134:R135"/>
    <mergeCell ref="T134:T136"/>
    <mergeCell ref="S134:S135"/>
    <mergeCell ref="V134:V135"/>
    <mergeCell ref="V174:V175"/>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28515625" defaultRowHeight="15"/>
  <cols>
    <col min="1" max="1" width="39.7109375" customWidth="1"/>
    <col min="2" max="2" width="32.85546875" customWidth="1"/>
    <col min="3" max="3" width="57.7109375" customWidth="1"/>
    <col min="4" max="4" width="35.5703125" hidden="1" customWidth="1"/>
    <col min="5" max="5" width="10.42578125" hidden="1" customWidth="1"/>
    <col min="6" max="6" width="9" hidden="1" customWidth="1"/>
    <col min="7" max="8" width="10" hidden="1" customWidth="1"/>
    <col min="9" max="9" width="1.7109375" customWidth="1"/>
    <col min="10" max="10" width="20.42578125" customWidth="1"/>
    <col min="11" max="11" width="21" customWidth="1"/>
    <col min="12" max="14" width="17.7109375" customWidth="1"/>
    <col min="15" max="15" width="17.140625" customWidth="1"/>
    <col min="16" max="16" width="12.140625" customWidth="1"/>
    <col min="24" max="24" width="17" customWidth="1"/>
    <col min="25" max="25" width="30.28515625" customWidth="1"/>
    <col min="26" max="26" width="13.42578125" customWidth="1"/>
    <col min="27" max="27" width="13.42578125" bestFit="1" customWidth="1"/>
    <col min="28" max="28" width="14.5703125" customWidth="1"/>
    <col min="29" max="29" width="12.7109375" customWidth="1"/>
    <col min="30" max="30" width="14.28515625" customWidth="1"/>
    <col min="31" max="31" width="18.28515625" bestFit="1" customWidth="1"/>
    <col min="32" max="32" width="16.85546875" customWidth="1"/>
    <col min="33" max="33" width="20.28515625" customWidth="1"/>
    <col min="34" max="34" width="13.42578125" customWidth="1"/>
    <col min="35" max="35" width="13.28515625" customWidth="1"/>
    <col min="36" max="36" width="14.5703125" customWidth="1"/>
    <col min="37" max="37" width="14.7109375" customWidth="1"/>
    <col min="38" max="38" width="12.85546875" customWidth="1"/>
    <col min="39" max="39" width="13" customWidth="1"/>
    <col min="40" max="40" width="13.5703125" customWidth="1"/>
    <col min="41" max="41" width="12.85546875" customWidth="1"/>
    <col min="42" max="42" width="14.5703125" customWidth="1"/>
  </cols>
  <sheetData>
    <row r="1" spans="1:42">
      <c r="D1" t="s">
        <v>218</v>
      </c>
      <c r="E1">
        <v>2015</v>
      </c>
      <c r="I1">
        <v>54978907</v>
      </c>
    </row>
    <row r="2" spans="1:42">
      <c r="E2">
        <v>2017</v>
      </c>
      <c r="G2">
        <v>579</v>
      </c>
      <c r="H2" t="s">
        <v>379</v>
      </c>
      <c r="I2">
        <v>56521948</v>
      </c>
      <c r="J2" s="314">
        <f>I2*G2/1000*0.8</f>
        <v>26180966.313600004</v>
      </c>
      <c r="M2" s="314">
        <f>N42+L42</f>
        <v>1756686.4765390735</v>
      </c>
    </row>
    <row r="3" spans="1:42" ht="15.75">
      <c r="A3" s="343" t="s">
        <v>349</v>
      </c>
      <c r="B3" s="343"/>
      <c r="C3" s="343" t="s">
        <v>350</v>
      </c>
      <c r="D3" s="344" t="s">
        <v>380</v>
      </c>
      <c r="E3" s="345"/>
      <c r="F3" s="345"/>
      <c r="G3" s="345"/>
      <c r="H3" s="345"/>
      <c r="I3" s="345"/>
      <c r="J3" s="346" t="s">
        <v>351</v>
      </c>
      <c r="K3" s="347"/>
      <c r="L3" s="347"/>
      <c r="M3" s="347"/>
      <c r="N3" s="347"/>
      <c r="O3" s="347"/>
      <c r="P3" s="348"/>
      <c r="Q3" s="348"/>
      <c r="R3" s="348"/>
      <c r="S3" s="348"/>
      <c r="T3" s="348"/>
      <c r="U3" s="348"/>
      <c r="V3" s="348"/>
      <c r="W3" s="348"/>
      <c r="X3" s="348"/>
    </row>
    <row r="4" spans="1:42" ht="31.5">
      <c r="A4" s="349" t="s">
        <v>352</v>
      </c>
      <c r="B4" s="349"/>
      <c r="C4" s="349" t="s">
        <v>353</v>
      </c>
      <c r="D4" s="350" t="s">
        <v>381</v>
      </c>
      <c r="E4" s="351" t="s">
        <v>382</v>
      </c>
      <c r="F4" s="352" t="s">
        <v>383</v>
      </c>
      <c r="G4" s="352"/>
      <c r="H4" s="352"/>
      <c r="I4" s="351" t="s">
        <v>384</v>
      </c>
      <c r="J4" s="1941" t="s">
        <v>545</v>
      </c>
      <c r="K4" s="1940" t="s">
        <v>546</v>
      </c>
      <c r="L4" s="1940" t="s">
        <v>547</v>
      </c>
      <c r="M4" s="1940" t="s">
        <v>548</v>
      </c>
      <c r="N4" s="1940" t="s">
        <v>498</v>
      </c>
      <c r="O4" s="1940" t="s">
        <v>544</v>
      </c>
      <c r="P4" s="353" t="s">
        <v>354</v>
      </c>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row>
    <row r="5" spans="1:42">
      <c r="A5" s="355"/>
      <c r="B5" s="355"/>
      <c r="C5" s="355"/>
      <c r="D5" s="352"/>
      <c r="E5" s="351"/>
      <c r="F5" s="352" t="s">
        <v>385</v>
      </c>
      <c r="G5" s="352" t="s">
        <v>386</v>
      </c>
      <c r="H5" s="352" t="s">
        <v>387</v>
      </c>
      <c r="I5" s="351"/>
      <c r="J5" s="1941" t="s">
        <v>355</v>
      </c>
      <c r="K5" s="1940"/>
      <c r="L5" s="1940"/>
      <c r="M5" s="1940"/>
      <c r="N5" s="1940"/>
      <c r="O5" s="1940"/>
      <c r="P5" s="354"/>
      <c r="Q5" s="356"/>
      <c r="R5" s="354"/>
      <c r="S5" s="354"/>
      <c r="T5" s="354"/>
      <c r="U5" s="354"/>
      <c r="Y5" s="354"/>
      <c r="Z5" s="354"/>
      <c r="AA5" s="354"/>
      <c r="AB5" s="354"/>
      <c r="AC5" s="354"/>
      <c r="AD5" s="354"/>
      <c r="AE5" s="354"/>
      <c r="AF5" s="354"/>
      <c r="AG5" s="354"/>
      <c r="AH5" s="354"/>
      <c r="AI5" s="354"/>
      <c r="AJ5" s="354"/>
      <c r="AK5" s="354"/>
      <c r="AL5" s="354"/>
      <c r="AM5" s="354"/>
      <c r="AN5" s="354"/>
      <c r="AO5" s="354"/>
      <c r="AP5" s="354"/>
    </row>
    <row r="6" spans="1:42" ht="15.75">
      <c r="A6" s="1936" t="s">
        <v>356</v>
      </c>
      <c r="B6" s="5" t="s">
        <v>357</v>
      </c>
      <c r="C6" s="357" t="s">
        <v>267</v>
      </c>
      <c r="J6" s="314">
        <f>J39+J40+J41+J42+J43</f>
        <v>23980178.792267412</v>
      </c>
      <c r="K6" s="314">
        <f t="shared" ref="K6:O6" si="0">K39+K40+K41+K42+K43</f>
        <v>0</v>
      </c>
      <c r="L6" s="314">
        <f t="shared" si="0"/>
        <v>10165104.888539074</v>
      </c>
      <c r="M6" s="314">
        <f t="shared" si="0"/>
        <v>3767862.0897283391</v>
      </c>
      <c r="N6" s="314">
        <f t="shared" si="0"/>
        <v>123895.58799999999</v>
      </c>
      <c r="O6" s="314">
        <f t="shared" si="0"/>
        <v>9923316.2259999998</v>
      </c>
      <c r="P6" s="358">
        <f>J6/$I$2*1000</f>
        <v>424.26313389388866</v>
      </c>
      <c r="Q6" s="359" t="s">
        <v>227</v>
      </c>
      <c r="R6" s="354"/>
      <c r="S6" s="354"/>
      <c r="T6" s="354"/>
      <c r="U6" s="354"/>
      <c r="Y6" s="354"/>
      <c r="Z6" s="354"/>
      <c r="AA6" s="354"/>
      <c r="AB6" s="354"/>
      <c r="AC6" s="354"/>
      <c r="AD6" s="354"/>
      <c r="AE6" s="354"/>
      <c r="AF6" s="354"/>
      <c r="AG6" s="354"/>
      <c r="AH6" s="354"/>
      <c r="AI6" s="354"/>
      <c r="AJ6" s="354"/>
      <c r="AK6" s="354"/>
      <c r="AL6" s="354"/>
      <c r="AM6" s="354"/>
      <c r="AN6" s="354"/>
      <c r="AO6" s="354"/>
      <c r="AP6" s="354"/>
    </row>
    <row r="7" spans="1:42" ht="15.75">
      <c r="A7" s="1936"/>
      <c r="B7" t="s">
        <v>358</v>
      </c>
      <c r="C7" t="s">
        <v>359</v>
      </c>
      <c r="J7" s="314">
        <f>J44</f>
        <v>4482992.0000000009</v>
      </c>
      <c r="K7" s="314">
        <f t="shared" ref="K7:O7" si="1">K44</f>
        <v>0</v>
      </c>
      <c r="L7" s="314">
        <f t="shared" si="1"/>
        <v>2151836.16</v>
      </c>
      <c r="M7" s="314">
        <f t="shared" si="1"/>
        <v>0</v>
      </c>
      <c r="N7" s="314">
        <f t="shared" si="1"/>
        <v>0</v>
      </c>
      <c r="O7" s="314">
        <f t="shared" si="1"/>
        <v>2331155.8400000008</v>
      </c>
      <c r="P7" s="358">
        <f t="shared" ref="P7:P8" si="2">J7/$I$2*1000</f>
        <v>79.314180749750534</v>
      </c>
      <c r="Q7" s="359" t="s">
        <v>227</v>
      </c>
      <c r="R7" s="354"/>
      <c r="S7" s="354"/>
      <c r="T7" s="354"/>
      <c r="U7" s="354"/>
      <c r="Y7" s="354"/>
      <c r="Z7" s="354"/>
      <c r="AA7" s="354"/>
      <c r="AB7" s="354"/>
      <c r="AC7" s="354"/>
      <c r="AD7" s="354"/>
      <c r="AE7" s="354"/>
      <c r="AF7" s="354"/>
      <c r="AG7" s="354"/>
      <c r="AH7" s="354"/>
      <c r="AI7" s="354"/>
      <c r="AJ7" s="354"/>
      <c r="AK7" s="354"/>
      <c r="AL7" s="354"/>
      <c r="AM7" s="354"/>
      <c r="AN7" s="354"/>
      <c r="AO7" s="354"/>
      <c r="AP7" s="354"/>
    </row>
    <row r="8" spans="1:42" ht="15.75">
      <c r="A8" s="1936"/>
      <c r="C8" s="360" t="s">
        <v>225</v>
      </c>
      <c r="D8" s="361"/>
      <c r="E8" s="361"/>
      <c r="F8" s="361"/>
      <c r="G8" s="361"/>
      <c r="H8" s="361"/>
      <c r="I8" s="361"/>
      <c r="J8" s="362">
        <f>SUM(J6:J7)</f>
        <v>28463170.792267412</v>
      </c>
      <c r="K8" s="362">
        <f t="shared" ref="K8:O8" si="3">SUM(K6:K7)</f>
        <v>0</v>
      </c>
      <c r="L8" s="362">
        <f t="shared" si="3"/>
        <v>12316941.048539074</v>
      </c>
      <c r="M8" s="362">
        <f t="shared" si="3"/>
        <v>3767862.0897283391</v>
      </c>
      <c r="N8" s="362">
        <f t="shared" si="3"/>
        <v>123895.58799999999</v>
      </c>
      <c r="O8" s="362">
        <f t="shared" si="3"/>
        <v>12254472.066</v>
      </c>
      <c r="P8" s="363">
        <f t="shared" si="2"/>
        <v>503.57731464363917</v>
      </c>
      <c r="Q8" s="363" t="s">
        <v>227</v>
      </c>
      <c r="R8" s="354"/>
      <c r="S8" s="354"/>
      <c r="T8" s="354"/>
      <c r="U8" s="354"/>
      <c r="Y8" s="354"/>
      <c r="Z8" s="354"/>
      <c r="AA8" s="354"/>
      <c r="AB8" s="354"/>
      <c r="AC8" s="354"/>
      <c r="AD8" s="354"/>
      <c r="AE8" s="354"/>
      <c r="AF8" s="354"/>
      <c r="AG8" s="354"/>
      <c r="AH8" s="354"/>
      <c r="AI8" s="354"/>
      <c r="AJ8" s="354"/>
      <c r="AK8" s="354"/>
      <c r="AL8" s="354"/>
      <c r="AM8" s="354"/>
      <c r="AN8" s="354"/>
      <c r="AO8" s="354"/>
      <c r="AP8" s="354"/>
    </row>
    <row r="9" spans="1:42">
      <c r="A9" s="1937" t="s">
        <v>360</v>
      </c>
      <c r="B9" t="s">
        <v>341</v>
      </c>
      <c r="C9" t="s">
        <v>361</v>
      </c>
      <c r="J9" s="314">
        <f>J50</f>
        <v>14408453</v>
      </c>
      <c r="K9" s="314">
        <f t="shared" ref="K9:O9" si="4">K50</f>
        <v>11209700</v>
      </c>
      <c r="L9" s="314">
        <f t="shared" si="4"/>
        <v>1503834</v>
      </c>
      <c r="M9" s="314">
        <f t="shared" si="4"/>
        <v>0</v>
      </c>
      <c r="N9" s="314">
        <f t="shared" si="4"/>
        <v>0</v>
      </c>
      <c r="O9" s="314">
        <f t="shared" si="4"/>
        <v>1694919</v>
      </c>
      <c r="P9" s="354"/>
      <c r="Q9" s="356"/>
      <c r="R9" s="354"/>
      <c r="S9" s="354"/>
      <c r="T9" s="354"/>
      <c r="U9" s="354"/>
      <c r="Y9" s="354"/>
      <c r="Z9" s="354"/>
      <c r="AA9" s="354"/>
      <c r="AB9" s="354"/>
      <c r="AC9" s="354"/>
      <c r="AD9" s="354"/>
      <c r="AE9" s="354"/>
      <c r="AF9" s="354"/>
      <c r="AG9" s="354"/>
      <c r="AH9" s="354"/>
      <c r="AI9" s="354"/>
      <c r="AJ9" s="354"/>
      <c r="AK9" s="354"/>
      <c r="AL9" s="354"/>
      <c r="AM9" s="354"/>
      <c r="AN9" s="354"/>
      <c r="AO9" s="354"/>
      <c r="AP9" s="354"/>
    </row>
    <row r="10" spans="1:42">
      <c r="A10" s="1937"/>
      <c r="B10" t="str">
        <f>B48</f>
        <v>GW14&amp;15</v>
      </c>
      <c r="C10" t="s">
        <v>363</v>
      </c>
      <c r="J10" s="314">
        <f>J48</f>
        <v>10835160.000000002</v>
      </c>
      <c r="K10" s="314">
        <f t="shared" ref="K10:O10" si="5">K48</f>
        <v>0</v>
      </c>
      <c r="L10" s="314">
        <f t="shared" si="5"/>
        <v>10499270.040000001</v>
      </c>
      <c r="M10" s="314">
        <f t="shared" si="5"/>
        <v>0</v>
      </c>
      <c r="N10" s="314">
        <f t="shared" si="5"/>
        <v>0</v>
      </c>
      <c r="O10" s="314">
        <f t="shared" si="5"/>
        <v>335889.96</v>
      </c>
      <c r="P10" s="354"/>
      <c r="Q10" s="356"/>
      <c r="R10" s="354"/>
      <c r="S10" s="354"/>
      <c r="T10" s="354"/>
      <c r="U10" s="354"/>
      <c r="Y10" s="354"/>
      <c r="Z10" s="354"/>
      <c r="AA10" s="354"/>
      <c r="AB10" s="354"/>
      <c r="AC10" s="354"/>
      <c r="AD10" s="354"/>
      <c r="AE10" s="354"/>
      <c r="AF10" s="354"/>
      <c r="AG10" s="354"/>
      <c r="AH10" s="354"/>
      <c r="AI10" s="354"/>
      <c r="AJ10" s="354"/>
      <c r="AK10" s="354"/>
      <c r="AL10" s="354"/>
      <c r="AM10" s="354"/>
      <c r="AN10" s="354"/>
      <c r="AO10" s="354"/>
      <c r="AP10" s="354"/>
    </row>
    <row r="11" spans="1:42">
      <c r="A11" s="1937"/>
      <c r="B11" t="s">
        <v>364</v>
      </c>
      <c r="C11" t="s">
        <v>365</v>
      </c>
      <c r="J11" s="314">
        <f>J49+J51</f>
        <v>5588640.384615385</v>
      </c>
      <c r="K11" s="314">
        <f t="shared" ref="K11:O11" si="6">K49+K51</f>
        <v>0</v>
      </c>
      <c r="L11" s="314">
        <f t="shared" si="6"/>
        <v>5522975</v>
      </c>
      <c r="M11" s="314">
        <f t="shared" si="6"/>
        <v>0</v>
      </c>
      <c r="N11" s="314">
        <f t="shared" si="6"/>
        <v>65665.38461538461</v>
      </c>
      <c r="O11" s="314">
        <f t="shared" si="6"/>
        <v>0</v>
      </c>
      <c r="P11" s="354"/>
      <c r="Q11" s="356"/>
      <c r="R11" s="354"/>
      <c r="S11" s="354"/>
      <c r="T11" s="354"/>
      <c r="U11" s="354"/>
      <c r="Y11" s="354"/>
      <c r="Z11" s="354"/>
      <c r="AA11" s="354"/>
      <c r="AB11" s="354"/>
      <c r="AC11" s="354"/>
      <c r="AD11" s="354"/>
      <c r="AE11" s="354"/>
      <c r="AF11" s="354"/>
      <c r="AG11" s="354"/>
      <c r="AH11" s="354"/>
      <c r="AI11" s="354"/>
      <c r="AJ11" s="354"/>
      <c r="AK11" s="354"/>
      <c r="AL11" s="354"/>
      <c r="AM11" s="354"/>
      <c r="AN11" s="354"/>
      <c r="AO11" s="354"/>
      <c r="AP11" s="354"/>
    </row>
    <row r="12" spans="1:42" ht="15.75">
      <c r="A12" s="1937"/>
      <c r="C12" s="360" t="s">
        <v>225</v>
      </c>
      <c r="D12" s="361"/>
      <c r="E12" s="361"/>
      <c r="F12" s="361"/>
      <c r="G12" s="361"/>
      <c r="H12" s="361"/>
      <c r="I12" s="361"/>
      <c r="J12" s="362">
        <f>SUM(J9:J11)</f>
        <v>30832253.384615384</v>
      </c>
      <c r="K12" s="362">
        <f t="shared" ref="K12:O12" si="7">SUM(K9:K11)</f>
        <v>11209700</v>
      </c>
      <c r="L12" s="362">
        <f t="shared" si="7"/>
        <v>17526079.039999999</v>
      </c>
      <c r="M12" s="362">
        <f t="shared" si="7"/>
        <v>0</v>
      </c>
      <c r="N12" s="362">
        <f t="shared" si="7"/>
        <v>65665.38461538461</v>
      </c>
      <c r="O12" s="362">
        <f t="shared" si="7"/>
        <v>2030808.96</v>
      </c>
      <c r="P12" s="354"/>
      <c r="Q12" s="356"/>
      <c r="R12" s="354"/>
      <c r="S12" s="354"/>
      <c r="T12" s="354"/>
      <c r="U12" s="354"/>
      <c r="Y12" s="354"/>
      <c r="Z12" s="354"/>
      <c r="AA12" s="354"/>
      <c r="AB12" s="354"/>
      <c r="AC12" s="354"/>
      <c r="AD12" s="354"/>
      <c r="AE12" s="354"/>
      <c r="AF12" s="354"/>
      <c r="AG12" s="354"/>
      <c r="AH12" s="354"/>
      <c r="AI12" s="354"/>
      <c r="AJ12" s="354"/>
      <c r="AK12" s="354"/>
      <c r="AL12" s="354"/>
      <c r="AM12" s="354"/>
      <c r="AN12" s="354"/>
      <c r="AO12" s="354"/>
      <c r="AP12" s="354"/>
    </row>
    <row r="13" spans="1:42">
      <c r="A13" s="1937" t="s">
        <v>366</v>
      </c>
      <c r="B13" t="s">
        <v>367</v>
      </c>
      <c r="C13" t="s">
        <v>368</v>
      </c>
      <c r="J13" s="314">
        <f>J65</f>
        <v>39159891</v>
      </c>
      <c r="K13" s="314">
        <f t="shared" ref="K13:O13" si="8">K65</f>
        <v>0</v>
      </c>
      <c r="L13" s="314">
        <f t="shared" si="8"/>
        <v>36418698.630000003</v>
      </c>
      <c r="M13" s="314">
        <f t="shared" si="8"/>
        <v>0</v>
      </c>
      <c r="N13" s="314">
        <f t="shared" si="8"/>
        <v>0</v>
      </c>
      <c r="O13" s="314">
        <f t="shared" si="8"/>
        <v>2741192.37</v>
      </c>
      <c r="P13" s="354"/>
      <c r="Q13" s="356"/>
      <c r="R13" s="354"/>
      <c r="S13" s="354"/>
      <c r="T13" s="354"/>
      <c r="U13" s="354"/>
      <c r="Y13" s="354"/>
      <c r="Z13" s="354"/>
      <c r="AA13" s="354"/>
      <c r="AB13" s="354"/>
      <c r="AC13" s="354"/>
      <c r="AD13" s="354"/>
      <c r="AE13" s="354"/>
      <c r="AF13" s="354"/>
      <c r="AG13" s="354"/>
      <c r="AH13" s="354"/>
      <c r="AI13" s="354"/>
      <c r="AJ13" s="354"/>
      <c r="AK13" s="354"/>
      <c r="AL13" s="354"/>
      <c r="AM13" s="354"/>
      <c r="AN13" s="354"/>
      <c r="AO13" s="354"/>
      <c r="AP13" s="354"/>
    </row>
    <row r="14" spans="1:42">
      <c r="A14" s="1937"/>
      <c r="B14" s="364" t="s">
        <v>369</v>
      </c>
      <c r="C14" t="s">
        <v>370</v>
      </c>
      <c r="J14" s="314">
        <f>J60+J61+J62+J59+J58</f>
        <v>1067066</v>
      </c>
      <c r="K14" s="314">
        <f t="shared" ref="K14:O14" si="9">K60+K61+K62+K59+K58</f>
        <v>77080</v>
      </c>
      <c r="L14" s="314">
        <f t="shared" si="9"/>
        <v>686488.17700000003</v>
      </c>
      <c r="M14" s="314">
        <f t="shared" si="9"/>
        <v>0</v>
      </c>
      <c r="N14" s="314">
        <f t="shared" si="9"/>
        <v>679.74399999999991</v>
      </c>
      <c r="O14" s="314">
        <f t="shared" si="9"/>
        <v>302818.07900000003</v>
      </c>
      <c r="P14" s="354"/>
      <c r="Q14" s="356"/>
      <c r="R14" s="354"/>
      <c r="S14" s="354"/>
      <c r="T14" s="354"/>
      <c r="U14" s="354"/>
      <c r="Y14" s="354"/>
      <c r="Z14" s="354"/>
      <c r="AA14" s="354"/>
      <c r="AB14" s="354"/>
      <c r="AC14" s="354"/>
      <c r="AD14" s="354"/>
      <c r="AE14" s="354"/>
      <c r="AF14" s="354"/>
      <c r="AG14" s="354"/>
      <c r="AH14" s="354"/>
      <c r="AI14" s="354"/>
      <c r="AJ14" s="354"/>
      <c r="AK14" s="354"/>
      <c r="AL14" s="354"/>
      <c r="AM14" s="354"/>
      <c r="AN14" s="354"/>
      <c r="AO14" s="354"/>
      <c r="AP14" s="354"/>
    </row>
    <row r="15" spans="1:42" ht="30">
      <c r="A15" s="1937"/>
      <c r="B15" s="364" t="s">
        <v>583</v>
      </c>
      <c r="C15" t="s">
        <v>371</v>
      </c>
      <c r="J15" s="314">
        <f>J52+J53+J54+J55+J56+J57+J63+J64+J66+J67+J68+J69+J70+J71</f>
        <v>11959772</v>
      </c>
      <c r="K15" s="314">
        <f t="shared" ref="K15:O15" si="10">K52+K53+K54+K55+K56+K57+K63+K64+K66+K67+K68+K69+K70+K71</f>
        <v>0</v>
      </c>
      <c r="L15" s="314">
        <f t="shared" si="10"/>
        <v>11533568.976000002</v>
      </c>
      <c r="M15" s="314">
        <f t="shared" si="10"/>
        <v>0</v>
      </c>
      <c r="N15" s="314">
        <f t="shared" si="10"/>
        <v>56692.235999999997</v>
      </c>
      <c r="O15" s="314">
        <f t="shared" si="10"/>
        <v>369510.788</v>
      </c>
      <c r="P15" s="354"/>
      <c r="Q15" s="356"/>
      <c r="R15" s="354"/>
      <c r="S15" s="354"/>
      <c r="T15" s="354"/>
      <c r="U15" s="354"/>
      <c r="Y15" s="354"/>
      <c r="Z15" s="354"/>
      <c r="AA15" s="354"/>
      <c r="AB15" s="354"/>
      <c r="AC15" s="354"/>
      <c r="AD15" s="354"/>
      <c r="AE15" s="354"/>
      <c r="AF15" s="354"/>
      <c r="AG15" s="354"/>
      <c r="AH15" s="354"/>
      <c r="AI15" s="354"/>
      <c r="AJ15" s="354"/>
      <c r="AK15" s="354"/>
      <c r="AL15" s="354"/>
      <c r="AM15" s="354"/>
      <c r="AN15" s="354"/>
      <c r="AO15" s="354"/>
      <c r="AP15" s="354"/>
    </row>
    <row r="16" spans="1:42" ht="15.75">
      <c r="A16" s="1937"/>
      <c r="C16" s="360" t="s">
        <v>225</v>
      </c>
      <c r="J16" s="362">
        <f>SUM(J13:J15)</f>
        <v>52186729</v>
      </c>
      <c r="K16" s="362">
        <f t="shared" ref="K16:O16" si="11">SUM(K13:K15)</f>
        <v>77080</v>
      </c>
      <c r="L16" s="362">
        <f t="shared" si="11"/>
        <v>48638755.783000007</v>
      </c>
      <c r="M16" s="362">
        <f t="shared" si="11"/>
        <v>0</v>
      </c>
      <c r="N16" s="362">
        <f t="shared" si="11"/>
        <v>57371.979999999996</v>
      </c>
      <c r="O16" s="362">
        <f t="shared" si="11"/>
        <v>3413521.2370000002</v>
      </c>
      <c r="P16" s="354"/>
      <c r="Q16" s="356"/>
      <c r="R16" s="354"/>
      <c r="S16" s="354"/>
      <c r="T16" s="354"/>
      <c r="U16" s="354"/>
      <c r="Y16" s="354"/>
      <c r="Z16" s="354"/>
      <c r="AA16" s="354"/>
      <c r="AB16" s="354"/>
      <c r="AC16" s="354"/>
      <c r="AD16" s="354"/>
      <c r="AE16" s="354"/>
      <c r="AF16" s="354"/>
      <c r="AG16" s="354"/>
      <c r="AH16" s="354"/>
      <c r="AI16" s="354"/>
      <c r="AJ16" s="354"/>
      <c r="AK16" s="354"/>
      <c r="AL16" s="354"/>
      <c r="AM16" s="354"/>
      <c r="AN16" s="354"/>
      <c r="AO16" s="354"/>
      <c r="AP16" s="354"/>
    </row>
    <row r="17" spans="1:42" ht="15.75">
      <c r="A17" s="365" t="s">
        <v>372</v>
      </c>
      <c r="C17" s="366" t="s">
        <v>373</v>
      </c>
      <c r="J17" s="367">
        <f>J16+J12+J8</f>
        <v>111482153.1768828</v>
      </c>
      <c r="K17" s="367">
        <f>K16+K12+K8</f>
        <v>11286780</v>
      </c>
      <c r="L17" s="367">
        <f>L16+L12+L8</f>
        <v>78481775.871539086</v>
      </c>
      <c r="M17" s="367">
        <f t="shared" ref="M17:O17" si="12">M16+M12+M8</f>
        <v>3767862.0897283391</v>
      </c>
      <c r="N17" s="367">
        <f t="shared" si="12"/>
        <v>246932.95261538459</v>
      </c>
      <c r="O17" s="367">
        <f t="shared" si="12"/>
        <v>17698802.263</v>
      </c>
      <c r="P17" s="354"/>
      <c r="Q17" s="356"/>
      <c r="R17" s="354"/>
      <c r="S17" s="354"/>
      <c r="T17" s="354"/>
      <c r="U17" s="354"/>
      <c r="Y17" s="354"/>
      <c r="Z17" s="354"/>
      <c r="AA17" s="354"/>
      <c r="AB17" s="354"/>
      <c r="AC17" s="354"/>
      <c r="AD17" s="354"/>
      <c r="AE17" s="354"/>
      <c r="AF17" s="354"/>
      <c r="AG17" s="354"/>
      <c r="AH17" s="354"/>
      <c r="AI17" s="354"/>
      <c r="AJ17" s="354"/>
      <c r="AK17" s="354"/>
      <c r="AL17" s="354"/>
      <c r="AM17" s="354"/>
      <c r="AN17" s="354"/>
      <c r="AO17" s="354"/>
      <c r="AP17" s="354"/>
    </row>
    <row r="18" spans="1:42" ht="15.75">
      <c r="A18" s="365"/>
      <c r="C18" s="366" t="s">
        <v>374</v>
      </c>
      <c r="J18" s="368">
        <f>SUM(K18:O18)</f>
        <v>1</v>
      </c>
      <c r="K18" s="368">
        <f>K17/$J$17</f>
        <v>0.10124293152189003</v>
      </c>
      <c r="L18" s="368">
        <f t="shared" ref="L18:O18" si="13">L17/$J$17</f>
        <v>0.70398511003834152</v>
      </c>
      <c r="M18" s="368">
        <f t="shared" si="13"/>
        <v>3.3797894841069966E-2</v>
      </c>
      <c r="N18" s="368">
        <f t="shared" si="13"/>
        <v>2.2149998504566843E-3</v>
      </c>
      <c r="O18" s="368">
        <f t="shared" si="13"/>
        <v>0.15875906374824186</v>
      </c>
      <c r="P18" s="354"/>
      <c r="Q18" s="356"/>
      <c r="R18" s="354"/>
      <c r="S18" s="354"/>
      <c r="T18" s="354"/>
      <c r="U18" s="354"/>
      <c r="Y18" s="354"/>
      <c r="Z18" s="354"/>
      <c r="AA18" s="354"/>
      <c r="AB18" s="354"/>
      <c r="AC18" s="354"/>
      <c r="AD18" s="354"/>
      <c r="AE18" s="354"/>
      <c r="AF18" s="354"/>
      <c r="AG18" s="354"/>
      <c r="AH18" s="354"/>
      <c r="AI18" s="354"/>
      <c r="AJ18" s="354"/>
      <c r="AK18" s="354"/>
      <c r="AL18" s="354"/>
      <c r="AM18" s="354"/>
      <c r="AN18" s="354"/>
      <c r="AO18" s="354"/>
      <c r="AP18" s="354"/>
    </row>
    <row r="19" spans="1:42" ht="15.75">
      <c r="A19" s="365"/>
      <c r="C19" s="366" t="s">
        <v>388</v>
      </c>
      <c r="J19" s="367">
        <f>J12+J7+J16</f>
        <v>87501974.384615391</v>
      </c>
      <c r="K19" s="367">
        <f t="shared" ref="K19:O19" si="14">K12+K7+K16</f>
        <v>11286780</v>
      </c>
      <c r="L19" s="367">
        <f>L12+L7+L16</f>
        <v>68316670.98300001</v>
      </c>
      <c r="M19" s="367">
        <f t="shared" si="14"/>
        <v>0</v>
      </c>
      <c r="N19" s="367">
        <f t="shared" si="14"/>
        <v>123037.36461538461</v>
      </c>
      <c r="O19" s="367">
        <f t="shared" si="14"/>
        <v>7775486.0370000005</v>
      </c>
      <c r="P19" s="354"/>
      <c r="Q19" s="356"/>
      <c r="R19" s="354"/>
      <c r="S19" s="354"/>
      <c r="T19" s="354"/>
      <c r="U19" s="354"/>
      <c r="Y19" s="354"/>
      <c r="Z19" s="354"/>
      <c r="AA19" s="354"/>
      <c r="AB19" s="354"/>
      <c r="AC19" s="354"/>
      <c r="AD19" s="354"/>
      <c r="AE19" s="354"/>
      <c r="AF19" s="354"/>
      <c r="AG19" s="354"/>
      <c r="AH19" s="354"/>
      <c r="AI19" s="354"/>
      <c r="AJ19" s="354"/>
      <c r="AK19" s="354"/>
      <c r="AL19" s="354"/>
      <c r="AM19" s="354"/>
      <c r="AN19" s="354"/>
      <c r="AO19" s="354"/>
      <c r="AP19" s="354"/>
    </row>
    <row r="20" spans="1:42" ht="15.75">
      <c r="A20" s="365"/>
      <c r="C20" s="366" t="s">
        <v>374</v>
      </c>
      <c r="J20" s="407">
        <f>SUM(K20:O20)</f>
        <v>1</v>
      </c>
      <c r="K20" s="368">
        <f>K19/$J$19</f>
        <v>0.12898886087288614</v>
      </c>
      <c r="L20" s="368">
        <f>L19/$J$19</f>
        <v>0.78074433706734114</v>
      </c>
      <c r="M20" s="368">
        <f>M19/$J$19</f>
        <v>0</v>
      </c>
      <c r="N20" s="368">
        <f>N19/$J$19</f>
        <v>1.4061095818772411E-3</v>
      </c>
      <c r="O20" s="368">
        <f>O19/$J$19</f>
        <v>8.8860692477895534E-2</v>
      </c>
      <c r="P20" s="354"/>
      <c r="Q20" s="356"/>
      <c r="R20" s="354"/>
      <c r="S20" s="354"/>
      <c r="T20" s="354"/>
      <c r="U20" s="354"/>
      <c r="Y20" s="354"/>
      <c r="Z20" s="354"/>
      <c r="AA20" s="354"/>
      <c r="AB20" s="354"/>
      <c r="AC20" s="354"/>
      <c r="AD20" s="354"/>
      <c r="AE20" s="354"/>
      <c r="AF20" s="354"/>
      <c r="AG20" s="354"/>
      <c r="AH20" s="354"/>
      <c r="AI20" s="354"/>
      <c r="AJ20" s="354"/>
      <c r="AK20" s="354"/>
      <c r="AL20" s="354"/>
      <c r="AM20" s="354"/>
      <c r="AN20" s="354"/>
      <c r="AO20" s="354"/>
      <c r="AP20" s="354"/>
    </row>
    <row r="21" spans="1:42" ht="15.75">
      <c r="A21" s="365"/>
      <c r="C21" s="366" t="s">
        <v>467</v>
      </c>
      <c r="J21" s="367">
        <f>J6</f>
        <v>23980178.792267412</v>
      </c>
      <c r="K21" s="367">
        <f t="shared" ref="K21:O21" si="15">K6</f>
        <v>0</v>
      </c>
      <c r="L21" s="367">
        <f t="shared" si="15"/>
        <v>10165104.888539074</v>
      </c>
      <c r="M21" s="367">
        <f t="shared" si="15"/>
        <v>3767862.0897283391</v>
      </c>
      <c r="N21" s="367">
        <f t="shared" si="15"/>
        <v>123895.58799999999</v>
      </c>
      <c r="O21" s="367">
        <f t="shared" si="15"/>
        <v>9923316.2259999998</v>
      </c>
      <c r="P21" s="354"/>
      <c r="Q21" s="356"/>
      <c r="R21" s="354"/>
      <c r="S21" s="354"/>
      <c r="T21" s="354"/>
      <c r="U21" s="354"/>
      <c r="Y21" s="354"/>
      <c r="Z21" s="354"/>
      <c r="AA21" s="354"/>
      <c r="AB21" s="354"/>
      <c r="AC21" s="354"/>
      <c r="AD21" s="354"/>
      <c r="AE21" s="354"/>
      <c r="AF21" s="354"/>
      <c r="AG21" s="354"/>
      <c r="AH21" s="354"/>
      <c r="AI21" s="354"/>
      <c r="AJ21" s="354"/>
      <c r="AK21" s="354"/>
      <c r="AL21" s="354"/>
      <c r="AM21" s="354"/>
      <c r="AN21" s="354"/>
      <c r="AO21" s="354"/>
      <c r="AP21" s="354"/>
    </row>
    <row r="22" spans="1:42" ht="15.75">
      <c r="A22" s="365"/>
      <c r="C22" s="366" t="s">
        <v>374</v>
      </c>
      <c r="J22" s="368">
        <f>SUM(K22:O22)</f>
        <v>1</v>
      </c>
      <c r="K22" s="368">
        <f>K21/$J$21</f>
        <v>0</v>
      </c>
      <c r="L22" s="368">
        <f>L21/$J$21</f>
        <v>0.42389612590448611</v>
      </c>
      <c r="M22" s="368">
        <f>M21/$J$21</f>
        <v>0.15712401989860536</v>
      </c>
      <c r="N22" s="368">
        <f>N21/$J$21</f>
        <v>5.1665831632561072E-3</v>
      </c>
      <c r="O22" s="368">
        <f>O21/$J$21</f>
        <v>0.41381327103365251</v>
      </c>
      <c r="P22" s="354"/>
      <c r="Q22" s="356"/>
      <c r="R22" s="354"/>
      <c r="S22" s="354"/>
      <c r="T22" s="354"/>
      <c r="U22" s="354"/>
      <c r="Y22" s="354"/>
      <c r="Z22" s="354"/>
      <c r="AA22" s="354"/>
      <c r="AB22" s="354"/>
      <c r="AC22" s="354"/>
      <c r="AD22" s="354"/>
      <c r="AE22" s="354"/>
      <c r="AF22" s="354"/>
      <c r="AG22" s="354"/>
      <c r="AH22" s="354"/>
      <c r="AI22" s="354"/>
      <c r="AJ22" s="354"/>
      <c r="AK22" s="354"/>
      <c r="AL22" s="354"/>
      <c r="AM22" s="354"/>
      <c r="AN22" s="354"/>
      <c r="AO22" s="354"/>
      <c r="AP22" s="354"/>
    </row>
    <row r="23" spans="1:42" ht="15.75">
      <c r="A23" s="365"/>
      <c r="C23" s="366" t="s">
        <v>577</v>
      </c>
      <c r="J23" s="367">
        <f>J19-J10-J13</f>
        <v>37506923.384615391</v>
      </c>
      <c r="K23" s="367">
        <f t="shared" ref="K23:N23" si="16">K19-K10-K13</f>
        <v>11286780</v>
      </c>
      <c r="L23" s="367">
        <f t="shared" si="16"/>
        <v>21398702.313000008</v>
      </c>
      <c r="M23" s="367">
        <f t="shared" si="16"/>
        <v>0</v>
      </c>
      <c r="N23" s="367">
        <f t="shared" si="16"/>
        <v>123037.36461538461</v>
      </c>
      <c r="O23" s="367">
        <f>O19-O10-O13</f>
        <v>4698403.7070000004</v>
      </c>
      <c r="P23" s="354"/>
      <c r="Q23" s="356"/>
      <c r="R23" s="354"/>
      <c r="S23" s="354"/>
      <c r="T23" s="354"/>
      <c r="U23" s="354"/>
      <c r="Y23" s="354"/>
      <c r="Z23" s="354"/>
      <c r="AA23" s="354"/>
      <c r="AB23" s="354"/>
      <c r="AC23" s="354"/>
      <c r="AD23" s="354"/>
      <c r="AE23" s="354"/>
      <c r="AF23" s="354"/>
      <c r="AG23" s="354"/>
      <c r="AH23" s="354"/>
      <c r="AI23" s="354"/>
      <c r="AJ23" s="354"/>
      <c r="AK23" s="354"/>
      <c r="AL23" s="354"/>
      <c r="AM23" s="354"/>
      <c r="AN23" s="354"/>
      <c r="AO23" s="354"/>
      <c r="AP23" s="354"/>
    </row>
    <row r="24" spans="1:42" ht="15.75">
      <c r="A24" s="365"/>
      <c r="C24" s="366"/>
      <c r="J24" s="368">
        <f>SUM(K24:O24)</f>
        <v>1.0000000000000002</v>
      </c>
      <c r="K24" s="368">
        <f>K23/$J$23</f>
        <v>0.30092524210155869</v>
      </c>
      <c r="L24" s="368">
        <f t="shared" ref="L24:O24" si="17">L23/$J$23</f>
        <v>0.57052672898724988</v>
      </c>
      <c r="M24" s="368">
        <f t="shared" si="17"/>
        <v>0</v>
      </c>
      <c r="N24" s="368">
        <f t="shared" si="17"/>
        <v>3.280390752227151E-3</v>
      </c>
      <c r="O24" s="368">
        <f t="shared" si="17"/>
        <v>0.12526763815896438</v>
      </c>
      <c r="P24" s="354"/>
      <c r="Q24" s="356"/>
      <c r="R24" s="354"/>
      <c r="S24" s="354"/>
      <c r="T24" s="354"/>
      <c r="U24" s="354"/>
      <c r="Y24" s="354"/>
      <c r="Z24" s="354"/>
      <c r="AA24" s="354"/>
      <c r="AB24" s="354"/>
      <c r="AC24" s="354"/>
      <c r="AD24" s="354"/>
      <c r="AE24" s="354"/>
      <c r="AF24" s="354"/>
      <c r="AG24" s="354"/>
      <c r="AH24" s="354"/>
      <c r="AI24" s="354"/>
      <c r="AJ24" s="354"/>
      <c r="AK24" s="354"/>
      <c r="AL24" s="354"/>
      <c r="AM24" s="354"/>
      <c r="AN24" s="354"/>
      <c r="AO24" s="354"/>
      <c r="AP24" s="354"/>
    </row>
    <row r="25" spans="1:42" ht="15.75">
      <c r="C25" s="366" t="s">
        <v>761</v>
      </c>
      <c r="J25" s="368">
        <f>(J9)/$J$19</f>
        <v>0.16466431873488441</v>
      </c>
      <c r="K25" s="368">
        <f>(K9+K11+K14-K49)/$J$19</f>
        <v>0.12898886087288614</v>
      </c>
      <c r="L25" s="368">
        <f>(L9+N9)/(L19+N19)</f>
        <v>2.197312110627072E-2</v>
      </c>
      <c r="M25" s="368"/>
      <c r="N25" s="368">
        <f>(N9+N11+N14-N49)/N19</f>
        <v>0.53922748445384705</v>
      </c>
      <c r="O25" s="368">
        <f>(O9+O11+O14-O49)/$J$19</f>
        <v>2.2830765740427021E-2</v>
      </c>
      <c r="P25" s="354"/>
      <c r="Q25" s="356"/>
      <c r="R25" s="354"/>
      <c r="S25" s="354"/>
      <c r="T25" s="354"/>
      <c r="U25" s="354"/>
      <c r="Y25" s="354"/>
      <c r="Z25" s="354"/>
      <c r="AA25" s="354"/>
      <c r="AB25" s="354"/>
      <c r="AC25" s="354"/>
      <c r="AD25" s="354"/>
      <c r="AE25" s="354"/>
      <c r="AF25" s="354"/>
      <c r="AG25" s="354"/>
      <c r="AH25" s="354"/>
      <c r="AI25" s="354"/>
      <c r="AJ25" s="354"/>
      <c r="AK25" s="354"/>
      <c r="AL25" s="354"/>
      <c r="AM25" s="354"/>
      <c r="AN25" s="354"/>
      <c r="AO25" s="354"/>
      <c r="AP25" s="354"/>
    </row>
    <row r="26" spans="1:42" ht="15.75">
      <c r="C26" s="366" t="s">
        <v>727</v>
      </c>
      <c r="J26" s="368">
        <f t="shared" ref="J26:K26" si="18">(J9+J11+J14-J49)/J23</f>
        <v>0.43205714898125752</v>
      </c>
      <c r="K26" s="368">
        <f t="shared" si="18"/>
        <v>1</v>
      </c>
      <c r="L26" s="368">
        <f>(L9+N9)/(L23+N23)</f>
        <v>6.9875113374971584E-2</v>
      </c>
      <c r="M26" s="368"/>
      <c r="N26" s="368">
        <f t="shared" ref="N26:O26" si="19">(N9+N11+N14-N49)/N23</f>
        <v>0.53922748445384705</v>
      </c>
      <c r="O26" s="368">
        <f t="shared" si="19"/>
        <v>0.4251948541636888</v>
      </c>
      <c r="P26" s="354"/>
      <c r="Q26" s="356"/>
      <c r="R26" s="354"/>
      <c r="S26" s="354"/>
      <c r="T26" s="354"/>
      <c r="U26" s="354"/>
      <c r="Y26" s="354"/>
      <c r="Z26" s="354"/>
      <c r="AA26" s="354"/>
      <c r="AB26" s="354"/>
      <c r="AC26" s="354"/>
      <c r="AD26" s="354"/>
      <c r="AE26" s="354"/>
      <c r="AF26" s="354"/>
      <c r="AG26" s="354"/>
      <c r="AH26" s="354"/>
      <c r="AI26" s="354"/>
      <c r="AJ26" s="354"/>
      <c r="AK26" s="354"/>
      <c r="AL26" s="354"/>
      <c r="AM26" s="354"/>
      <c r="AN26" s="354"/>
      <c r="AO26" s="354"/>
      <c r="AP26" s="354"/>
    </row>
    <row r="27" spans="1:42" ht="15.75">
      <c r="C27" s="366" t="s">
        <v>734</v>
      </c>
      <c r="J27" s="368"/>
      <c r="K27" s="368"/>
      <c r="L27" s="368">
        <f>(L11+L15+N11+N15+L7+L14+N14)/(L23+N23)</f>
        <v>0.93012488662502824</v>
      </c>
      <c r="M27" s="368"/>
      <c r="N27" s="368"/>
      <c r="O27" s="368"/>
      <c r="P27" s="354"/>
      <c r="Q27" s="356"/>
      <c r="R27" s="354"/>
      <c r="S27" s="354"/>
      <c r="T27" s="354"/>
      <c r="U27" s="354"/>
      <c r="Y27" s="354"/>
      <c r="Z27" s="354"/>
      <c r="AA27" s="354"/>
      <c r="AB27" s="354"/>
      <c r="AC27" s="354"/>
      <c r="AD27" s="354"/>
      <c r="AE27" s="354"/>
      <c r="AF27" s="354"/>
      <c r="AG27" s="354"/>
      <c r="AH27" s="354"/>
      <c r="AI27" s="354"/>
      <c r="AJ27" s="354"/>
      <c r="AK27" s="354"/>
      <c r="AL27" s="354"/>
      <c r="AM27" s="354"/>
      <c r="AN27" s="354"/>
      <c r="AO27" s="354"/>
      <c r="AP27" s="354"/>
    </row>
    <row r="28" spans="1:42" ht="15.75">
      <c r="A28" s="370"/>
      <c r="C28" s="366" t="s">
        <v>760</v>
      </c>
      <c r="J28" s="368">
        <f>SUM(K28:O28)</f>
        <v>1.0000000000000002</v>
      </c>
      <c r="K28" s="368">
        <f>(K19-K9*0.8)/J19</f>
        <v>2.6502487701668711E-2</v>
      </c>
      <c r="L28" s="368">
        <f>(L19+K9*0.8)/J19</f>
        <v>0.88323071023855859</v>
      </c>
      <c r="M28" s="368">
        <f>M19/$J$19</f>
        <v>0</v>
      </c>
      <c r="N28" s="368">
        <f t="shared" ref="N28" si="20">N19/$J$19</f>
        <v>1.4061095818772411E-3</v>
      </c>
      <c r="O28" s="368">
        <f>O19/$J$19</f>
        <v>8.8860692477895534E-2</v>
      </c>
      <c r="P28" s="354"/>
      <c r="Q28" s="356"/>
      <c r="R28" s="354"/>
      <c r="S28" s="354"/>
      <c r="T28" s="354"/>
      <c r="U28" s="354"/>
      <c r="Y28" s="354"/>
      <c r="Z28" s="354"/>
      <c r="AA28" s="354"/>
      <c r="AB28" s="354"/>
      <c r="AC28" s="354"/>
      <c r="AD28" s="354"/>
      <c r="AE28" s="354"/>
      <c r="AF28" s="354"/>
      <c r="AG28" s="354"/>
      <c r="AH28" s="354"/>
      <c r="AI28" s="354"/>
      <c r="AJ28" s="354"/>
      <c r="AK28" s="354"/>
      <c r="AL28" s="354"/>
      <c r="AM28" s="354"/>
      <c r="AN28" s="354"/>
      <c r="AO28" s="354"/>
      <c r="AP28" s="354"/>
    </row>
    <row r="29" spans="1:42" ht="15.75">
      <c r="A29" s="369" t="s">
        <v>389</v>
      </c>
      <c r="B29" s="371"/>
      <c r="C29" s="366" t="s">
        <v>762</v>
      </c>
      <c r="J29" s="368">
        <f>(J9)/$J$19</f>
        <v>0.16466431873488441</v>
      </c>
      <c r="K29" s="368"/>
      <c r="L29" s="368">
        <f>(K9*0.8+L9+N9+M9)/(L19+N19+K9*0.8+M19)</f>
        <v>0.13527885904981399</v>
      </c>
      <c r="M29" s="368"/>
      <c r="N29" s="368"/>
      <c r="O29" s="368"/>
      <c r="P29" s="354"/>
      <c r="Q29" s="356"/>
      <c r="R29" s="354"/>
      <c r="S29" s="354"/>
      <c r="T29" s="354"/>
      <c r="U29" s="354"/>
      <c r="Y29" s="354"/>
      <c r="Z29" s="354"/>
      <c r="AA29" s="354"/>
      <c r="AB29" s="354"/>
      <c r="AC29" s="354"/>
      <c r="AD29" s="354"/>
      <c r="AE29" s="354"/>
      <c r="AF29" s="354"/>
      <c r="AG29" s="354"/>
      <c r="AH29" s="354"/>
      <c r="AI29" s="354"/>
      <c r="AJ29" s="354"/>
      <c r="AK29" s="354"/>
      <c r="AL29" s="354"/>
      <c r="AM29" s="354"/>
      <c r="AN29" s="354"/>
      <c r="AO29" s="354"/>
      <c r="AP29" s="354"/>
    </row>
    <row r="30" spans="1:42" ht="15.75">
      <c r="A30" s="370" t="s">
        <v>390</v>
      </c>
      <c r="B30" s="372" t="s">
        <v>391</v>
      </c>
      <c r="C30" s="372"/>
      <c r="J30" s="368"/>
      <c r="L30" s="367"/>
      <c r="S30" s="354"/>
      <c r="T30" s="354"/>
      <c r="U30" s="354"/>
      <c r="Y30" s="354"/>
      <c r="Z30" s="354"/>
      <c r="AA30" s="354"/>
      <c r="AB30" s="354"/>
      <c r="AC30" s="354"/>
      <c r="AD30" s="354"/>
      <c r="AE30" s="354"/>
      <c r="AF30" s="354"/>
      <c r="AG30" s="354"/>
      <c r="AH30" s="354"/>
      <c r="AI30" s="354"/>
      <c r="AJ30" s="354"/>
      <c r="AK30" s="354"/>
      <c r="AL30" s="354"/>
      <c r="AM30" s="354"/>
      <c r="AN30" s="354"/>
      <c r="AO30" s="354"/>
      <c r="AP30" s="354"/>
    </row>
    <row r="31" spans="1:42" ht="15.75">
      <c r="A31" s="373">
        <v>2017</v>
      </c>
      <c r="B31" s="1407">
        <f>'Input data'!C117</f>
        <v>3107.1496601967842</v>
      </c>
      <c r="C31" s="314"/>
      <c r="J31" s="368"/>
      <c r="K31" s="368"/>
      <c r="L31" s="368"/>
      <c r="M31" s="368"/>
      <c r="N31" s="368"/>
      <c r="O31" s="368"/>
      <c r="P31" s="354"/>
      <c r="Q31" s="356"/>
      <c r="R31" s="354"/>
      <c r="S31" s="354"/>
      <c r="T31" s="354"/>
      <c r="U31" s="354"/>
      <c r="Y31" s="354"/>
      <c r="Z31" s="354"/>
      <c r="AA31" s="354"/>
      <c r="AB31" s="354"/>
      <c r="AC31" s="354"/>
      <c r="AD31" s="354"/>
      <c r="AE31" s="354"/>
      <c r="AF31" s="354"/>
      <c r="AG31" s="354"/>
      <c r="AH31" s="354"/>
      <c r="AI31" s="354"/>
      <c r="AJ31" s="354"/>
      <c r="AK31" s="354"/>
      <c r="AL31" s="354"/>
      <c r="AM31" s="354"/>
      <c r="AN31" s="354"/>
      <c r="AO31" s="354"/>
      <c r="AP31" s="354"/>
    </row>
    <row r="32" spans="1:42" ht="15.75">
      <c r="A32" s="373"/>
      <c r="B32" s="314"/>
      <c r="C32" s="314"/>
      <c r="J32" s="368"/>
      <c r="K32" s="368"/>
      <c r="L32" s="368"/>
      <c r="M32" s="368"/>
      <c r="N32" s="368"/>
      <c r="O32" s="368"/>
      <c r="P32" s="354"/>
      <c r="Q32" s="356"/>
      <c r="R32" s="354"/>
      <c r="S32" s="354"/>
      <c r="T32" s="354"/>
      <c r="U32" s="354"/>
      <c r="Y32" s="354"/>
      <c r="Z32" s="354"/>
      <c r="AA32" s="354"/>
      <c r="AB32" s="354"/>
      <c r="AC32" s="354"/>
      <c r="AD32" s="354"/>
      <c r="AE32" s="354"/>
      <c r="AF32" s="354"/>
      <c r="AG32" s="354"/>
      <c r="AH32" s="354"/>
      <c r="AI32" s="354"/>
      <c r="AJ32" s="354"/>
      <c r="AK32" s="354"/>
      <c r="AL32" s="354"/>
      <c r="AM32" s="354"/>
      <c r="AN32" s="354"/>
      <c r="AO32" s="354"/>
      <c r="AP32" s="354"/>
    </row>
    <row r="33" spans="1:48" ht="15.75">
      <c r="A33" s="1938" t="s">
        <v>392</v>
      </c>
      <c r="B33" s="1938"/>
      <c r="C33" s="366"/>
      <c r="J33" s="368"/>
      <c r="K33" s="368"/>
      <c r="L33" s="368"/>
      <c r="M33" s="368"/>
      <c r="N33" s="368"/>
      <c r="O33" s="368"/>
      <c r="P33" s="354"/>
      <c r="Q33" s="356"/>
      <c r="R33" s="354"/>
      <c r="S33" s="354"/>
      <c r="T33" s="354"/>
      <c r="U33" s="354"/>
      <c r="Y33" s="354"/>
      <c r="Z33" s="354"/>
      <c r="AA33" s="354"/>
      <c r="AB33" s="354"/>
      <c r="AC33" s="354"/>
      <c r="AD33" s="354"/>
      <c r="AE33" s="354"/>
      <c r="AF33" s="354"/>
      <c r="AG33" s="354"/>
      <c r="AH33" s="354"/>
      <c r="AI33" s="354"/>
      <c r="AJ33" s="354"/>
      <c r="AK33" s="354"/>
      <c r="AL33" s="354"/>
      <c r="AM33" s="354"/>
      <c r="AN33" s="354"/>
      <c r="AO33" s="354"/>
      <c r="AP33" s="354"/>
    </row>
    <row r="34" spans="1:48" ht="15.75">
      <c r="A34" s="374">
        <v>2017</v>
      </c>
      <c r="B34" s="375">
        <f>($J$19/1000)/(B31)</f>
        <v>28.161493315089835</v>
      </c>
      <c r="C34" s="365" t="s">
        <v>393</v>
      </c>
      <c r="J34" s="365" t="s">
        <v>394</v>
      </c>
      <c r="K34" s="368"/>
      <c r="L34" s="368"/>
      <c r="M34" s="368"/>
      <c r="N34" s="368"/>
      <c r="O34" s="368"/>
      <c r="P34" s="354"/>
      <c r="Q34" s="356"/>
      <c r="R34" s="354"/>
      <c r="S34" s="354"/>
      <c r="T34" s="354"/>
      <c r="U34" s="354"/>
      <c r="Y34" s="354"/>
      <c r="Z34" s="354"/>
      <c r="AA34" s="354"/>
      <c r="AB34" s="354"/>
      <c r="AC34" s="354"/>
      <c r="AD34" s="354"/>
      <c r="AE34" s="354"/>
      <c r="AF34" s="354"/>
      <c r="AG34" s="354"/>
      <c r="AH34" s="354"/>
      <c r="AI34" s="354"/>
      <c r="AJ34" s="354"/>
      <c r="AK34" s="354"/>
      <c r="AL34" s="354"/>
      <c r="AM34" s="354"/>
      <c r="AN34" s="354"/>
      <c r="AO34" s="354"/>
      <c r="AP34" s="354"/>
    </row>
    <row r="35" spans="1:48" ht="15.75">
      <c r="A35" s="376"/>
      <c r="B35" s="1173"/>
      <c r="C35" s="365"/>
      <c r="J35" s="368"/>
      <c r="K35" s="368"/>
      <c r="L35" s="368"/>
      <c r="M35" s="368"/>
      <c r="N35" s="368"/>
      <c r="O35" s="368"/>
      <c r="P35" s="354"/>
      <c r="Q35" s="356"/>
      <c r="R35" s="354"/>
      <c r="S35" s="354"/>
      <c r="T35" s="354"/>
      <c r="U35" s="354"/>
      <c r="Y35" s="354"/>
      <c r="Z35" s="354"/>
      <c r="AA35" s="354"/>
      <c r="AB35" s="354"/>
      <c r="AC35" s="354"/>
      <c r="AD35" s="354"/>
      <c r="AE35" s="354"/>
      <c r="AF35" s="354"/>
      <c r="AG35" s="354"/>
      <c r="AH35" s="354"/>
      <c r="AI35" s="354"/>
      <c r="AJ35" s="354"/>
      <c r="AK35" s="354"/>
      <c r="AL35" s="354"/>
      <c r="AM35" s="354"/>
      <c r="AN35" s="354"/>
      <c r="AO35" s="354"/>
      <c r="AP35" s="354"/>
    </row>
    <row r="36" spans="1:48" ht="15.75">
      <c r="A36" s="374">
        <v>2017</v>
      </c>
      <c r="B36" s="375">
        <f>J23/1000/B31</f>
        <v>12.071167303296225</v>
      </c>
      <c r="C36" s="365" t="s">
        <v>393</v>
      </c>
      <c r="J36" s="368" t="s">
        <v>571</v>
      </c>
      <c r="K36" s="622"/>
      <c r="L36" s="622"/>
      <c r="M36" s="368"/>
      <c r="N36" s="368"/>
      <c r="O36" s="368"/>
      <c r="P36" s="354"/>
      <c r="Q36" s="356"/>
      <c r="R36" s="354"/>
      <c r="S36" s="354"/>
      <c r="T36" s="354"/>
      <c r="U36" s="354"/>
      <c r="Y36" s="354"/>
      <c r="Z36" s="354"/>
      <c r="AA36" s="354"/>
      <c r="AB36" s="354"/>
      <c r="AC36" s="354"/>
      <c r="AD36" s="354"/>
      <c r="AE36" s="354"/>
      <c r="AF36" s="354"/>
      <c r="AG36" s="354"/>
      <c r="AH36" s="354"/>
      <c r="AI36" s="354"/>
      <c r="AJ36" s="354"/>
      <c r="AK36" s="354"/>
      <c r="AL36" s="354"/>
      <c r="AM36" s="354"/>
      <c r="AN36" s="354"/>
      <c r="AO36" s="354"/>
      <c r="AP36" s="354"/>
    </row>
    <row r="37" spans="1:48" ht="15.75">
      <c r="B37" s="377"/>
      <c r="C37" s="365"/>
      <c r="J37" s="368"/>
      <c r="K37" s="368"/>
      <c r="L37" s="368"/>
      <c r="M37" s="368"/>
      <c r="N37" s="368"/>
      <c r="O37" s="368"/>
      <c r="P37" s="354"/>
      <c r="Q37" s="356"/>
      <c r="R37" s="354"/>
      <c r="S37" s="354"/>
      <c r="T37" s="354"/>
      <c r="U37" s="354"/>
      <c r="Y37" s="354"/>
      <c r="Z37" s="354"/>
      <c r="AA37" s="354"/>
      <c r="AB37" s="354"/>
      <c r="AC37" s="354"/>
      <c r="AD37" s="354"/>
      <c r="AE37" s="354"/>
      <c r="AF37" s="354"/>
      <c r="AG37" s="354"/>
      <c r="AH37" s="354"/>
      <c r="AI37" s="354"/>
      <c r="AJ37" s="354"/>
      <c r="AK37" s="354"/>
      <c r="AL37" s="354"/>
      <c r="AM37" s="354"/>
      <c r="AN37" s="354"/>
      <c r="AO37" s="354"/>
      <c r="AP37" s="354"/>
    </row>
    <row r="38" spans="1:48" ht="15.75">
      <c r="A38" s="365" t="s">
        <v>395</v>
      </c>
      <c r="C38" s="366"/>
      <c r="J38" s="367"/>
      <c r="K38" s="367"/>
      <c r="L38" s="367"/>
      <c r="M38" s="367"/>
      <c r="N38" s="367"/>
      <c r="O38" s="367"/>
      <c r="P38" s="354"/>
      <c r="Q38" s="356"/>
      <c r="R38" s="354"/>
      <c r="S38" s="354"/>
      <c r="T38" s="354"/>
      <c r="U38" s="354"/>
      <c r="Y38" s="354"/>
      <c r="Z38" s="354"/>
      <c r="AA38" s="354"/>
      <c r="AB38" s="354"/>
      <c r="AC38" s="354"/>
      <c r="AD38" s="354"/>
      <c r="AE38" s="354"/>
      <c r="AF38" s="354"/>
      <c r="AG38" s="354"/>
      <c r="AH38" s="354"/>
      <c r="AI38" s="354"/>
      <c r="AJ38" s="354"/>
      <c r="AK38" s="354"/>
      <c r="AL38" s="354"/>
      <c r="AM38" s="354"/>
      <c r="AN38" s="354"/>
      <c r="AO38" s="354"/>
      <c r="AP38" s="354"/>
    </row>
    <row r="39" spans="1:48" s="379" customFormat="1">
      <c r="A39" s="1939" t="s">
        <v>267</v>
      </c>
      <c r="B39" s="355"/>
      <c r="C39" s="355" t="s">
        <v>345</v>
      </c>
      <c r="D39" s="355" t="s">
        <v>396</v>
      </c>
      <c r="E39" s="355">
        <v>2017</v>
      </c>
      <c r="F39" s="355"/>
      <c r="G39" s="355" t="s">
        <v>397</v>
      </c>
      <c r="H39" s="355"/>
      <c r="I39" s="355" t="s">
        <v>398</v>
      </c>
      <c r="J39" s="378">
        <v>3767862.0897283391</v>
      </c>
      <c r="K39" s="378">
        <v>0</v>
      </c>
      <c r="L39" s="378">
        <v>0</v>
      </c>
      <c r="M39" s="378">
        <v>3767862.0897283391</v>
      </c>
      <c r="N39" s="378">
        <v>0</v>
      </c>
      <c r="O39" s="378">
        <v>0</v>
      </c>
      <c r="P39" s="305"/>
      <c r="Q39" s="305"/>
      <c r="R39" s="305"/>
      <c r="S39" s="305"/>
      <c r="T39" s="305"/>
      <c r="U39" s="305"/>
      <c r="V39"/>
      <c r="W39"/>
      <c r="X39"/>
      <c r="Y39" s="341"/>
      <c r="Z39" s="341"/>
      <c r="AA39" s="341"/>
      <c r="AB39" s="341"/>
      <c r="AC39" s="341"/>
      <c r="AD39" s="341"/>
      <c r="AE39" s="341"/>
      <c r="AF39" s="341"/>
      <c r="AG39" s="341"/>
      <c r="AH39" s="341"/>
      <c r="AI39" s="341"/>
      <c r="AJ39" s="341"/>
      <c r="AK39" s="341"/>
      <c r="AL39" s="341"/>
      <c r="AM39" s="341"/>
      <c r="AN39" s="341"/>
      <c r="AO39" s="341"/>
      <c r="AP39" s="341"/>
      <c r="AQ39"/>
      <c r="AR39"/>
      <c r="AS39"/>
      <c r="AT39"/>
      <c r="AU39"/>
    </row>
    <row r="40" spans="1:48" s="379" customFormat="1">
      <c r="A40" s="1939"/>
      <c r="B40" s="355" t="s">
        <v>334</v>
      </c>
      <c r="C40" s="355" t="s">
        <v>346</v>
      </c>
      <c r="D40" s="355" t="s">
        <v>399</v>
      </c>
      <c r="E40" s="355">
        <v>2017</v>
      </c>
      <c r="F40" s="355"/>
      <c r="G40" s="355" t="s">
        <v>397</v>
      </c>
      <c r="H40" s="355"/>
      <c r="I40" s="355" t="s">
        <v>400</v>
      </c>
      <c r="J40" s="378">
        <v>4821430</v>
      </c>
      <c r="K40" s="378">
        <v>0</v>
      </c>
      <c r="L40" s="378">
        <v>4821430</v>
      </c>
      <c r="M40" s="378">
        <v>0</v>
      </c>
      <c r="N40" s="378">
        <v>0</v>
      </c>
      <c r="O40" s="378">
        <v>0</v>
      </c>
      <c r="P40" s="305"/>
      <c r="Q40" s="305"/>
      <c r="R40" s="305"/>
      <c r="S40" s="305"/>
      <c r="T40"/>
      <c r="U40" s="305"/>
      <c r="V40"/>
      <c r="W40"/>
      <c r="X40"/>
      <c r="Y40" s="341"/>
      <c r="Z40" s="341"/>
      <c r="AA40" s="341"/>
      <c r="AB40" s="341"/>
      <c r="AC40" s="341"/>
      <c r="AD40" s="341"/>
      <c r="AE40" s="341"/>
      <c r="AF40" s="341"/>
      <c r="AG40" s="341"/>
      <c r="AH40" s="341"/>
      <c r="AI40" s="341"/>
      <c r="AJ40" s="341"/>
      <c r="AK40" s="341"/>
      <c r="AL40" s="341"/>
      <c r="AM40" s="341"/>
      <c r="AN40" s="341"/>
      <c r="AO40" s="341"/>
      <c r="AP40" s="341"/>
      <c r="AQ40"/>
      <c r="AR40"/>
      <c r="AS40"/>
      <c r="AT40"/>
      <c r="AU40"/>
    </row>
    <row r="41" spans="1:48" s="379" customFormat="1">
      <c r="A41" s="1939"/>
      <c r="B41" s="355" t="s">
        <v>336</v>
      </c>
      <c r="C41" s="355" t="s">
        <v>347</v>
      </c>
      <c r="D41" s="355" t="s">
        <v>401</v>
      </c>
      <c r="E41" s="355">
        <v>2017</v>
      </c>
      <c r="F41" s="355"/>
      <c r="G41" s="355"/>
      <c r="H41" s="355"/>
      <c r="I41" s="355" t="s">
        <v>402</v>
      </c>
      <c r="J41" s="378">
        <v>360884</v>
      </c>
      <c r="K41" s="378">
        <v>0</v>
      </c>
      <c r="L41" s="378">
        <v>360884</v>
      </c>
      <c r="M41" s="378">
        <v>0</v>
      </c>
      <c r="N41" s="378">
        <v>0</v>
      </c>
      <c r="O41" s="378">
        <v>0</v>
      </c>
      <c r="P41" s="305"/>
      <c r="Q41" s="305"/>
      <c r="R41" s="305"/>
      <c r="S41" s="305"/>
      <c r="T41"/>
      <c r="U41" s="305"/>
      <c r="V41"/>
      <c r="W41"/>
      <c r="X41"/>
      <c r="Y41" s="341"/>
      <c r="Z41" s="341"/>
      <c r="AA41" s="341"/>
      <c r="AB41" s="341"/>
      <c r="AC41" s="341"/>
      <c r="AD41" s="341"/>
      <c r="AE41" s="341"/>
      <c r="AF41" s="341"/>
      <c r="AG41" s="341"/>
      <c r="AH41" s="341"/>
      <c r="AI41" s="341"/>
      <c r="AJ41" s="341"/>
      <c r="AK41" s="341"/>
      <c r="AL41" s="341"/>
      <c r="AM41" s="341"/>
      <c r="AN41" s="341"/>
      <c r="AO41" s="341"/>
      <c r="AP41" s="341"/>
      <c r="AQ41"/>
      <c r="AR41"/>
      <c r="AS41"/>
      <c r="AT41"/>
      <c r="AU41"/>
    </row>
    <row r="42" spans="1:48" s="379" customFormat="1">
      <c r="A42" s="1939"/>
      <c r="B42" s="355" t="s">
        <v>338</v>
      </c>
      <c r="C42" s="355" t="s">
        <v>403</v>
      </c>
      <c r="D42" s="355" t="s">
        <v>401</v>
      </c>
      <c r="E42" s="355">
        <v>2017</v>
      </c>
      <c r="F42" s="355" t="s">
        <v>397</v>
      </c>
      <c r="G42" s="355"/>
      <c r="H42" s="355"/>
      <c r="I42" s="355" t="s">
        <v>404</v>
      </c>
      <c r="J42" s="378">
        <v>8330002.7025390733</v>
      </c>
      <c r="K42" s="378">
        <v>0</v>
      </c>
      <c r="L42" s="378">
        <v>1632790.8885390735</v>
      </c>
      <c r="M42" s="378">
        <v>0</v>
      </c>
      <c r="N42" s="378">
        <v>123895.58799999999</v>
      </c>
      <c r="O42" s="378">
        <v>6573316.2259999998</v>
      </c>
      <c r="P42" s="317"/>
      <c r="Q42" s="317"/>
      <c r="R42" s="317"/>
      <c r="S42" s="317"/>
      <c r="T42"/>
      <c r="U42" s="3"/>
      <c r="V42"/>
      <c r="W42"/>
      <c r="X42"/>
      <c r="Y42" s="341"/>
      <c r="Z42" s="341"/>
      <c r="AA42" s="341"/>
      <c r="AB42" s="341"/>
      <c r="AC42" s="341"/>
      <c r="AD42" s="341"/>
      <c r="AE42" s="341"/>
      <c r="AF42" s="341"/>
      <c r="AG42" s="341"/>
      <c r="AH42" s="341"/>
      <c r="AI42" s="341"/>
      <c r="AJ42" s="341"/>
      <c r="AK42" s="341"/>
      <c r="AL42" s="341"/>
      <c r="AM42" s="341"/>
      <c r="AN42" s="341"/>
      <c r="AO42" s="341"/>
      <c r="AP42" s="341"/>
      <c r="AQ42"/>
      <c r="AR42"/>
      <c r="AS42"/>
      <c r="AT42"/>
      <c r="AU42"/>
    </row>
    <row r="43" spans="1:48" s="379" customFormat="1">
      <c r="A43" s="1939"/>
      <c r="B43" s="355" t="s">
        <v>341</v>
      </c>
      <c r="C43" s="355" t="s">
        <v>342</v>
      </c>
      <c r="D43" s="355" t="s">
        <v>401</v>
      </c>
      <c r="E43" s="355">
        <v>2017</v>
      </c>
      <c r="F43" s="355"/>
      <c r="G43" s="355"/>
      <c r="H43" s="355" t="s">
        <v>397</v>
      </c>
      <c r="I43" s="355" t="s">
        <v>405</v>
      </c>
      <c r="J43" s="378">
        <v>6700000</v>
      </c>
      <c r="K43" s="378">
        <v>0</v>
      </c>
      <c r="L43" s="378">
        <v>3350000</v>
      </c>
      <c r="M43" s="378">
        <v>0</v>
      </c>
      <c r="N43" s="378">
        <v>0</v>
      </c>
      <c r="O43" s="378">
        <v>3350000</v>
      </c>
      <c r="P43"/>
      <c r="Q43"/>
      <c r="R43"/>
      <c r="S43"/>
      <c r="T43"/>
      <c r="U43" s="305"/>
      <c r="V43" s="3"/>
      <c r="W43" s="3"/>
      <c r="X43" s="3"/>
      <c r="Y43" s="341"/>
      <c r="Z43" s="341"/>
      <c r="AA43" s="341"/>
      <c r="AB43" s="341"/>
      <c r="AC43" s="341"/>
      <c r="AD43" s="341"/>
      <c r="AE43" s="341"/>
      <c r="AF43" s="341"/>
      <c r="AG43" s="341"/>
      <c r="AH43" s="341"/>
      <c r="AI43" s="341"/>
      <c r="AJ43" s="341"/>
      <c r="AK43" s="341"/>
      <c r="AL43" s="341"/>
      <c r="AM43" s="341"/>
      <c r="AN43" s="341"/>
      <c r="AO43" s="341"/>
      <c r="AP43" s="341"/>
      <c r="AQ43"/>
      <c r="AR43"/>
      <c r="AS43"/>
      <c r="AT43"/>
      <c r="AU43"/>
      <c r="AV43" s="379" t="s">
        <v>406</v>
      </c>
    </row>
    <row r="44" spans="1:48" s="379" customFormat="1" ht="15.75">
      <c r="A44" s="380" t="s">
        <v>407</v>
      </c>
      <c r="B44" s="355" t="s">
        <v>358</v>
      </c>
      <c r="C44" s="355" t="s">
        <v>359</v>
      </c>
      <c r="D44" s="355" t="s">
        <v>401</v>
      </c>
      <c r="E44" s="355">
        <v>2017</v>
      </c>
      <c r="F44" s="355"/>
      <c r="G44" s="355"/>
      <c r="H44" s="355" t="s">
        <v>397</v>
      </c>
      <c r="I44" s="355" t="s">
        <v>408</v>
      </c>
      <c r="J44" s="378">
        <v>4482992.0000000009</v>
      </c>
      <c r="K44" s="378">
        <v>0</v>
      </c>
      <c r="L44" s="378">
        <v>2151836.16</v>
      </c>
      <c r="M44" s="378">
        <v>0</v>
      </c>
      <c r="N44" s="378">
        <v>0</v>
      </c>
      <c r="O44" s="378">
        <v>2331155.8400000008</v>
      </c>
      <c r="P44" s="381"/>
      <c r="Q44" s="381"/>
      <c r="R44" s="381"/>
      <c r="S44" s="381"/>
      <c r="T44" s="381"/>
      <c r="U44" s="382"/>
      <c r="V44" s="3"/>
      <c r="W44" s="3"/>
      <c r="X44" s="3"/>
      <c r="Y44" s="383"/>
      <c r="Z44" s="383"/>
      <c r="AA44" s="383"/>
      <c r="AB44" s="383"/>
      <c r="AC44" s="383"/>
      <c r="AD44" s="383"/>
      <c r="AE44" s="383"/>
      <c r="AF44" s="383"/>
      <c r="AG44" s="383"/>
      <c r="AH44" s="383"/>
      <c r="AI44" s="383"/>
      <c r="AJ44" s="383"/>
      <c r="AK44" s="383"/>
      <c r="AL44" s="383"/>
      <c r="AM44" s="383"/>
      <c r="AN44" s="383"/>
      <c r="AO44" s="383"/>
      <c r="AP44" s="383"/>
      <c r="AQ44" s="315"/>
      <c r="AR44"/>
      <c r="AS44"/>
      <c r="AT44"/>
      <c r="AU44"/>
    </row>
    <row r="45" spans="1:48" ht="15.75">
      <c r="A45" s="384" t="s">
        <v>409</v>
      </c>
      <c r="B45" s="385"/>
      <c r="C45" s="355"/>
      <c r="D45" s="355"/>
      <c r="E45" s="355"/>
      <c r="F45" s="355"/>
      <c r="G45" s="355"/>
      <c r="H45" s="355"/>
      <c r="I45" s="385" t="s">
        <v>410</v>
      </c>
      <c r="J45" s="386">
        <f>SUM(J39:J44)</f>
        <v>28463170.792267412</v>
      </c>
      <c r="K45" s="386">
        <f t="shared" ref="K45:O45" si="21">SUM(K39:K44)</f>
        <v>0</v>
      </c>
      <c r="L45" s="386">
        <f t="shared" si="21"/>
        <v>12316941.048539074</v>
      </c>
      <c r="M45" s="386">
        <f t="shared" si="21"/>
        <v>3767862.0897283391</v>
      </c>
      <c r="N45" s="386">
        <f t="shared" si="21"/>
        <v>123895.58799999999</v>
      </c>
      <c r="O45" s="386">
        <f t="shared" si="21"/>
        <v>12254472.066</v>
      </c>
      <c r="P45" s="387"/>
      <c r="Q45" s="387"/>
      <c r="R45" s="387"/>
      <c r="S45" s="387"/>
      <c r="T45" s="387"/>
      <c r="U45" s="388"/>
      <c r="V45" s="3"/>
      <c r="W45" s="3"/>
      <c r="X45" s="3"/>
      <c r="Y45" s="387"/>
      <c r="Z45" s="387"/>
      <c r="AA45" s="387"/>
      <c r="AB45" s="387"/>
      <c r="AC45" s="387"/>
      <c r="AD45" s="3"/>
      <c r="AE45" s="387"/>
      <c r="AF45" s="387"/>
      <c r="AG45" s="387"/>
      <c r="AH45" s="387"/>
      <c r="AI45" s="387"/>
      <c r="AJ45" s="3"/>
      <c r="AK45" s="387"/>
      <c r="AL45" s="387"/>
      <c r="AM45" s="387"/>
      <c r="AN45" s="387"/>
      <c r="AO45" s="387"/>
      <c r="AP45" s="3"/>
      <c r="AQ45" s="315"/>
    </row>
    <row r="46" spans="1:48" ht="15.75">
      <c r="A46" s="389"/>
      <c r="B46" s="389"/>
      <c r="C46" s="390"/>
      <c r="D46" s="391"/>
      <c r="E46" s="390"/>
      <c r="I46" s="391"/>
      <c r="J46" s="392">
        <f>J45/I2*1000</f>
        <v>503.57731464363917</v>
      </c>
      <c r="K46" t="s">
        <v>379</v>
      </c>
      <c r="L46" s="392"/>
      <c r="M46" s="381"/>
      <c r="O46" s="393"/>
      <c r="U46" s="305"/>
      <c r="Y46" s="341"/>
      <c r="Z46" s="341"/>
      <c r="AA46" s="341"/>
      <c r="AB46" s="341"/>
      <c r="AC46" s="341"/>
      <c r="AD46" s="341"/>
      <c r="AE46" s="341"/>
      <c r="AF46" s="341"/>
      <c r="AG46" s="341"/>
      <c r="AH46" s="341"/>
      <c r="AI46" s="341"/>
      <c r="AJ46" s="341"/>
      <c r="AK46" s="341"/>
      <c r="AL46" s="341"/>
      <c r="AM46" s="341"/>
      <c r="AN46" s="341"/>
      <c r="AO46" s="341"/>
      <c r="AP46" s="341"/>
    </row>
    <row r="47" spans="1:48">
      <c r="J47" s="314"/>
      <c r="U47" s="305"/>
      <c r="V47" s="3"/>
      <c r="W47" s="3"/>
      <c r="X47" s="3"/>
      <c r="Y47" s="3"/>
      <c r="Z47" s="3"/>
      <c r="AA47" s="3"/>
      <c r="AB47" s="3"/>
      <c r="AC47" s="3"/>
      <c r="AD47" s="3"/>
      <c r="AE47" s="3"/>
      <c r="AF47" s="3"/>
      <c r="AG47" s="3"/>
      <c r="AH47" s="3"/>
      <c r="AI47" s="3"/>
      <c r="AJ47" s="3"/>
      <c r="AK47" s="3"/>
      <c r="AL47" s="3"/>
      <c r="AM47" s="3"/>
      <c r="AN47" s="3"/>
      <c r="AO47" s="3"/>
      <c r="AP47" s="3"/>
    </row>
    <row r="48" spans="1:48" s="379" customFormat="1" ht="15.75">
      <c r="A48" s="394" t="s">
        <v>411</v>
      </c>
      <c r="B48" s="355" t="s">
        <v>362</v>
      </c>
      <c r="C48" s="355" t="s">
        <v>412</v>
      </c>
      <c r="D48" s="355" t="s">
        <v>401</v>
      </c>
      <c r="E48" s="355">
        <v>2017</v>
      </c>
      <c r="F48" s="355" t="s">
        <v>397</v>
      </c>
      <c r="G48" s="355"/>
      <c r="H48" s="355"/>
      <c r="I48" s="355" t="s">
        <v>413</v>
      </c>
      <c r="J48" s="378">
        <f>SUM(K48:O48)</f>
        <v>10835160.000000002</v>
      </c>
      <c r="K48" s="378">
        <v>0</v>
      </c>
      <c r="L48" s="378">
        <v>10499270.040000001</v>
      </c>
      <c r="M48" s="355">
        <v>0</v>
      </c>
      <c r="N48" s="355">
        <v>0</v>
      </c>
      <c r="O48" s="378">
        <v>335889.96</v>
      </c>
      <c r="P48"/>
      <c r="Q48"/>
      <c r="R48"/>
      <c r="S48"/>
      <c r="T48"/>
      <c r="U48" s="305"/>
      <c r="V48" s="3"/>
      <c r="W48" s="3"/>
      <c r="X48" s="395"/>
      <c r="Y48" s="365"/>
      <c r="Z48" s="396"/>
      <c r="AA48" s="396"/>
      <c r="AB48" s="396"/>
      <c r="AC48" s="396"/>
      <c r="AD48" s="396"/>
      <c r="AE48" s="396"/>
      <c r="AF48" s="396"/>
      <c r="AG48" s="396"/>
      <c r="AH48" s="396"/>
      <c r="AI48" s="396"/>
      <c r="AJ48" s="396"/>
      <c r="AK48" s="396"/>
      <c r="AL48" s="3"/>
      <c r="AM48" s="3"/>
      <c r="AN48" s="3"/>
      <c r="AO48" s="3"/>
      <c r="AP48" s="3"/>
      <c r="AQ48"/>
      <c r="AR48"/>
      <c r="AS48"/>
      <c r="AT48"/>
      <c r="AU48"/>
    </row>
    <row r="49" spans="1:47" s="316" customFormat="1" ht="15.75">
      <c r="A49" s="355"/>
      <c r="B49" s="355" t="s">
        <v>414</v>
      </c>
      <c r="C49" s="355" t="s">
        <v>415</v>
      </c>
      <c r="D49" s="355" t="s">
        <v>401</v>
      </c>
      <c r="E49" s="355">
        <v>2013</v>
      </c>
      <c r="F49" s="355"/>
      <c r="G49" s="355" t="s">
        <v>397</v>
      </c>
      <c r="H49" s="355"/>
      <c r="I49" s="355" t="s">
        <v>416</v>
      </c>
      <c r="J49" s="378">
        <f>SUM(K49:O49)</f>
        <v>4859025</v>
      </c>
      <c r="K49" s="378">
        <v>0</v>
      </c>
      <c r="L49" s="378">
        <v>4859025</v>
      </c>
      <c r="M49" s="355">
        <v>0</v>
      </c>
      <c r="N49" s="355">
        <v>0</v>
      </c>
      <c r="O49" s="378">
        <v>0</v>
      </c>
      <c r="P49"/>
      <c r="Q49"/>
      <c r="R49"/>
      <c r="S49"/>
      <c r="T49"/>
      <c r="U49" s="305"/>
      <c r="V49" s="3"/>
      <c r="W49" s="3"/>
      <c r="X49" s="395"/>
      <c r="Y49" s="365"/>
      <c r="Z49" s="396"/>
      <c r="AA49" s="396"/>
      <c r="AB49" s="396"/>
      <c r="AC49" s="396"/>
      <c r="AD49" s="396"/>
      <c r="AE49" s="396"/>
      <c r="AF49" s="396"/>
      <c r="AG49" s="396"/>
      <c r="AH49" s="396"/>
      <c r="AI49" s="396"/>
      <c r="AJ49" s="396"/>
      <c r="AK49" s="396"/>
      <c r="AL49" s="3"/>
      <c r="AM49" s="3"/>
      <c r="AN49" s="3"/>
      <c r="AO49" s="3"/>
      <c r="AP49" s="3"/>
      <c r="AQ49"/>
      <c r="AR49"/>
      <c r="AS49"/>
      <c r="AT49"/>
      <c r="AU49"/>
    </row>
    <row r="50" spans="1:47" s="379" customFormat="1" ht="15.75">
      <c r="A50" s="355"/>
      <c r="B50" s="355" t="s">
        <v>341</v>
      </c>
      <c r="C50" s="355" t="s">
        <v>755</v>
      </c>
      <c r="D50" s="355" t="s">
        <v>401</v>
      </c>
      <c r="E50" s="355"/>
      <c r="F50" s="355"/>
      <c r="G50" s="355"/>
      <c r="H50" s="355"/>
      <c r="I50" s="355"/>
      <c r="J50" s="378">
        <v>14408453</v>
      </c>
      <c r="K50" s="378">
        <v>11209700</v>
      </c>
      <c r="L50" s="378">
        <v>1503834</v>
      </c>
      <c r="M50" s="355">
        <v>0</v>
      </c>
      <c r="N50" s="378">
        <v>0</v>
      </c>
      <c r="O50" s="378">
        <v>1694919</v>
      </c>
      <c r="P50" t="s">
        <v>756</v>
      </c>
      <c r="Q50"/>
      <c r="R50"/>
      <c r="S50"/>
      <c r="T50"/>
      <c r="U50" s="305"/>
      <c r="V50" s="3"/>
      <c r="W50" s="3"/>
      <c r="X50" s="395"/>
      <c r="Y50" s="365"/>
      <c r="Z50" s="396"/>
      <c r="AA50" s="396"/>
      <c r="AB50" s="396"/>
      <c r="AC50" s="396"/>
      <c r="AD50" s="396"/>
      <c r="AE50" s="396"/>
      <c r="AF50" s="396"/>
      <c r="AG50" s="396"/>
      <c r="AH50" s="396"/>
      <c r="AI50" s="396"/>
      <c r="AJ50" s="396"/>
      <c r="AK50" s="396"/>
      <c r="AL50" s="3"/>
      <c r="AM50" s="3"/>
      <c r="AN50" s="3"/>
      <c r="AO50" s="3"/>
      <c r="AP50" s="3"/>
      <c r="AQ50"/>
      <c r="AR50"/>
      <c r="AS50"/>
      <c r="AT50"/>
      <c r="AU50"/>
    </row>
    <row r="51" spans="1:47" s="379" customFormat="1" ht="15.75">
      <c r="A51" s="355"/>
      <c r="B51" s="355" t="s">
        <v>417</v>
      </c>
      <c r="C51" s="355" t="s">
        <v>9</v>
      </c>
      <c r="D51" s="355" t="s">
        <v>401</v>
      </c>
      <c r="E51" s="355"/>
      <c r="F51" s="355"/>
      <c r="G51" s="355"/>
      <c r="H51" s="355"/>
      <c r="I51" s="355"/>
      <c r="J51" s="378">
        <f t="shared" ref="J51:J58" si="22">SUM(K51:O51)</f>
        <v>729615.38461538462</v>
      </c>
      <c r="K51" s="378"/>
      <c r="L51" s="378">
        <v>663950</v>
      </c>
      <c r="M51" s="355"/>
      <c r="N51" s="378">
        <v>65665.38461538461</v>
      </c>
      <c r="O51" s="378"/>
      <c r="P51"/>
      <c r="Q51"/>
      <c r="R51"/>
      <c r="S51"/>
      <c r="T51"/>
      <c r="U51" s="305"/>
      <c r="V51" s="3"/>
      <c r="W51" s="3"/>
      <c r="X51" s="395"/>
      <c r="Y51" s="365"/>
      <c r="Z51" s="396"/>
      <c r="AA51" s="396"/>
      <c r="AB51" s="396"/>
      <c r="AC51" s="396"/>
      <c r="AD51" s="396"/>
      <c r="AE51" s="396"/>
      <c r="AF51" s="396"/>
      <c r="AG51" s="396"/>
      <c r="AH51" s="396"/>
      <c r="AI51" s="396"/>
      <c r="AJ51" s="396"/>
      <c r="AK51" s="396"/>
      <c r="AL51" s="3"/>
      <c r="AM51" s="3"/>
      <c r="AN51" s="3"/>
      <c r="AO51" s="3"/>
      <c r="AP51" s="3"/>
      <c r="AQ51"/>
      <c r="AR51"/>
      <c r="AS51"/>
      <c r="AT51"/>
      <c r="AU51"/>
    </row>
    <row r="52" spans="1:47" s="379" customFormat="1" ht="15.75">
      <c r="A52" s="355"/>
      <c r="B52" s="355" t="s">
        <v>418</v>
      </c>
      <c r="C52" s="355" t="s">
        <v>419</v>
      </c>
      <c r="D52" s="355"/>
      <c r="E52" s="355"/>
      <c r="F52" s="355"/>
      <c r="G52" s="355"/>
      <c r="H52" s="355"/>
      <c r="I52" s="355"/>
      <c r="J52" s="378">
        <f t="shared" si="22"/>
        <v>6</v>
      </c>
      <c r="K52" s="378"/>
      <c r="L52" s="378">
        <v>6</v>
      </c>
      <c r="M52" s="355"/>
      <c r="N52" s="378"/>
      <c r="O52" s="378"/>
      <c r="P52"/>
      <c r="Q52"/>
      <c r="R52"/>
      <c r="S52"/>
      <c r="T52"/>
      <c r="U52" s="305"/>
      <c r="V52" s="3"/>
      <c r="W52" s="3"/>
      <c r="X52" s="395"/>
      <c r="Y52" s="365"/>
      <c r="Z52" s="396"/>
      <c r="AA52" s="396"/>
      <c r="AB52" s="396"/>
      <c r="AC52" s="396"/>
      <c r="AD52" s="396"/>
      <c r="AE52" s="396"/>
      <c r="AF52" s="396"/>
      <c r="AG52" s="396"/>
      <c r="AH52" s="396"/>
      <c r="AI52" s="396"/>
      <c r="AJ52" s="396"/>
      <c r="AK52" s="396"/>
      <c r="AL52" s="3"/>
      <c r="AM52" s="3"/>
      <c r="AN52" s="3"/>
      <c r="AO52" s="3"/>
      <c r="AP52" s="3"/>
      <c r="AQ52"/>
      <c r="AR52"/>
      <c r="AS52"/>
      <c r="AT52"/>
      <c r="AU52"/>
    </row>
    <row r="53" spans="1:47" s="379" customFormat="1" ht="15.75">
      <c r="A53" s="355"/>
      <c r="B53" s="355" t="s">
        <v>420</v>
      </c>
      <c r="C53" s="355" t="s">
        <v>421</v>
      </c>
      <c r="D53" s="355"/>
      <c r="E53" s="355"/>
      <c r="F53" s="355"/>
      <c r="G53" s="355"/>
      <c r="H53" s="355"/>
      <c r="I53" s="355"/>
      <c r="J53" s="378">
        <f t="shared" si="22"/>
        <v>1392</v>
      </c>
      <c r="K53" s="378"/>
      <c r="L53" s="378">
        <v>1336.32</v>
      </c>
      <c r="M53" s="355"/>
      <c r="N53" s="378"/>
      <c r="O53" s="378">
        <v>55.68</v>
      </c>
      <c r="P53"/>
      <c r="Q53"/>
      <c r="R53"/>
      <c r="S53"/>
      <c r="T53"/>
      <c r="U53" s="305"/>
      <c r="V53" s="3"/>
      <c r="W53" s="3"/>
      <c r="X53" s="395"/>
      <c r="Y53" s="365"/>
      <c r="Z53" s="396"/>
      <c r="AA53" s="396"/>
      <c r="AB53" s="396"/>
      <c r="AC53" s="396"/>
      <c r="AD53" s="396"/>
      <c r="AE53" s="396"/>
      <c r="AF53" s="396"/>
      <c r="AG53" s="396"/>
      <c r="AH53" s="396"/>
      <c r="AI53" s="396"/>
      <c r="AJ53" s="396"/>
      <c r="AK53" s="396"/>
      <c r="AL53" s="3"/>
      <c r="AM53" s="3"/>
      <c r="AN53" s="3"/>
      <c r="AO53" s="3"/>
      <c r="AP53" s="3"/>
      <c r="AQ53"/>
      <c r="AR53"/>
      <c r="AS53"/>
      <c r="AT53"/>
      <c r="AU53"/>
    </row>
    <row r="54" spans="1:47" s="379" customFormat="1" ht="15.75">
      <c r="A54" s="355"/>
      <c r="B54" s="355" t="s">
        <v>422</v>
      </c>
      <c r="C54" s="355" t="s">
        <v>423</v>
      </c>
      <c r="D54" s="355"/>
      <c r="E54" s="355"/>
      <c r="F54" s="355"/>
      <c r="G54" s="355"/>
      <c r="H54" s="355"/>
      <c r="I54" s="355"/>
      <c r="J54" s="378">
        <f t="shared" si="22"/>
        <v>34393</v>
      </c>
      <c r="K54" s="378"/>
      <c r="L54" s="378"/>
      <c r="M54" s="355"/>
      <c r="N54" s="378">
        <v>3439.3</v>
      </c>
      <c r="O54" s="378">
        <v>30953.7</v>
      </c>
      <c r="P54"/>
      <c r="Q54"/>
      <c r="R54"/>
      <c r="S54"/>
      <c r="T54"/>
      <c r="U54" s="305"/>
      <c r="V54" s="3"/>
      <c r="W54" s="3"/>
      <c r="X54" s="395"/>
      <c r="Y54" s="365"/>
      <c r="Z54" s="396"/>
      <c r="AA54" s="396"/>
      <c r="AB54" s="396"/>
      <c r="AC54" s="396"/>
      <c r="AD54" s="396"/>
      <c r="AE54" s="396"/>
      <c r="AF54" s="396"/>
      <c r="AG54" s="396"/>
      <c r="AH54" s="396"/>
      <c r="AI54" s="396"/>
      <c r="AJ54" s="396"/>
      <c r="AK54" s="396"/>
      <c r="AL54" s="3"/>
      <c r="AM54" s="3"/>
      <c r="AN54" s="3"/>
      <c r="AO54" s="3"/>
      <c r="AP54" s="3"/>
      <c r="AQ54"/>
      <c r="AR54"/>
      <c r="AS54"/>
      <c r="AT54"/>
      <c r="AU54"/>
    </row>
    <row r="55" spans="1:47" s="379" customFormat="1" ht="15.75">
      <c r="A55" s="355"/>
      <c r="B55" s="355" t="s">
        <v>424</v>
      </c>
      <c r="C55" s="355" t="s">
        <v>425</v>
      </c>
      <c r="D55" s="355"/>
      <c r="E55" s="355"/>
      <c r="F55" s="355"/>
      <c r="G55" s="355"/>
      <c r="H55" s="355"/>
      <c r="I55" s="355"/>
      <c r="J55" s="378">
        <f t="shared" si="22"/>
        <v>570</v>
      </c>
      <c r="K55" s="378"/>
      <c r="L55" s="378">
        <v>570</v>
      </c>
      <c r="M55" s="355"/>
      <c r="N55" s="378"/>
      <c r="O55" s="378"/>
      <c r="P55"/>
      <c r="Q55"/>
      <c r="R55"/>
      <c r="S55"/>
      <c r="T55"/>
      <c r="U55" s="305"/>
      <c r="V55" s="3"/>
      <c r="W55" s="3"/>
      <c r="X55" s="395"/>
      <c r="Y55" s="365"/>
      <c r="Z55" s="396"/>
      <c r="AA55" s="396"/>
      <c r="AB55" s="396"/>
      <c r="AC55" s="396"/>
      <c r="AD55" s="396"/>
      <c r="AE55" s="396"/>
      <c r="AF55" s="396"/>
      <c r="AG55" s="396"/>
      <c r="AH55" s="396"/>
      <c r="AI55" s="396"/>
      <c r="AJ55" s="396"/>
      <c r="AK55" s="396"/>
      <c r="AL55" s="3"/>
      <c r="AM55" s="3"/>
      <c r="AN55" s="3"/>
      <c r="AO55" s="3"/>
      <c r="AP55" s="3"/>
      <c r="AQ55"/>
      <c r="AR55"/>
      <c r="AS55"/>
      <c r="AT55"/>
      <c r="AU55"/>
    </row>
    <row r="56" spans="1:47" ht="15.75">
      <c r="A56" s="355"/>
      <c r="B56" s="355" t="s">
        <v>426</v>
      </c>
      <c r="C56" s="355" t="s">
        <v>427</v>
      </c>
      <c r="D56" s="355" t="s">
        <v>401</v>
      </c>
      <c r="E56" s="355"/>
      <c r="F56" s="355"/>
      <c r="G56" s="355" t="s">
        <v>397</v>
      </c>
      <c r="H56" s="355"/>
      <c r="I56" s="355" t="s">
        <v>426</v>
      </c>
      <c r="J56" s="378">
        <f t="shared" si="22"/>
        <v>772750</v>
      </c>
      <c r="K56" s="378">
        <v>0</v>
      </c>
      <c r="L56" s="378">
        <v>772750</v>
      </c>
      <c r="M56" s="355">
        <v>0</v>
      </c>
      <c r="N56" s="355">
        <v>0</v>
      </c>
      <c r="O56" s="378">
        <v>0</v>
      </c>
      <c r="U56" s="305"/>
      <c r="V56" s="3"/>
      <c r="W56" s="3"/>
      <c r="X56" s="395"/>
      <c r="Y56" s="365"/>
      <c r="Z56" s="396"/>
      <c r="AA56" s="396"/>
      <c r="AB56" s="396"/>
      <c r="AC56" s="396"/>
      <c r="AD56" s="396"/>
      <c r="AE56" s="396"/>
      <c r="AF56" s="396"/>
      <c r="AG56" s="396"/>
      <c r="AH56" s="396"/>
      <c r="AI56" s="396"/>
      <c r="AJ56" s="396"/>
      <c r="AK56" s="396"/>
      <c r="AL56" s="3"/>
      <c r="AM56" s="3"/>
      <c r="AN56" s="3"/>
      <c r="AO56" s="3"/>
      <c r="AP56" s="3"/>
    </row>
    <row r="57" spans="1:47" ht="15.75">
      <c r="A57" s="355"/>
      <c r="B57" s="355" t="s">
        <v>428</v>
      </c>
      <c r="C57" s="355" t="s">
        <v>429</v>
      </c>
      <c r="D57" s="355"/>
      <c r="E57" s="355"/>
      <c r="F57" s="355"/>
      <c r="G57" s="355"/>
      <c r="H57" s="355"/>
      <c r="I57" s="355" t="s">
        <v>430</v>
      </c>
      <c r="J57" s="378">
        <f t="shared" si="22"/>
        <v>12001</v>
      </c>
      <c r="K57" s="378"/>
      <c r="L57" s="378">
        <v>11928.994000000001</v>
      </c>
      <c r="M57" s="355"/>
      <c r="N57" s="378">
        <v>72.006</v>
      </c>
      <c r="O57" s="355"/>
      <c r="U57" s="305"/>
      <c r="V57" s="3"/>
      <c r="W57" s="3"/>
      <c r="X57" s="395"/>
      <c r="Y57" s="365"/>
      <c r="Z57" s="396"/>
      <c r="AA57" s="396"/>
      <c r="AB57" s="396"/>
      <c r="AC57" s="396"/>
      <c r="AD57" s="396"/>
      <c r="AE57" s="396"/>
      <c r="AF57" s="396"/>
      <c r="AG57" s="396"/>
      <c r="AH57" s="396"/>
      <c r="AI57" s="396"/>
      <c r="AJ57" s="396"/>
      <c r="AK57" s="396"/>
      <c r="AL57" s="3"/>
      <c r="AM57" s="3"/>
      <c r="AN57" s="3"/>
      <c r="AO57" s="3"/>
      <c r="AP57" s="3"/>
    </row>
    <row r="58" spans="1:47" ht="15.75">
      <c r="A58" s="355"/>
      <c r="B58" s="355" t="s">
        <v>431</v>
      </c>
      <c r="C58" s="355" t="s">
        <v>432</v>
      </c>
      <c r="D58" s="355" t="s">
        <v>401</v>
      </c>
      <c r="E58" s="355"/>
      <c r="F58" s="355" t="s">
        <v>397</v>
      </c>
      <c r="G58" s="355"/>
      <c r="H58" s="355"/>
      <c r="I58" s="355" t="s">
        <v>433</v>
      </c>
      <c r="J58" s="378">
        <f t="shared" si="22"/>
        <v>192700</v>
      </c>
      <c r="K58" s="378">
        <v>77080</v>
      </c>
      <c r="L58" s="378">
        <v>38540</v>
      </c>
      <c r="M58" s="355">
        <v>0</v>
      </c>
      <c r="N58" s="355">
        <v>0</v>
      </c>
      <c r="O58" s="378">
        <v>77080</v>
      </c>
      <c r="U58" s="305"/>
      <c r="V58" s="3"/>
      <c r="W58" s="3"/>
      <c r="Y58" s="397"/>
      <c r="Z58" s="398"/>
      <c r="AA58" s="398"/>
      <c r="AB58" s="398"/>
      <c r="AC58" s="398"/>
      <c r="AD58" s="398"/>
      <c r="AE58" s="398"/>
      <c r="AF58" s="398"/>
      <c r="AG58" s="398"/>
      <c r="AH58" s="398"/>
      <c r="AI58" s="398"/>
      <c r="AJ58" s="398"/>
      <c r="AK58" s="398"/>
      <c r="AL58" s="3"/>
      <c r="AM58" s="3"/>
      <c r="AN58" s="3"/>
      <c r="AO58" s="3"/>
      <c r="AP58" s="3"/>
    </row>
    <row r="59" spans="1:47" ht="30">
      <c r="A59" s="355"/>
      <c r="B59" s="355" t="s">
        <v>434</v>
      </c>
      <c r="C59" s="349" t="s">
        <v>435</v>
      </c>
      <c r="D59" s="355"/>
      <c r="E59" s="355"/>
      <c r="F59" s="355"/>
      <c r="G59" s="355"/>
      <c r="H59" s="355"/>
      <c r="I59" s="355"/>
      <c r="J59" s="378">
        <f t="shared" ref="J59:J60" si="23">SUM(K59:O59)</f>
        <v>663</v>
      </c>
      <c r="K59" s="378"/>
      <c r="L59" s="378">
        <v>489.95699999999999</v>
      </c>
      <c r="M59" s="355"/>
      <c r="N59" s="355">
        <v>41.106000000000002</v>
      </c>
      <c r="O59" s="378">
        <v>131.93700000000001</v>
      </c>
      <c r="U59" s="305"/>
      <c r="V59" s="3"/>
      <c r="W59" s="3"/>
      <c r="Y59" s="397"/>
      <c r="Z59" s="398"/>
      <c r="AA59" s="398"/>
      <c r="AB59" s="398"/>
      <c r="AC59" s="398"/>
      <c r="AD59" s="398"/>
      <c r="AE59" s="398"/>
      <c r="AF59" s="398"/>
      <c r="AG59" s="398"/>
      <c r="AH59" s="398"/>
      <c r="AI59" s="398"/>
      <c r="AJ59" s="398"/>
      <c r="AK59" s="398"/>
      <c r="AL59" s="3"/>
      <c r="AM59" s="3"/>
      <c r="AN59" s="3"/>
      <c r="AO59" s="3"/>
      <c r="AP59" s="3"/>
    </row>
    <row r="60" spans="1:47" ht="15.75">
      <c r="A60" s="355"/>
      <c r="B60" s="355" t="s">
        <v>436</v>
      </c>
      <c r="C60" s="399" t="s">
        <v>437</v>
      </c>
      <c r="D60" s="355"/>
      <c r="E60" s="355"/>
      <c r="F60" s="355"/>
      <c r="G60" s="355"/>
      <c r="H60" s="355"/>
      <c r="I60" s="355"/>
      <c r="J60" s="378">
        <f t="shared" si="23"/>
        <v>8811.9999999999982</v>
      </c>
      <c r="K60" s="378"/>
      <c r="L60" s="378">
        <v>8424.271999999999</v>
      </c>
      <c r="M60" s="355"/>
      <c r="N60" s="355">
        <v>387.72799999999995</v>
      </c>
      <c r="O60" s="378"/>
      <c r="U60" s="305"/>
      <c r="V60" s="3"/>
      <c r="W60" s="3"/>
      <c r="Y60" s="397"/>
      <c r="Z60" s="398"/>
      <c r="AA60" s="398"/>
      <c r="AB60" s="398"/>
      <c r="AC60" s="398"/>
      <c r="AD60" s="398"/>
      <c r="AE60" s="398"/>
      <c r="AF60" s="398"/>
      <c r="AG60" s="398"/>
      <c r="AH60" s="398"/>
      <c r="AI60" s="398"/>
      <c r="AJ60" s="398"/>
      <c r="AK60" s="398"/>
      <c r="AL60" s="3"/>
      <c r="AM60" s="3"/>
      <c r="AN60" s="3"/>
      <c r="AO60" s="3"/>
      <c r="AP60" s="3"/>
    </row>
    <row r="61" spans="1:47" ht="15.75">
      <c r="A61" s="355"/>
      <c r="B61" s="400" t="s">
        <v>438</v>
      </c>
      <c r="C61" s="399" t="s">
        <v>439</v>
      </c>
      <c r="D61" s="355" t="s">
        <v>401</v>
      </c>
      <c r="E61" s="355"/>
      <c r="F61" s="355"/>
      <c r="G61" s="355"/>
      <c r="H61" s="355"/>
      <c r="I61" s="355"/>
      <c r="J61" s="378">
        <f>SUM(K61:O61)</f>
        <v>4562</v>
      </c>
      <c r="K61" s="401"/>
      <c r="L61" s="401">
        <v>2390.4880000000003</v>
      </c>
      <c r="M61" s="400"/>
      <c r="N61" s="400">
        <v>250.91</v>
      </c>
      <c r="O61" s="401">
        <v>1920.6019999999996</v>
      </c>
      <c r="U61" s="305"/>
      <c r="V61" s="3"/>
      <c r="W61" s="3"/>
      <c r="Y61" s="397"/>
      <c r="Z61" s="398"/>
      <c r="AA61" s="398"/>
      <c r="AB61" s="398"/>
      <c r="AC61" s="398"/>
      <c r="AD61" s="398"/>
      <c r="AE61" s="398"/>
      <c r="AF61" s="398"/>
      <c r="AG61" s="398"/>
      <c r="AH61" s="398"/>
      <c r="AI61" s="398"/>
      <c r="AJ61" s="398"/>
      <c r="AK61" s="398"/>
      <c r="AL61" s="3"/>
      <c r="AM61" s="3"/>
      <c r="AN61" s="3"/>
      <c r="AO61" s="3"/>
      <c r="AP61" s="3"/>
    </row>
    <row r="62" spans="1:47" ht="15.75">
      <c r="A62" s="355"/>
      <c r="B62" s="355" t="s">
        <v>440</v>
      </c>
      <c r="C62" s="355" t="s">
        <v>441</v>
      </c>
      <c r="D62" s="355" t="s">
        <v>401</v>
      </c>
      <c r="E62" s="355"/>
      <c r="F62" s="355"/>
      <c r="G62" s="355"/>
      <c r="H62" s="355" t="s">
        <v>397</v>
      </c>
      <c r="I62" s="355" t="s">
        <v>440</v>
      </c>
      <c r="J62" s="378">
        <f t="shared" ref="J62:J67" si="24">SUM(K62:O62)</f>
        <v>860329</v>
      </c>
      <c r="K62" s="378">
        <v>0</v>
      </c>
      <c r="L62" s="378">
        <v>636643.46</v>
      </c>
      <c r="M62" s="355">
        <v>0</v>
      </c>
      <c r="N62" s="355">
        <v>0</v>
      </c>
      <c r="O62" s="378">
        <v>223685.54</v>
      </c>
      <c r="U62" s="305"/>
      <c r="V62" s="3"/>
      <c r="W62" s="3"/>
      <c r="Y62" s="402"/>
      <c r="Z62" s="101"/>
      <c r="AA62" s="101"/>
      <c r="AB62" s="101"/>
      <c r="AC62" s="101"/>
      <c r="AD62" s="101"/>
      <c r="AE62" s="101"/>
      <c r="AF62" s="101"/>
      <c r="AH62" s="3"/>
      <c r="AI62" s="3"/>
      <c r="AJ62" s="3"/>
      <c r="AK62" s="341"/>
      <c r="AL62" s="3"/>
      <c r="AM62" s="3"/>
      <c r="AN62" s="3"/>
      <c r="AO62" s="3"/>
      <c r="AP62" s="3"/>
    </row>
    <row r="63" spans="1:47" ht="15.75">
      <c r="A63" s="355"/>
      <c r="B63" s="355" t="s">
        <v>442</v>
      </c>
      <c r="C63" s="355" t="s">
        <v>443</v>
      </c>
      <c r="D63" s="355" t="s">
        <v>401</v>
      </c>
      <c r="E63" s="355"/>
      <c r="F63" s="355"/>
      <c r="G63" s="355"/>
      <c r="H63" s="355" t="s">
        <v>397</v>
      </c>
      <c r="I63" s="355" t="s">
        <v>442</v>
      </c>
      <c r="J63" s="378">
        <f t="shared" si="24"/>
        <v>249080</v>
      </c>
      <c r="K63" s="378">
        <v>0</v>
      </c>
      <c r="L63" s="378">
        <v>249080</v>
      </c>
      <c r="M63" s="355">
        <v>0</v>
      </c>
      <c r="N63" s="355">
        <v>0</v>
      </c>
      <c r="O63" s="378">
        <v>0</v>
      </c>
      <c r="U63" s="305"/>
      <c r="V63" s="3"/>
      <c r="W63" s="3"/>
      <c r="Y63" s="365"/>
      <c r="Z63" s="114"/>
      <c r="AA63" s="114"/>
      <c r="AB63" s="114"/>
      <c r="AC63" s="114"/>
      <c r="AD63" s="114"/>
      <c r="AE63" s="114"/>
      <c r="AF63" s="114"/>
      <c r="AG63" s="114"/>
      <c r="AH63" s="114"/>
      <c r="AI63" s="114"/>
      <c r="AJ63" s="114"/>
      <c r="AK63" s="114"/>
      <c r="AL63" s="3"/>
      <c r="AM63" s="3"/>
      <c r="AN63" s="3"/>
      <c r="AO63" s="3"/>
      <c r="AP63" s="3"/>
    </row>
    <row r="64" spans="1:47" s="316" customFormat="1" ht="15.75">
      <c r="A64" s="355"/>
      <c r="B64" s="355" t="s">
        <v>444</v>
      </c>
      <c r="C64" s="355" t="s">
        <v>445</v>
      </c>
      <c r="D64" s="355" t="s">
        <v>401</v>
      </c>
      <c r="E64" s="355"/>
      <c r="F64" s="355"/>
      <c r="G64" s="355" t="s">
        <v>397</v>
      </c>
      <c r="H64" s="355"/>
      <c r="I64" s="403" t="s">
        <v>446</v>
      </c>
      <c r="J64" s="378">
        <f t="shared" si="24"/>
        <v>5793645</v>
      </c>
      <c r="K64" s="378">
        <v>0</v>
      </c>
      <c r="L64" s="378">
        <v>5793645</v>
      </c>
      <c r="M64" s="355">
        <v>0</v>
      </c>
      <c r="N64" s="355">
        <v>0</v>
      </c>
      <c r="O64" s="378">
        <v>0</v>
      </c>
      <c r="P64"/>
      <c r="Q64"/>
      <c r="R64"/>
      <c r="S64"/>
      <c r="T64"/>
      <c r="U64" s="305"/>
      <c r="V64" s="3"/>
      <c r="W64" s="3"/>
      <c r="X64" s="395"/>
      <c r="Y64" s="365"/>
      <c r="Z64" s="114"/>
      <c r="AA64" s="114"/>
      <c r="AB64" s="114"/>
      <c r="AC64" s="114"/>
      <c r="AD64" s="114"/>
      <c r="AE64" s="114"/>
      <c r="AF64" s="114"/>
      <c r="AG64" s="114"/>
      <c r="AH64" s="114"/>
      <c r="AI64" s="114"/>
      <c r="AJ64" s="114"/>
      <c r="AK64" s="114"/>
      <c r="AL64" s="3"/>
      <c r="AM64" s="3"/>
      <c r="AN64" s="3"/>
      <c r="AO64" s="3"/>
      <c r="AP64" s="3"/>
      <c r="AQ64"/>
      <c r="AR64"/>
      <c r="AS64"/>
      <c r="AT64"/>
      <c r="AU64"/>
    </row>
    <row r="65" spans="1:47" ht="15.75">
      <c r="A65" s="355"/>
      <c r="B65" s="355" t="s">
        <v>367</v>
      </c>
      <c r="C65" s="355" t="s">
        <v>412</v>
      </c>
      <c r="D65" s="355" t="s">
        <v>401</v>
      </c>
      <c r="E65" s="355">
        <v>2017</v>
      </c>
      <c r="F65" s="355" t="s">
        <v>397</v>
      </c>
      <c r="G65" s="355"/>
      <c r="H65" s="355"/>
      <c r="I65" s="355" t="s">
        <v>447</v>
      </c>
      <c r="J65" s="378">
        <f>SUM(K65:O65)</f>
        <v>39159891</v>
      </c>
      <c r="K65" s="378">
        <v>0</v>
      </c>
      <c r="L65" s="378">
        <v>36418698.630000003</v>
      </c>
      <c r="M65" s="355">
        <v>0</v>
      </c>
      <c r="N65" s="355">
        <v>0</v>
      </c>
      <c r="O65" s="378">
        <v>2741192.37</v>
      </c>
      <c r="U65" s="305"/>
      <c r="V65" s="3"/>
      <c r="W65" s="3"/>
      <c r="X65" s="395"/>
      <c r="Y65" s="365"/>
      <c r="Z65" s="114"/>
      <c r="AA65" s="114"/>
      <c r="AB65" s="114"/>
      <c r="AC65" s="114"/>
      <c r="AD65" s="114"/>
      <c r="AE65" s="114"/>
      <c r="AF65" s="114"/>
      <c r="AG65" s="114"/>
      <c r="AH65" s="114"/>
      <c r="AI65" s="114"/>
      <c r="AJ65" s="114"/>
      <c r="AK65" s="114"/>
      <c r="AL65" s="3"/>
      <c r="AM65" s="3"/>
      <c r="AN65" s="3"/>
      <c r="AO65" s="3"/>
      <c r="AP65" s="3"/>
    </row>
    <row r="66" spans="1:47" ht="15.75">
      <c r="A66" s="355"/>
      <c r="B66" s="355" t="s">
        <v>448</v>
      </c>
      <c r="C66" s="355" t="s">
        <v>449</v>
      </c>
      <c r="D66" s="355" t="s">
        <v>401</v>
      </c>
      <c r="E66" s="355">
        <v>2014</v>
      </c>
      <c r="F66" s="355"/>
      <c r="G66" s="355" t="s">
        <v>397</v>
      </c>
      <c r="H66" s="355"/>
      <c r="I66" s="355" t="s">
        <v>448</v>
      </c>
      <c r="J66" s="378">
        <f>SUM(K66:O66)</f>
        <v>2925390</v>
      </c>
      <c r="K66" s="378">
        <v>0</v>
      </c>
      <c r="L66" s="378">
        <v>2720612.7</v>
      </c>
      <c r="M66" s="355">
        <v>0</v>
      </c>
      <c r="N66" s="355">
        <v>0</v>
      </c>
      <c r="O66" s="378">
        <v>204777.30000000002</v>
      </c>
      <c r="U66" s="305"/>
      <c r="V66" s="3"/>
      <c r="W66" s="3"/>
      <c r="X66" s="395"/>
      <c r="Y66" s="365"/>
      <c r="Z66" s="114"/>
      <c r="AA66" s="114"/>
      <c r="AB66" s="114"/>
      <c r="AC66" s="114"/>
      <c r="AD66" s="114"/>
      <c r="AE66" s="114"/>
      <c r="AF66" s="114"/>
      <c r="AG66" s="114"/>
      <c r="AH66" s="114"/>
      <c r="AI66" s="114"/>
      <c r="AJ66" s="114"/>
      <c r="AK66" s="114"/>
      <c r="AL66" s="3"/>
      <c r="AM66" s="3"/>
      <c r="AN66" s="3"/>
      <c r="AO66" s="3"/>
      <c r="AP66" s="3"/>
    </row>
    <row r="67" spans="1:47" s="379" customFormat="1" ht="15.75">
      <c r="A67" s="355"/>
      <c r="B67" s="355" t="s">
        <v>450</v>
      </c>
      <c r="C67" s="355" t="s">
        <v>451</v>
      </c>
      <c r="D67" s="355" t="s">
        <v>401</v>
      </c>
      <c r="E67" s="355"/>
      <c r="F67" s="355"/>
      <c r="G67" s="355" t="s">
        <v>397</v>
      </c>
      <c r="H67" s="355"/>
      <c r="I67" s="355" t="s">
        <v>452</v>
      </c>
      <c r="J67" s="378">
        <f t="shared" si="24"/>
        <v>832059</v>
      </c>
      <c r="K67" s="378">
        <v>0</v>
      </c>
      <c r="L67" s="378">
        <v>832059</v>
      </c>
      <c r="M67" s="355">
        <v>0</v>
      </c>
      <c r="N67" s="355">
        <v>0</v>
      </c>
      <c r="O67" s="378">
        <v>0</v>
      </c>
      <c r="P67"/>
      <c r="Q67"/>
      <c r="R67"/>
      <c r="S67"/>
      <c r="T67"/>
      <c r="U67" s="305"/>
      <c r="V67" s="3"/>
      <c r="W67" s="3"/>
      <c r="X67" s="395"/>
      <c r="Y67" s="365"/>
      <c r="Z67" s="114"/>
      <c r="AA67" s="114"/>
      <c r="AB67" s="114"/>
      <c r="AC67" s="114"/>
      <c r="AD67" s="114"/>
      <c r="AE67" s="114"/>
      <c r="AF67" s="114"/>
      <c r="AG67" s="114"/>
      <c r="AH67" s="114"/>
      <c r="AI67" s="114"/>
      <c r="AJ67" s="114"/>
      <c r="AK67" s="114"/>
      <c r="AL67" s="3"/>
      <c r="AM67" s="3"/>
      <c r="AN67" s="3"/>
      <c r="AO67" s="3"/>
      <c r="AP67" s="3"/>
      <c r="AQ67"/>
      <c r="AR67"/>
      <c r="AS67"/>
      <c r="AT67"/>
      <c r="AU67"/>
    </row>
    <row r="68" spans="1:47" ht="15.75">
      <c r="A68" s="355"/>
      <c r="B68" s="355" t="s">
        <v>453</v>
      </c>
      <c r="C68" s="355" t="s">
        <v>454</v>
      </c>
      <c r="D68" s="355" t="s">
        <v>401</v>
      </c>
      <c r="E68" s="355"/>
      <c r="F68" s="355"/>
      <c r="G68" s="355" t="s">
        <v>397</v>
      </c>
      <c r="H68" s="355"/>
      <c r="I68" s="355" t="s">
        <v>455</v>
      </c>
      <c r="J68" s="378">
        <f>SUM(K68:O68)</f>
        <v>361526</v>
      </c>
      <c r="K68" s="378">
        <v>0</v>
      </c>
      <c r="L68" s="378">
        <v>325373.40000000002</v>
      </c>
      <c r="M68" s="355">
        <v>0</v>
      </c>
      <c r="N68" s="355">
        <v>0</v>
      </c>
      <c r="O68" s="378">
        <v>36152.6</v>
      </c>
      <c r="U68" s="305"/>
      <c r="V68" s="3"/>
      <c r="W68" s="3"/>
      <c r="X68" s="395"/>
      <c r="Y68" s="365"/>
      <c r="Z68" s="114"/>
      <c r="AA68" s="114"/>
      <c r="AB68" s="114"/>
      <c r="AC68" s="114"/>
      <c r="AD68" s="114"/>
      <c r="AE68" s="114"/>
      <c r="AF68" s="114"/>
      <c r="AG68" s="114"/>
      <c r="AH68" s="114"/>
      <c r="AI68" s="114"/>
      <c r="AJ68" s="114"/>
      <c r="AK68" s="114"/>
      <c r="AL68" s="3"/>
      <c r="AM68" s="3"/>
      <c r="AN68" s="3"/>
      <c r="AO68" s="3"/>
      <c r="AP68" s="3"/>
    </row>
    <row r="69" spans="1:47" ht="15.75">
      <c r="A69" s="355"/>
      <c r="B69" s="672" t="s">
        <v>584</v>
      </c>
      <c r="C69" s="672" t="s">
        <v>585</v>
      </c>
      <c r="D69" s="672"/>
      <c r="E69" s="672"/>
      <c r="F69" s="672"/>
      <c r="G69" s="672"/>
      <c r="H69" s="672"/>
      <c r="I69" s="672"/>
      <c r="J69" s="673">
        <f t="shared" ref="J69:J71" si="25">SUM(K69:O69)</f>
        <v>48749</v>
      </c>
      <c r="K69" s="673">
        <v>0</v>
      </c>
      <c r="L69" s="673">
        <v>0</v>
      </c>
      <c r="M69" s="673">
        <v>0</v>
      </c>
      <c r="N69" s="673">
        <v>48749</v>
      </c>
      <c r="O69" s="673"/>
      <c r="U69" s="305"/>
      <c r="V69" s="3"/>
      <c r="W69" s="3"/>
      <c r="X69" s="395"/>
      <c r="Y69" s="365"/>
      <c r="Z69" s="114"/>
      <c r="AA69" s="114"/>
      <c r="AB69" s="114"/>
      <c r="AC69" s="114"/>
      <c r="AD69" s="114"/>
      <c r="AE69" s="114"/>
      <c r="AF69" s="114"/>
      <c r="AG69" s="114"/>
      <c r="AH69" s="114"/>
      <c r="AI69" s="114"/>
      <c r="AJ69" s="114"/>
      <c r="AK69" s="114"/>
      <c r="AL69" s="3"/>
      <c r="AM69" s="3"/>
      <c r="AN69" s="3"/>
      <c r="AO69" s="3"/>
      <c r="AP69" s="3"/>
    </row>
    <row r="70" spans="1:47" ht="15.75">
      <c r="A70" s="355"/>
      <c r="B70" t="s">
        <v>586</v>
      </c>
      <c r="C70" t="s">
        <v>587</v>
      </c>
      <c r="J70" s="378">
        <f t="shared" si="25"/>
        <v>632749</v>
      </c>
      <c r="K70" s="314">
        <v>0</v>
      </c>
      <c r="L70" s="314">
        <v>537836.65</v>
      </c>
      <c r="M70" s="314">
        <v>0</v>
      </c>
      <c r="N70" s="314">
        <v>0</v>
      </c>
      <c r="O70" s="314">
        <v>94912.349999999991</v>
      </c>
      <c r="U70" s="305"/>
      <c r="V70" s="3"/>
      <c r="W70" s="3"/>
      <c r="X70" s="395"/>
      <c r="Y70" s="365"/>
      <c r="Z70" s="114"/>
      <c r="AA70" s="114"/>
      <c r="AB70" s="114"/>
      <c r="AC70" s="114"/>
      <c r="AD70" s="114"/>
      <c r="AE70" s="114"/>
      <c r="AF70" s="114"/>
      <c r="AG70" s="114"/>
      <c r="AH70" s="114"/>
      <c r="AI70" s="114"/>
      <c r="AJ70" s="114"/>
      <c r="AK70" s="114"/>
      <c r="AL70" s="3"/>
      <c r="AM70" s="3"/>
      <c r="AN70" s="3"/>
      <c r="AO70" s="3"/>
      <c r="AP70" s="3"/>
    </row>
    <row r="71" spans="1:47" ht="15.75">
      <c r="A71" s="355"/>
      <c r="B71" s="672" t="s">
        <v>588</v>
      </c>
      <c r="C71" s="672" t="s">
        <v>589</v>
      </c>
      <c r="D71" s="672"/>
      <c r="E71" s="672"/>
      <c r="F71" s="672"/>
      <c r="G71" s="672"/>
      <c r="H71" s="672"/>
      <c r="I71" s="672"/>
      <c r="J71" s="673">
        <f t="shared" si="25"/>
        <v>295462</v>
      </c>
      <c r="K71" s="673"/>
      <c r="L71" s="673">
        <v>288370.91200000001</v>
      </c>
      <c r="M71" s="673"/>
      <c r="N71" s="673">
        <v>4431.9299999999994</v>
      </c>
      <c r="O71" s="673">
        <v>2659.1579999999994</v>
      </c>
      <c r="U71" s="305"/>
      <c r="V71" s="3"/>
      <c r="W71" s="3"/>
      <c r="X71" s="395"/>
      <c r="Y71" s="365"/>
      <c r="Z71" s="114"/>
      <c r="AA71" s="114"/>
      <c r="AB71" s="114"/>
      <c r="AC71" s="114"/>
      <c r="AD71" s="114"/>
      <c r="AE71" s="114"/>
      <c r="AF71" s="114"/>
      <c r="AG71" s="114"/>
      <c r="AH71" s="114"/>
      <c r="AI71" s="114"/>
      <c r="AJ71" s="114"/>
      <c r="AK71" s="114"/>
      <c r="AL71" s="3"/>
      <c r="AM71" s="3"/>
      <c r="AN71" s="3"/>
      <c r="AO71" s="3"/>
      <c r="AP71" s="3"/>
    </row>
    <row r="72" spans="1:47">
      <c r="A72" s="394" t="s">
        <v>456</v>
      </c>
      <c r="B72" s="355"/>
      <c r="C72" s="355"/>
      <c r="D72" s="355"/>
      <c r="E72" s="355"/>
      <c r="F72" s="355"/>
      <c r="G72" s="355"/>
      <c r="H72" s="355"/>
      <c r="I72" s="355"/>
      <c r="J72" s="404">
        <f>J45+SUM(J48:J71)</f>
        <v>111482153.1768828</v>
      </c>
      <c r="K72" s="404">
        <f>K45+SUM(K48:K68)</f>
        <v>11286780</v>
      </c>
      <c r="L72" s="404">
        <f>L45+SUM(L48:L68)</f>
        <v>77655568.30953908</v>
      </c>
      <c r="M72" s="404">
        <f>M45+SUM(M48:M68)</f>
        <v>3767862.0897283391</v>
      </c>
      <c r="N72" s="404">
        <f>N45+SUM(N48:N68)</f>
        <v>193752.0226153846</v>
      </c>
      <c r="O72" s="404">
        <f>O45+SUM(O48:O68)</f>
        <v>17601230.754999999</v>
      </c>
    </row>
    <row r="74" spans="1:47">
      <c r="A74" s="394" t="s">
        <v>457</v>
      </c>
      <c r="B74" s="355"/>
      <c r="C74" s="355"/>
      <c r="D74" s="355"/>
      <c r="E74" s="355"/>
      <c r="F74" s="355"/>
      <c r="G74" s="355"/>
      <c r="H74" s="355"/>
      <c r="I74" s="355"/>
      <c r="J74" s="355"/>
      <c r="K74" s="355"/>
      <c r="L74" s="355"/>
      <c r="M74" s="355"/>
      <c r="N74" s="355"/>
      <c r="O74" s="355"/>
      <c r="U74" s="305"/>
    </row>
    <row r="75" spans="1:47" ht="15.75">
      <c r="A75" s="355"/>
      <c r="B75" s="355"/>
      <c r="C75" s="355" t="s">
        <v>375</v>
      </c>
      <c r="D75" s="355" t="s">
        <v>458</v>
      </c>
      <c r="E75" s="355"/>
      <c r="F75" s="355"/>
      <c r="G75" s="355"/>
      <c r="H75" s="355"/>
      <c r="I75" s="355"/>
      <c r="J75" s="405">
        <v>2139706</v>
      </c>
      <c r="K75" s="355">
        <v>0</v>
      </c>
      <c r="L75" s="378">
        <v>898676.52</v>
      </c>
      <c r="M75" s="378">
        <v>0</v>
      </c>
      <c r="N75" s="378">
        <v>0</v>
      </c>
      <c r="O75" s="378">
        <v>1241029.48</v>
      </c>
      <c r="P75" s="668">
        <f>O75/J75</f>
        <v>0.57999999999999996</v>
      </c>
      <c r="U75" s="305"/>
    </row>
    <row r="76" spans="1:47" ht="15.75">
      <c r="A76" s="355"/>
      <c r="B76" s="355"/>
      <c r="C76" s="355" t="s">
        <v>329</v>
      </c>
      <c r="D76" s="355" t="s">
        <v>459</v>
      </c>
      <c r="E76" s="355"/>
      <c r="F76" s="355"/>
      <c r="G76" s="355"/>
      <c r="H76" s="355"/>
      <c r="I76" s="355" t="s">
        <v>460</v>
      </c>
      <c r="J76" s="405">
        <v>1099254</v>
      </c>
      <c r="K76" s="403">
        <v>0</v>
      </c>
      <c r="L76" s="405">
        <v>237880.00199999998</v>
      </c>
      <c r="M76" s="405">
        <v>381000</v>
      </c>
      <c r="N76" s="405">
        <v>0</v>
      </c>
      <c r="O76" s="405">
        <v>480373.99800000002</v>
      </c>
      <c r="P76" s="668">
        <f t="shared" ref="P76:P79" si="26">O76/J76</f>
        <v>0.437</v>
      </c>
      <c r="Q76" t="s">
        <v>461</v>
      </c>
      <c r="U76" s="305"/>
    </row>
    <row r="77" spans="1:47">
      <c r="A77" s="355"/>
      <c r="B77" s="355"/>
      <c r="C77" s="355" t="s">
        <v>330</v>
      </c>
      <c r="D77" s="355" t="s">
        <v>458</v>
      </c>
      <c r="E77" s="355"/>
      <c r="F77" s="355"/>
      <c r="G77" s="355"/>
      <c r="H77" s="355"/>
      <c r="I77" s="355"/>
      <c r="J77" s="378">
        <v>2791003</v>
      </c>
      <c r="K77" s="355">
        <v>0</v>
      </c>
      <c r="L77" s="378">
        <v>803808.86399999983</v>
      </c>
      <c r="M77" s="378">
        <v>0</v>
      </c>
      <c r="N77" s="378">
        <v>0</v>
      </c>
      <c r="O77" s="378">
        <v>1987194.1360000002</v>
      </c>
      <c r="P77" s="668">
        <f t="shared" si="26"/>
        <v>0.71200000000000008</v>
      </c>
      <c r="U77" s="305"/>
    </row>
    <row r="78" spans="1:47" ht="15.75">
      <c r="A78" s="355"/>
      <c r="B78" s="355"/>
      <c r="C78" s="355" t="s">
        <v>331</v>
      </c>
      <c r="D78" s="355" t="s">
        <v>458</v>
      </c>
      <c r="E78" s="355"/>
      <c r="F78" s="355"/>
      <c r="G78" s="355"/>
      <c r="H78" s="355"/>
      <c r="I78" s="355"/>
      <c r="J78" s="405">
        <v>3533059</v>
      </c>
      <c r="K78" s="355">
        <v>0</v>
      </c>
      <c r="L78" s="378">
        <v>706611.79999999981</v>
      </c>
      <c r="M78" s="378">
        <v>0</v>
      </c>
      <c r="N78" s="378">
        <v>0</v>
      </c>
      <c r="O78" s="378">
        <v>2826447.2</v>
      </c>
      <c r="P78" s="668">
        <f t="shared" si="26"/>
        <v>0.8</v>
      </c>
      <c r="Q78" s="305"/>
      <c r="S78" s="305"/>
      <c r="U78" s="305"/>
    </row>
    <row r="79" spans="1:47" ht="15.75">
      <c r="A79" s="355"/>
      <c r="B79" s="355"/>
      <c r="C79" s="355" t="s">
        <v>332</v>
      </c>
      <c r="D79" s="355" t="s">
        <v>458</v>
      </c>
      <c r="E79" s="355"/>
      <c r="F79" s="355"/>
      <c r="G79" s="355"/>
      <c r="H79" s="355"/>
      <c r="I79" s="355" t="s">
        <v>462</v>
      </c>
      <c r="J79" s="405">
        <v>162167</v>
      </c>
      <c r="K79" s="355">
        <v>0</v>
      </c>
      <c r="L79" s="378">
        <v>0</v>
      </c>
      <c r="M79" s="378">
        <v>0</v>
      </c>
      <c r="N79" s="405">
        <v>123895.58799999999</v>
      </c>
      <c r="O79" s="378">
        <v>38271.412000000004</v>
      </c>
      <c r="P79" s="668">
        <f t="shared" si="26"/>
        <v>0.23600000000000002</v>
      </c>
      <c r="Q79" s="381"/>
      <c r="R79" s="381"/>
      <c r="S79" s="381"/>
      <c r="T79" s="381"/>
      <c r="U79" s="381"/>
    </row>
    <row r="80" spans="1:47" ht="15.75">
      <c r="A80" s="384" t="s">
        <v>463</v>
      </c>
      <c r="B80" s="385"/>
      <c r="C80" s="355"/>
      <c r="D80" s="355"/>
      <c r="E80" s="355"/>
      <c r="F80" s="355"/>
      <c r="G80" s="355"/>
      <c r="H80" s="355"/>
      <c r="I80" s="355"/>
      <c r="J80" s="386">
        <v>9725189</v>
      </c>
      <c r="K80" s="355"/>
      <c r="L80" s="386">
        <v>2646977.1859999998</v>
      </c>
      <c r="M80" s="386">
        <v>381000</v>
      </c>
      <c r="N80" s="386">
        <v>123895.58799999999</v>
      </c>
      <c r="O80" s="386">
        <v>6573316.2259999998</v>
      </c>
      <c r="P80" s="305"/>
      <c r="Q80" s="305"/>
      <c r="R80" s="305"/>
      <c r="S80" s="305"/>
      <c r="T80" s="305"/>
    </row>
    <row r="81" spans="2:13">
      <c r="L81" s="314"/>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O4:O5"/>
    <mergeCell ref="J4:J5"/>
    <mergeCell ref="K4:K5"/>
    <mergeCell ref="L4:L5"/>
    <mergeCell ref="M4:M5"/>
    <mergeCell ref="N4:N5"/>
    <mergeCell ref="A6:A8"/>
    <mergeCell ref="A9:A12"/>
    <mergeCell ref="A13:A16"/>
    <mergeCell ref="A33:B33"/>
    <mergeCell ref="A39:A4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V291"/>
  <sheetViews>
    <sheetView topLeftCell="A169" zoomScale="55" zoomScaleNormal="55" workbookViewId="0">
      <selection activeCell="J134" sqref="J134"/>
    </sheetView>
  </sheetViews>
  <sheetFormatPr defaultRowHeight="15"/>
  <cols>
    <col min="1" max="1" width="17.5703125" customWidth="1"/>
    <col min="2" max="2" width="80" customWidth="1"/>
    <col min="3" max="3" width="22.5703125" customWidth="1"/>
    <col min="4" max="4" width="15.140625" customWidth="1"/>
    <col min="5" max="5" width="22.28515625" customWidth="1"/>
    <col min="6" max="6" width="13.140625" customWidth="1"/>
    <col min="7" max="7" width="27.5703125" customWidth="1"/>
    <col min="10" max="10" width="13.7109375" customWidth="1"/>
    <col min="13" max="13" width="8.85546875" customWidth="1"/>
    <col min="14" max="14" width="12.28515625" customWidth="1"/>
    <col min="18" max="18" width="13.140625" customWidth="1"/>
    <col min="19" max="19" width="15.85546875" customWidth="1"/>
  </cols>
  <sheetData>
    <row r="1" spans="2:10">
      <c r="B1" s="2" t="s">
        <v>0</v>
      </c>
    </row>
    <row r="2" spans="2:10" ht="15.75" thickBot="1"/>
    <row r="3" spans="2:10">
      <c r="B3" s="156" t="s">
        <v>1</v>
      </c>
      <c r="C3" s="115"/>
      <c r="D3" s="115"/>
      <c r="E3" s="115"/>
      <c r="F3" s="115"/>
      <c r="G3" s="115"/>
      <c r="H3" s="115"/>
      <c r="I3" s="115"/>
      <c r="J3" s="116"/>
    </row>
    <row r="4" spans="2:10">
      <c r="B4" s="164" t="s">
        <v>39</v>
      </c>
      <c r="C4" s="104"/>
      <c r="D4" s="104"/>
      <c r="E4" s="104"/>
      <c r="F4" s="104"/>
      <c r="G4" s="104"/>
      <c r="H4" s="104"/>
      <c r="I4" s="104"/>
      <c r="J4" s="130"/>
    </row>
    <row r="5" spans="2:10">
      <c r="B5" s="142" t="s">
        <v>43</v>
      </c>
      <c r="C5" s="165" t="s">
        <v>2</v>
      </c>
      <c r="D5" s="165" t="s">
        <v>4</v>
      </c>
      <c r="E5" s="165"/>
      <c r="F5" s="104"/>
      <c r="G5" s="165" t="s">
        <v>27</v>
      </c>
      <c r="H5" s="104"/>
      <c r="I5" s="104"/>
      <c r="J5" s="130"/>
    </row>
    <row r="6" spans="2:10">
      <c r="B6" s="127" t="s">
        <v>32</v>
      </c>
      <c r="C6" s="104" t="s">
        <v>3</v>
      </c>
      <c r="D6" s="181">
        <f>'Input data'!C7</f>
        <v>13.505000000000001</v>
      </c>
      <c r="E6" s="104"/>
      <c r="F6" s="104"/>
      <c r="G6" s="104"/>
      <c r="H6" s="104"/>
      <c r="I6" s="104"/>
      <c r="J6" s="130"/>
    </row>
    <row r="7" spans="2:10">
      <c r="B7" s="127" t="s">
        <v>31</v>
      </c>
      <c r="C7" s="104" t="s">
        <v>16</v>
      </c>
      <c r="D7" s="129">
        <v>0.6</v>
      </c>
      <c r="E7" s="104"/>
      <c r="F7" s="104"/>
      <c r="G7" s="104" t="s">
        <v>37</v>
      </c>
      <c r="H7" s="104"/>
      <c r="I7" s="104"/>
      <c r="J7" s="130"/>
    </row>
    <row r="8" spans="2:10">
      <c r="B8" s="127"/>
      <c r="C8" s="104" t="s">
        <v>15</v>
      </c>
      <c r="D8" s="129">
        <v>0.25</v>
      </c>
      <c r="E8" s="104"/>
      <c r="F8" s="104"/>
      <c r="G8" s="104"/>
      <c r="H8" s="104"/>
      <c r="I8" s="104"/>
      <c r="J8" s="130"/>
    </row>
    <row r="9" spans="2:10">
      <c r="B9" s="127" t="s">
        <v>29</v>
      </c>
      <c r="C9" s="104" t="s">
        <v>28</v>
      </c>
      <c r="D9" s="129">
        <v>1.25</v>
      </c>
      <c r="E9" s="104"/>
      <c r="F9" s="104"/>
      <c r="G9" s="104"/>
      <c r="H9" s="104"/>
      <c r="I9" s="104"/>
      <c r="J9" s="130"/>
    </row>
    <row r="10" spans="2:10">
      <c r="B10" s="127" t="s">
        <v>30</v>
      </c>
      <c r="C10" s="104" t="s">
        <v>28</v>
      </c>
      <c r="D10" s="129">
        <v>1</v>
      </c>
      <c r="E10" s="104"/>
      <c r="F10" s="104"/>
      <c r="G10" s="104"/>
      <c r="H10" s="104"/>
      <c r="I10" s="104"/>
      <c r="J10" s="130"/>
    </row>
    <row r="11" spans="2:10">
      <c r="B11" s="157" t="s">
        <v>5</v>
      </c>
      <c r="C11" s="104"/>
      <c r="D11" s="104"/>
      <c r="E11" s="104"/>
      <c r="F11" s="104"/>
      <c r="G11" s="104"/>
      <c r="H11" s="104"/>
      <c r="I11" s="104"/>
      <c r="J11" s="130"/>
    </row>
    <row r="12" spans="2:10">
      <c r="B12" s="127" t="s">
        <v>6</v>
      </c>
      <c r="C12" s="104" t="s">
        <v>7</v>
      </c>
      <c r="D12" s="167">
        <v>0.39</v>
      </c>
      <c r="E12" s="104"/>
      <c r="F12" s="104"/>
      <c r="G12" s="104"/>
      <c r="H12" s="104"/>
      <c r="I12" s="104"/>
      <c r="J12" s="130"/>
    </row>
    <row r="13" spans="2:10">
      <c r="B13" s="127" t="s">
        <v>13</v>
      </c>
      <c r="C13" s="104" t="s">
        <v>7</v>
      </c>
      <c r="D13" s="167">
        <v>0.12</v>
      </c>
      <c r="E13" s="104"/>
      <c r="F13" s="104"/>
      <c r="G13" s="104"/>
      <c r="H13" s="104"/>
      <c r="I13" s="104"/>
      <c r="J13" s="130"/>
    </row>
    <row r="14" spans="2:10">
      <c r="B14" s="127" t="s">
        <v>14</v>
      </c>
      <c r="C14" s="104" t="s">
        <v>7</v>
      </c>
      <c r="D14" s="167">
        <v>0.49</v>
      </c>
      <c r="E14" s="104"/>
      <c r="F14" s="104"/>
      <c r="G14" s="104"/>
      <c r="H14" s="104"/>
      <c r="I14" s="104"/>
      <c r="J14" s="130"/>
    </row>
    <row r="15" spans="2:10">
      <c r="B15" s="127"/>
      <c r="C15" s="104"/>
      <c r="D15" s="104"/>
      <c r="E15" s="104"/>
      <c r="F15" s="104"/>
      <c r="G15" s="104"/>
      <c r="H15" s="104"/>
      <c r="I15" s="104"/>
      <c r="J15" s="130"/>
    </row>
    <row r="16" spans="2:10" ht="30">
      <c r="B16" s="157" t="s">
        <v>33</v>
      </c>
      <c r="C16" s="104"/>
      <c r="D16" s="204" t="s">
        <v>17</v>
      </c>
      <c r="E16" s="204" t="s">
        <v>23</v>
      </c>
      <c r="F16" s="204" t="s">
        <v>19</v>
      </c>
      <c r="G16" s="204" t="s">
        <v>24</v>
      </c>
      <c r="H16" s="204" t="s">
        <v>9</v>
      </c>
      <c r="I16" s="204" t="s">
        <v>10</v>
      </c>
      <c r="J16" s="130"/>
    </row>
    <row r="17" spans="2:22">
      <c r="B17" s="212" t="s">
        <v>8</v>
      </c>
      <c r="C17" s="128" t="s">
        <v>25</v>
      </c>
      <c r="D17" s="129">
        <v>0.1</v>
      </c>
      <c r="E17" s="129">
        <v>0</v>
      </c>
      <c r="F17" s="129">
        <v>0.1</v>
      </c>
      <c r="G17" s="129">
        <v>0.28000000000000003</v>
      </c>
      <c r="H17" s="129">
        <v>0.04</v>
      </c>
      <c r="I17" s="129">
        <v>0.48</v>
      </c>
      <c r="J17" s="205"/>
      <c r="L17" s="3"/>
    </row>
    <row r="18" spans="2:22">
      <c r="B18" s="212" t="s">
        <v>11</v>
      </c>
      <c r="C18" s="128" t="s">
        <v>25</v>
      </c>
      <c r="D18" s="129">
        <v>0</v>
      </c>
      <c r="E18" s="129">
        <v>0.7</v>
      </c>
      <c r="F18" s="129">
        <v>0.15</v>
      </c>
      <c r="G18" s="129">
        <v>0.15</v>
      </c>
      <c r="H18" s="129">
        <v>0</v>
      </c>
      <c r="I18" s="129">
        <v>0</v>
      </c>
      <c r="J18" s="205"/>
    </row>
    <row r="19" spans="2:22">
      <c r="B19" s="212" t="s">
        <v>12</v>
      </c>
      <c r="C19" s="128" t="s">
        <v>25</v>
      </c>
      <c r="D19" s="129">
        <v>0.34</v>
      </c>
      <c r="E19" s="129">
        <v>0</v>
      </c>
      <c r="F19" s="129">
        <v>0.17</v>
      </c>
      <c r="G19" s="129">
        <v>0.24</v>
      </c>
      <c r="H19" s="129">
        <v>0.05</v>
      </c>
      <c r="I19" s="129">
        <v>0.2</v>
      </c>
      <c r="J19" s="205"/>
    </row>
    <row r="20" spans="2:22">
      <c r="C20" s="104"/>
      <c r="D20" s="104"/>
      <c r="E20" s="104"/>
      <c r="F20" s="104"/>
      <c r="G20" s="104"/>
      <c r="H20" s="104"/>
      <c r="I20" s="104"/>
      <c r="J20" s="130"/>
    </row>
    <row r="21" spans="2:22">
      <c r="C21" s="104"/>
      <c r="D21" s="104"/>
      <c r="E21" s="104"/>
      <c r="F21" s="104"/>
      <c r="G21" s="104"/>
      <c r="H21" s="104"/>
      <c r="I21" s="104"/>
      <c r="J21" s="130"/>
    </row>
    <row r="22" spans="2:22">
      <c r="B22" s="127"/>
      <c r="C22" s="104"/>
      <c r="D22" s="104"/>
      <c r="E22" s="104"/>
      <c r="F22" s="104"/>
      <c r="G22" s="104"/>
      <c r="H22" s="104"/>
      <c r="I22" s="104"/>
      <c r="J22" s="130"/>
    </row>
    <row r="23" spans="2:22">
      <c r="B23" s="157" t="s">
        <v>26</v>
      </c>
      <c r="C23" s="104"/>
      <c r="D23" s="135" t="s">
        <v>22</v>
      </c>
      <c r="E23" s="104"/>
      <c r="F23" s="118"/>
      <c r="G23" s="104"/>
      <c r="H23" s="104"/>
      <c r="I23" s="104"/>
      <c r="J23" s="130"/>
      <c r="M23" s="99"/>
      <c r="N23" s="99"/>
      <c r="O23" s="99"/>
      <c r="P23" s="99"/>
      <c r="Q23" s="99"/>
      <c r="R23" s="99"/>
      <c r="S23" s="99"/>
      <c r="T23" s="99"/>
      <c r="U23" s="99"/>
      <c r="V23" s="99"/>
    </row>
    <row r="24" spans="2:22">
      <c r="B24" s="127" t="s">
        <v>17</v>
      </c>
      <c r="C24" s="128" t="s">
        <v>196</v>
      </c>
      <c r="D24" s="129">
        <v>0.5</v>
      </c>
      <c r="E24" s="104"/>
      <c r="F24" s="118"/>
      <c r="G24" s="104"/>
      <c r="H24" s="104"/>
      <c r="I24" s="104"/>
      <c r="J24" s="130"/>
      <c r="M24" s="99"/>
      <c r="N24" s="99"/>
      <c r="O24" s="99"/>
      <c r="P24" s="99"/>
      <c r="Q24" s="99"/>
      <c r="R24" s="99"/>
      <c r="S24" s="99"/>
      <c r="T24" s="99"/>
      <c r="U24" s="99"/>
      <c r="V24" s="99"/>
    </row>
    <row r="25" spans="2:22">
      <c r="B25" s="127" t="s">
        <v>18</v>
      </c>
      <c r="C25" s="128" t="s">
        <v>196</v>
      </c>
      <c r="D25" s="129">
        <v>0</v>
      </c>
      <c r="E25" s="104"/>
      <c r="F25" s="118"/>
      <c r="G25" s="104"/>
      <c r="H25" s="104"/>
      <c r="I25" s="104"/>
      <c r="J25" s="130"/>
      <c r="K25" s="104"/>
      <c r="L25" s="168"/>
      <c r="M25" s="202"/>
      <c r="N25" s="202"/>
      <c r="O25" s="202"/>
      <c r="P25" s="99"/>
      <c r="Q25" s="99"/>
      <c r="R25" s="99"/>
      <c r="S25" s="99"/>
      <c r="T25" s="99"/>
      <c r="U25" s="99"/>
      <c r="V25" s="99"/>
    </row>
    <row r="26" spans="2:22">
      <c r="B26" s="127" t="s">
        <v>19</v>
      </c>
      <c r="C26" s="128" t="s">
        <v>196</v>
      </c>
      <c r="D26" s="129">
        <v>0.5</v>
      </c>
      <c r="E26" s="104"/>
      <c r="F26" s="104"/>
      <c r="G26" s="104"/>
      <c r="H26" s="104"/>
      <c r="I26" s="104"/>
      <c r="J26" s="130"/>
      <c r="K26" s="104"/>
      <c r="L26" s="128"/>
      <c r="M26" s="158"/>
      <c r="N26" s="158"/>
      <c r="O26" s="158"/>
      <c r="P26" s="99"/>
      <c r="Q26" s="99"/>
      <c r="R26" s="99"/>
      <c r="S26" s="99"/>
      <c r="T26" s="99"/>
      <c r="U26" s="99"/>
      <c r="V26" s="99"/>
    </row>
    <row r="27" spans="2:22">
      <c r="B27" s="127" t="s">
        <v>24</v>
      </c>
      <c r="C27" s="128" t="s">
        <v>196</v>
      </c>
      <c r="D27" s="129">
        <v>0.1</v>
      </c>
      <c r="E27" s="104"/>
      <c r="F27" s="104"/>
      <c r="G27" s="104"/>
      <c r="H27" s="104"/>
      <c r="I27" s="104"/>
      <c r="J27" s="130"/>
      <c r="K27" s="104"/>
      <c r="L27" s="128"/>
      <c r="M27" s="158"/>
      <c r="N27" s="158"/>
      <c r="O27" s="158"/>
      <c r="P27" s="99"/>
      <c r="Q27" s="99"/>
      <c r="R27" s="99"/>
      <c r="S27" s="99"/>
      <c r="T27" s="99"/>
      <c r="U27" s="99"/>
      <c r="V27" s="99"/>
    </row>
    <row r="28" spans="2:22">
      <c r="B28" s="127" t="s">
        <v>20</v>
      </c>
      <c r="C28" s="128" t="s">
        <v>196</v>
      </c>
      <c r="D28" s="129">
        <v>0.5</v>
      </c>
      <c r="E28" s="104"/>
      <c r="F28" s="104"/>
      <c r="G28" s="104"/>
      <c r="H28" s="104"/>
      <c r="I28" s="104"/>
      <c r="J28" s="130"/>
      <c r="K28" s="104"/>
      <c r="L28" s="128"/>
      <c r="M28" s="158"/>
      <c r="N28" s="158"/>
      <c r="O28" s="158"/>
      <c r="P28" s="99"/>
      <c r="Q28" s="99"/>
      <c r="R28" s="99"/>
      <c r="S28" s="99"/>
      <c r="T28" s="99"/>
      <c r="U28" s="99"/>
      <c r="V28" s="99"/>
    </row>
    <row r="29" spans="2:22">
      <c r="B29" s="127" t="s">
        <v>21</v>
      </c>
      <c r="C29" s="128" t="s">
        <v>196</v>
      </c>
      <c r="D29" s="129">
        <v>0.1</v>
      </c>
      <c r="E29" s="104"/>
      <c r="F29" s="104"/>
      <c r="G29" s="104"/>
      <c r="H29" s="104"/>
      <c r="I29" s="104"/>
      <c r="J29" s="130"/>
      <c r="K29" s="104"/>
      <c r="L29" s="128"/>
      <c r="M29" s="158"/>
      <c r="N29" s="158"/>
      <c r="O29" s="158"/>
      <c r="P29" s="99"/>
      <c r="Q29" s="99"/>
      <c r="R29" s="99"/>
      <c r="S29" s="99"/>
      <c r="T29" s="99"/>
      <c r="U29" s="99"/>
      <c r="V29" s="99"/>
    </row>
    <row r="30" spans="2:22">
      <c r="B30" s="127" t="s">
        <v>9</v>
      </c>
      <c r="C30" s="128" t="s">
        <v>196</v>
      </c>
      <c r="D30" s="129">
        <v>0.1</v>
      </c>
      <c r="E30" s="104"/>
      <c r="F30" s="104"/>
      <c r="G30" s="104"/>
      <c r="H30" s="104"/>
      <c r="I30" s="104"/>
      <c r="J30" s="130"/>
      <c r="K30" s="104"/>
      <c r="L30" s="128"/>
      <c r="M30" s="158"/>
      <c r="N30" s="158"/>
      <c r="O30" s="158"/>
      <c r="P30" s="99"/>
      <c r="Q30" s="99"/>
      <c r="R30" s="99"/>
      <c r="S30" s="99"/>
      <c r="T30" s="99"/>
      <c r="U30" s="99"/>
      <c r="V30" s="99"/>
    </row>
    <row r="31" spans="2:22">
      <c r="B31" s="127" t="s">
        <v>10</v>
      </c>
      <c r="C31" s="128" t="s">
        <v>196</v>
      </c>
      <c r="D31" s="129">
        <v>0</v>
      </c>
      <c r="E31" s="104"/>
      <c r="F31" s="104"/>
      <c r="G31" s="104"/>
      <c r="H31" s="104"/>
      <c r="I31" s="104"/>
      <c r="J31" s="130"/>
      <c r="K31" s="104"/>
      <c r="L31" s="128"/>
      <c r="M31" s="158"/>
      <c r="N31" s="158"/>
      <c r="O31" s="158"/>
      <c r="P31" s="99"/>
      <c r="Q31" s="99"/>
      <c r="R31" s="99"/>
      <c r="S31" s="99"/>
      <c r="T31" s="99"/>
      <c r="U31" s="99"/>
      <c r="V31" s="99"/>
    </row>
    <row r="32" spans="2:22">
      <c r="B32" s="127"/>
      <c r="C32" s="104"/>
      <c r="D32" s="104"/>
      <c r="E32" s="104"/>
      <c r="F32" s="104"/>
      <c r="G32" s="104"/>
      <c r="H32" s="104"/>
      <c r="I32" s="104"/>
      <c r="J32" s="130"/>
      <c r="M32" s="99"/>
      <c r="N32" s="99"/>
      <c r="O32" s="99"/>
      <c r="P32" s="99"/>
      <c r="Q32" s="99"/>
      <c r="R32" s="99"/>
      <c r="S32" s="99"/>
      <c r="T32" s="99"/>
      <c r="U32" s="99"/>
      <c r="V32" s="99"/>
    </row>
    <row r="33" spans="2:22">
      <c r="B33" s="157" t="s">
        <v>34</v>
      </c>
      <c r="C33" s="104"/>
      <c r="D33" s="135" t="s">
        <v>36</v>
      </c>
      <c r="E33" s="104"/>
      <c r="F33" s="104"/>
      <c r="G33" s="104" t="s">
        <v>35</v>
      </c>
      <c r="H33" s="104"/>
      <c r="I33" s="104"/>
      <c r="J33" s="130"/>
      <c r="M33" s="99"/>
      <c r="N33" s="99"/>
      <c r="O33" s="99"/>
      <c r="P33" s="99"/>
      <c r="Q33" s="99"/>
      <c r="R33" s="99"/>
      <c r="S33" s="99"/>
      <c r="T33" s="99"/>
      <c r="U33" s="99"/>
      <c r="V33" s="99"/>
    </row>
    <row r="34" spans="2:22">
      <c r="B34" s="127" t="s">
        <v>17</v>
      </c>
      <c r="C34" s="169" t="s">
        <v>16</v>
      </c>
      <c r="D34" s="118">
        <f>D24*$D$7</f>
        <v>0.3</v>
      </c>
      <c r="E34" s="104"/>
      <c r="F34" s="104"/>
      <c r="G34" s="104"/>
      <c r="H34" s="104"/>
      <c r="I34" s="104"/>
      <c r="J34" s="130"/>
      <c r="M34" s="99"/>
      <c r="N34" s="99"/>
      <c r="O34" s="99"/>
      <c r="P34" s="99"/>
      <c r="Q34" s="99"/>
      <c r="R34" s="99"/>
      <c r="S34" s="99"/>
      <c r="T34" s="99"/>
      <c r="U34" s="99"/>
      <c r="V34" s="99"/>
    </row>
    <row r="35" spans="2:22">
      <c r="B35" s="127" t="s">
        <v>18</v>
      </c>
      <c r="C35" s="169" t="s">
        <v>16</v>
      </c>
      <c r="D35" s="118">
        <f>D25*$D$7</f>
        <v>0</v>
      </c>
      <c r="E35" s="104"/>
      <c r="F35" s="104"/>
      <c r="G35" s="104"/>
      <c r="H35" s="104"/>
      <c r="I35" s="104"/>
      <c r="J35" s="130"/>
      <c r="M35" s="99"/>
      <c r="N35" s="99"/>
      <c r="O35" s="99"/>
      <c r="P35" s="99"/>
      <c r="Q35" s="99"/>
      <c r="R35" s="99"/>
      <c r="S35" s="99"/>
      <c r="T35" s="99"/>
      <c r="U35" s="99"/>
      <c r="V35" s="99"/>
    </row>
    <row r="36" spans="2:22">
      <c r="B36" s="127" t="s">
        <v>19</v>
      </c>
      <c r="C36" s="169" t="s">
        <v>16</v>
      </c>
      <c r="D36" s="118">
        <f t="shared" ref="D36:D41" si="0">D26*$D$7</f>
        <v>0.3</v>
      </c>
      <c r="E36" s="104"/>
      <c r="F36" s="104"/>
      <c r="G36" s="104"/>
      <c r="H36" s="104"/>
      <c r="I36" s="104"/>
      <c r="J36" s="130"/>
      <c r="M36" s="99"/>
      <c r="N36" s="99"/>
      <c r="O36" s="99"/>
      <c r="P36" s="99"/>
      <c r="Q36" s="99"/>
      <c r="R36" s="99"/>
      <c r="S36" s="99"/>
      <c r="T36" s="99"/>
      <c r="U36" s="99"/>
      <c r="V36" s="99"/>
    </row>
    <row r="37" spans="2:22">
      <c r="B37" s="127" t="s">
        <v>24</v>
      </c>
      <c r="C37" s="169" t="s">
        <v>16</v>
      </c>
      <c r="D37" s="118">
        <f t="shared" si="0"/>
        <v>0.06</v>
      </c>
      <c r="E37" s="104"/>
      <c r="F37" s="104"/>
      <c r="G37" s="104"/>
      <c r="H37" s="104"/>
      <c r="I37" s="104"/>
      <c r="J37" s="130"/>
      <c r="M37" s="99"/>
      <c r="N37" s="99"/>
      <c r="O37" s="99"/>
      <c r="P37" s="99"/>
      <c r="Q37" s="99"/>
      <c r="R37" s="99"/>
      <c r="S37" s="99"/>
      <c r="T37" s="99"/>
      <c r="U37" s="99"/>
      <c r="V37" s="99"/>
    </row>
    <row r="38" spans="2:22">
      <c r="B38" s="127" t="s">
        <v>20</v>
      </c>
      <c r="C38" s="169" t="s">
        <v>16</v>
      </c>
      <c r="D38" s="118">
        <f t="shared" si="0"/>
        <v>0.3</v>
      </c>
      <c r="E38" s="104"/>
      <c r="F38" s="104"/>
      <c r="G38" s="104"/>
      <c r="H38" s="104"/>
      <c r="I38" s="104"/>
      <c r="J38" s="130"/>
      <c r="M38" s="99"/>
      <c r="N38" s="99"/>
      <c r="O38" s="99"/>
      <c r="P38" s="99"/>
      <c r="Q38" s="99"/>
      <c r="R38" s="99"/>
      <c r="S38" s="99"/>
      <c r="T38" s="99"/>
      <c r="U38" s="99"/>
      <c r="V38" s="99"/>
    </row>
    <row r="39" spans="2:22">
      <c r="B39" s="127" t="s">
        <v>21</v>
      </c>
      <c r="C39" s="169" t="s">
        <v>16</v>
      </c>
      <c r="D39" s="118">
        <f t="shared" si="0"/>
        <v>0.06</v>
      </c>
      <c r="E39" s="104"/>
      <c r="F39" s="104"/>
      <c r="G39" s="104"/>
      <c r="H39" s="104"/>
      <c r="I39" s="104"/>
      <c r="J39" s="130"/>
      <c r="M39" s="99"/>
      <c r="N39" s="99"/>
      <c r="O39" s="99"/>
      <c r="P39" s="99"/>
      <c r="Q39" s="99"/>
      <c r="R39" s="99"/>
      <c r="S39" s="99"/>
      <c r="T39" s="99"/>
      <c r="U39" s="99"/>
      <c r="V39" s="99"/>
    </row>
    <row r="40" spans="2:22">
      <c r="B40" s="127" t="s">
        <v>9</v>
      </c>
      <c r="C40" s="169" t="s">
        <v>16</v>
      </c>
      <c r="D40" s="118">
        <f t="shared" si="0"/>
        <v>0.06</v>
      </c>
      <c r="E40" s="104"/>
      <c r="F40" s="104"/>
      <c r="G40" s="104"/>
      <c r="H40" s="104"/>
      <c r="I40" s="104"/>
      <c r="J40" s="130"/>
      <c r="M40" s="99"/>
      <c r="N40" s="99"/>
      <c r="O40" s="99"/>
      <c r="P40" s="99"/>
      <c r="Q40" s="99"/>
      <c r="R40" s="99"/>
      <c r="S40" s="99"/>
      <c r="T40" s="99"/>
      <c r="U40" s="99"/>
      <c r="V40" s="99"/>
    </row>
    <row r="41" spans="2:22">
      <c r="B41" s="127" t="s">
        <v>10</v>
      </c>
      <c r="C41" s="169" t="s">
        <v>16</v>
      </c>
      <c r="D41" s="118">
        <f t="shared" si="0"/>
        <v>0</v>
      </c>
      <c r="E41" s="104"/>
      <c r="F41" s="104"/>
      <c r="G41" s="104"/>
      <c r="H41" s="104"/>
      <c r="I41" s="104"/>
      <c r="J41" s="130"/>
      <c r="M41" s="99"/>
      <c r="N41" s="99"/>
      <c r="O41" s="99"/>
      <c r="P41" s="99"/>
      <c r="Q41" s="99"/>
      <c r="R41" s="99"/>
      <c r="S41" s="99"/>
      <c r="T41" s="99"/>
      <c r="U41" s="99"/>
      <c r="V41" s="99"/>
    </row>
    <row r="42" spans="2:22">
      <c r="B42" s="127"/>
      <c r="C42" s="104"/>
      <c r="D42" s="104"/>
      <c r="E42" s="104"/>
      <c r="F42" s="104"/>
      <c r="G42" s="104"/>
      <c r="H42" s="104"/>
      <c r="I42" s="104"/>
      <c r="J42" s="130"/>
    </row>
    <row r="43" spans="2:22">
      <c r="B43" s="164" t="s">
        <v>40</v>
      </c>
      <c r="C43" s="104"/>
      <c r="D43" s="104"/>
      <c r="E43" s="104"/>
      <c r="F43" s="104"/>
      <c r="G43" s="104"/>
      <c r="H43" s="104"/>
      <c r="I43" s="104"/>
      <c r="J43" s="130"/>
    </row>
    <row r="44" spans="2:22">
      <c r="B44" s="142" t="s">
        <v>43</v>
      </c>
      <c r="C44" s="104"/>
      <c r="D44" s="104"/>
      <c r="E44" s="104"/>
      <c r="F44" s="104"/>
      <c r="G44" s="104"/>
      <c r="H44" s="104"/>
      <c r="I44" s="104"/>
      <c r="J44" s="130"/>
    </row>
    <row r="45" spans="2:22">
      <c r="B45" s="127" t="s">
        <v>51</v>
      </c>
      <c r="C45" s="169" t="s">
        <v>52</v>
      </c>
      <c r="D45" s="170">
        <f>'Input data'!C8</f>
        <v>29.169396153846154</v>
      </c>
      <c r="E45" s="104"/>
      <c r="F45" s="104"/>
      <c r="G45" s="104" t="s">
        <v>50</v>
      </c>
      <c r="H45" s="104"/>
      <c r="I45" s="104"/>
      <c r="J45" s="130"/>
    </row>
    <row r="46" spans="2:22">
      <c r="B46" s="127" t="s">
        <v>44</v>
      </c>
      <c r="C46" s="169" t="s">
        <v>42</v>
      </c>
      <c r="D46" s="129">
        <v>0.16</v>
      </c>
      <c r="E46" s="104"/>
      <c r="F46" s="104"/>
      <c r="G46" s="104"/>
      <c r="H46" s="104"/>
      <c r="I46" s="104"/>
      <c r="J46" s="130"/>
    </row>
    <row r="47" spans="2:22">
      <c r="B47" s="127" t="s">
        <v>46</v>
      </c>
      <c r="C47" s="169" t="s">
        <v>28</v>
      </c>
      <c r="D47" s="129">
        <v>1.1000000000000001</v>
      </c>
      <c r="E47" s="104"/>
      <c r="F47" s="104"/>
      <c r="G47" s="104"/>
      <c r="H47" s="104"/>
      <c r="I47" s="104"/>
      <c r="J47" s="130"/>
    </row>
    <row r="48" spans="2:22">
      <c r="B48" s="127" t="s">
        <v>47</v>
      </c>
      <c r="C48" s="169" t="s">
        <v>28</v>
      </c>
      <c r="D48" s="129">
        <v>1.25</v>
      </c>
      <c r="E48" s="104"/>
      <c r="F48" s="104"/>
      <c r="G48" s="104"/>
      <c r="H48" s="104"/>
      <c r="I48" s="104"/>
      <c r="J48" s="130"/>
    </row>
    <row r="49" spans="2:10">
      <c r="B49" s="127" t="s">
        <v>166</v>
      </c>
      <c r="C49" s="169" t="s">
        <v>48</v>
      </c>
      <c r="D49" s="129">
        <v>0</v>
      </c>
      <c r="E49" s="104"/>
      <c r="F49" s="104"/>
      <c r="G49" s="104"/>
      <c r="H49" s="104"/>
      <c r="I49" s="104"/>
      <c r="J49" s="130"/>
    </row>
    <row r="50" spans="2:10">
      <c r="B50" s="127" t="s">
        <v>45</v>
      </c>
      <c r="C50" s="169" t="s">
        <v>167</v>
      </c>
      <c r="D50" s="171">
        <v>5.0000000000000001E-3</v>
      </c>
      <c r="E50" s="104"/>
      <c r="F50" s="104"/>
      <c r="G50" s="104"/>
      <c r="H50" s="104"/>
      <c r="I50" s="104"/>
      <c r="J50" s="130"/>
    </row>
    <row r="51" spans="2:10">
      <c r="B51" s="127" t="s">
        <v>49</v>
      </c>
      <c r="C51" s="169" t="s">
        <v>28</v>
      </c>
      <c r="D51" s="129">
        <f>44/28</f>
        <v>1.5714285714285714</v>
      </c>
      <c r="E51" s="104"/>
      <c r="F51" s="104"/>
      <c r="G51" s="104"/>
      <c r="H51" s="104"/>
      <c r="I51" s="104"/>
      <c r="J51" s="130"/>
    </row>
    <row r="52" spans="2:10" ht="15.75" thickBot="1">
      <c r="B52" s="172"/>
      <c r="C52" s="163"/>
      <c r="D52" s="173"/>
      <c r="E52" s="163"/>
      <c r="F52" s="163"/>
      <c r="G52" s="163"/>
      <c r="H52" s="163"/>
      <c r="I52" s="163"/>
      <c r="J52" s="140"/>
    </row>
    <row r="53" spans="2:10">
      <c r="B53" s="156" t="s">
        <v>38</v>
      </c>
      <c r="C53" s="115"/>
      <c r="D53" s="115"/>
      <c r="E53" s="115"/>
      <c r="F53" s="115"/>
      <c r="G53" s="115"/>
      <c r="H53" s="115"/>
      <c r="I53" s="115"/>
      <c r="J53" s="116"/>
    </row>
    <row r="54" spans="2:10">
      <c r="B54" s="127"/>
      <c r="C54" s="104"/>
      <c r="D54" s="104"/>
      <c r="E54" s="104"/>
      <c r="F54" s="104"/>
      <c r="G54" s="104"/>
      <c r="H54" s="104"/>
      <c r="I54" s="104"/>
      <c r="J54" s="130"/>
    </row>
    <row r="55" spans="2:10">
      <c r="B55" s="157" t="s">
        <v>162</v>
      </c>
      <c r="C55" s="104"/>
      <c r="D55" s="104"/>
      <c r="E55" s="104"/>
      <c r="F55" s="104"/>
      <c r="G55" s="104"/>
      <c r="H55" s="104"/>
      <c r="I55" s="104"/>
      <c r="J55" s="130"/>
    </row>
    <row r="56" spans="2:10">
      <c r="B56" s="157" t="s">
        <v>164</v>
      </c>
      <c r="C56" s="128" t="s">
        <v>25</v>
      </c>
      <c r="D56" s="144">
        <v>0.09</v>
      </c>
      <c r="E56" s="104"/>
      <c r="F56" s="104"/>
      <c r="G56" s="104" t="s">
        <v>165</v>
      </c>
      <c r="H56" s="104"/>
      <c r="I56" s="104"/>
      <c r="J56" s="130"/>
    </row>
    <row r="57" spans="2:10">
      <c r="B57" s="127" t="s">
        <v>163</v>
      </c>
      <c r="C57" s="128" t="s">
        <v>25</v>
      </c>
      <c r="D57" s="129">
        <v>0.6</v>
      </c>
      <c r="E57" s="104"/>
      <c r="F57" s="104"/>
      <c r="G57" s="104"/>
      <c r="H57" s="104"/>
      <c r="I57" s="104"/>
      <c r="J57" s="130"/>
    </row>
    <row r="58" spans="2:10">
      <c r="B58" s="127" t="s">
        <v>195</v>
      </c>
      <c r="C58" s="128" t="s">
        <v>196</v>
      </c>
      <c r="D58" s="129">
        <f>44/12</f>
        <v>3.6666666666666665</v>
      </c>
      <c r="E58" s="104"/>
      <c r="F58" s="104"/>
      <c r="G58" s="104"/>
      <c r="H58" s="104"/>
      <c r="I58" s="104"/>
      <c r="J58" s="130"/>
    </row>
    <row r="59" spans="2:10">
      <c r="B59" s="127" t="s">
        <v>173</v>
      </c>
      <c r="C59" s="128" t="s">
        <v>25</v>
      </c>
      <c r="D59" s="129">
        <v>0.57999999999999996</v>
      </c>
      <c r="E59" s="104"/>
      <c r="F59" s="104"/>
      <c r="G59" s="104" t="s">
        <v>168</v>
      </c>
      <c r="H59" s="104"/>
      <c r="I59" s="104"/>
      <c r="J59" s="130"/>
    </row>
    <row r="60" spans="2:10">
      <c r="B60" s="127"/>
      <c r="C60" s="128"/>
      <c r="D60" s="158"/>
      <c r="E60" s="104"/>
      <c r="F60" s="104"/>
      <c r="G60" s="104"/>
      <c r="H60" s="104"/>
      <c r="I60" s="104"/>
      <c r="J60" s="130"/>
    </row>
    <row r="61" spans="2:10">
      <c r="B61" s="127" t="s">
        <v>170</v>
      </c>
      <c r="C61" s="131" t="s">
        <v>169</v>
      </c>
      <c r="D61" s="159">
        <v>6500</v>
      </c>
      <c r="E61" s="104"/>
      <c r="F61" s="104"/>
      <c r="G61" s="104" t="s">
        <v>168</v>
      </c>
      <c r="H61" s="104"/>
      <c r="I61" s="104"/>
      <c r="J61" s="130"/>
    </row>
    <row r="62" spans="2:10">
      <c r="B62" s="127" t="s">
        <v>171</v>
      </c>
      <c r="C62" s="131" t="s">
        <v>172</v>
      </c>
      <c r="D62" s="159">
        <v>150</v>
      </c>
      <c r="E62" s="104"/>
      <c r="F62" s="104"/>
      <c r="G62" s="104" t="s">
        <v>168</v>
      </c>
      <c r="H62" s="104"/>
      <c r="I62" s="104"/>
      <c r="J62" s="130"/>
    </row>
    <row r="63" spans="2:10">
      <c r="B63" s="127" t="s">
        <v>197</v>
      </c>
      <c r="C63" s="128" t="s">
        <v>196</v>
      </c>
      <c r="D63" s="160">
        <f>10^(-6)</f>
        <v>9.9999999999999995E-7</v>
      </c>
      <c r="E63" s="104"/>
      <c r="F63" s="104"/>
      <c r="G63" s="104"/>
      <c r="H63" s="104"/>
      <c r="I63" s="104"/>
      <c r="J63" s="130"/>
    </row>
    <row r="64" spans="2:10">
      <c r="B64" s="127"/>
      <c r="C64" s="131"/>
      <c r="D64" s="133"/>
      <c r="E64" s="104"/>
      <c r="F64" s="104"/>
      <c r="G64" s="104"/>
      <c r="H64" s="104"/>
      <c r="I64" s="104"/>
      <c r="J64" s="130"/>
    </row>
    <row r="65" spans="2:16" ht="30">
      <c r="B65" s="134" t="s">
        <v>186</v>
      </c>
      <c r="C65" s="8"/>
      <c r="D65" s="462" t="s">
        <v>221</v>
      </c>
      <c r="E65" s="462" t="s">
        <v>85</v>
      </c>
      <c r="F65" s="462" t="s">
        <v>87</v>
      </c>
      <c r="G65" s="462" t="s">
        <v>222</v>
      </c>
      <c r="H65" s="462" t="s">
        <v>115</v>
      </c>
      <c r="I65" s="462" t="s">
        <v>223</v>
      </c>
      <c r="J65" s="463" t="s">
        <v>224</v>
      </c>
    </row>
    <row r="66" spans="2:16">
      <c r="B66" s="460" t="s">
        <v>36</v>
      </c>
      <c r="C66" s="128" t="s">
        <v>25</v>
      </c>
      <c r="D66" s="136">
        <f>'MSW characteristics'!B44*'MSW characteristics'!B47*'MSW characteristics'!B48</f>
        <v>0</v>
      </c>
      <c r="E66" s="136">
        <f>'MSW characteristics'!C44*'MSW characteristics'!C47*'MSW characteristics'!C48</f>
        <v>0</v>
      </c>
      <c r="F66" s="136">
        <f>'MSW characteristics'!D44*'MSW characteristics'!D47*'MSW characteristics'!D48</f>
        <v>4.1400000000000005E-3</v>
      </c>
      <c r="G66" s="136">
        <f>'MSW characteristics'!E44*'MSW characteristics'!E47*'MSW characteristics'!E48</f>
        <v>0</v>
      </c>
      <c r="H66" s="136">
        <f>'MSW characteristics'!F44*'MSW characteristics'!F47*'MSW characteristics'!F48</f>
        <v>8.0000000000000016E-2</v>
      </c>
      <c r="I66" s="136">
        <f>'MSW characteristics'!G44*'MSW characteristics'!G47*'MSW characteristics'!G48</f>
        <v>2.7999999999999997E-2</v>
      </c>
      <c r="J66" s="461">
        <f>'MSW characteristics'!H44*'MSW characteristics'!H47*'MSW characteristics'!H48</f>
        <v>2.7E-2</v>
      </c>
      <c r="K66" s="136"/>
      <c r="L66" s="136"/>
      <c r="M66" s="136"/>
      <c r="N66" s="136"/>
      <c r="O66" s="136"/>
      <c r="P66" s="136"/>
    </row>
    <row r="67" spans="2:16" ht="15.75" thickBot="1">
      <c r="B67" s="161"/>
      <c r="C67" s="162"/>
      <c r="D67" s="163"/>
      <c r="E67" s="163"/>
      <c r="F67" s="163"/>
      <c r="G67" s="163"/>
      <c r="H67" s="163"/>
      <c r="I67" s="163"/>
      <c r="J67" s="140"/>
    </row>
    <row r="68" spans="2:16">
      <c r="B68" s="141" t="s">
        <v>174</v>
      </c>
      <c r="C68" s="177"/>
      <c r="D68" s="115"/>
      <c r="E68" s="115"/>
      <c r="F68" s="115"/>
      <c r="G68" s="115"/>
      <c r="H68" s="115"/>
      <c r="I68" s="115"/>
      <c r="J68" s="116"/>
    </row>
    <row r="69" spans="2:16">
      <c r="B69" s="100"/>
      <c r="C69" s="99"/>
      <c r="D69" s="104"/>
      <c r="E69" s="104"/>
      <c r="F69" s="104"/>
      <c r="G69" s="104"/>
      <c r="H69" s="104"/>
      <c r="I69" s="104"/>
      <c r="J69" s="130"/>
    </row>
    <row r="70" spans="2:16">
      <c r="B70" s="157" t="s">
        <v>175</v>
      </c>
      <c r="C70" s="104"/>
      <c r="D70" s="165" t="s">
        <v>177</v>
      </c>
      <c r="E70" s="165" t="s">
        <v>178</v>
      </c>
      <c r="F70" s="104"/>
      <c r="G70" s="165" t="s">
        <v>185</v>
      </c>
      <c r="H70" s="104"/>
      <c r="I70" s="104"/>
      <c r="J70" s="130"/>
    </row>
    <row r="71" spans="2:16">
      <c r="B71" s="127" t="s">
        <v>176</v>
      </c>
      <c r="C71" s="104" t="s">
        <v>179</v>
      </c>
      <c r="D71" s="104">
        <v>10</v>
      </c>
      <c r="E71" s="104">
        <v>4</v>
      </c>
      <c r="F71" s="104"/>
      <c r="G71" s="1942" t="s">
        <v>184</v>
      </c>
      <c r="H71" s="104"/>
      <c r="I71" s="104"/>
      <c r="J71" s="130"/>
    </row>
    <row r="72" spans="2:16">
      <c r="B72" s="127" t="s">
        <v>180</v>
      </c>
      <c r="C72" s="104" t="s">
        <v>179</v>
      </c>
      <c r="D72" s="104">
        <v>2</v>
      </c>
      <c r="E72" s="104">
        <v>0.8</v>
      </c>
      <c r="F72" s="104"/>
      <c r="G72" s="1942"/>
      <c r="H72" s="104"/>
      <c r="I72" s="104"/>
      <c r="J72" s="130"/>
    </row>
    <row r="73" spans="2:16">
      <c r="B73" s="157" t="s">
        <v>181</v>
      </c>
      <c r="C73" s="104"/>
      <c r="D73" s="104"/>
      <c r="E73" s="104"/>
      <c r="F73" s="104"/>
      <c r="G73" s="1942"/>
      <c r="H73" s="104"/>
      <c r="I73" s="104"/>
      <c r="J73" s="130"/>
    </row>
    <row r="74" spans="2:16">
      <c r="B74" s="127" t="s">
        <v>176</v>
      </c>
      <c r="C74" s="104" t="s">
        <v>183</v>
      </c>
      <c r="D74" s="104">
        <v>0.6</v>
      </c>
      <c r="E74" s="104">
        <v>0.24</v>
      </c>
      <c r="F74" s="104"/>
      <c r="G74" s="1942"/>
      <c r="H74" s="104"/>
      <c r="I74" s="104"/>
      <c r="J74" s="130"/>
    </row>
    <row r="75" spans="2:16">
      <c r="B75" s="127" t="s">
        <v>180</v>
      </c>
      <c r="C75" s="104" t="s">
        <v>183</v>
      </c>
      <c r="D75" s="169" t="s">
        <v>182</v>
      </c>
      <c r="E75" s="169" t="s">
        <v>182</v>
      </c>
      <c r="F75" s="104"/>
      <c r="G75" s="1942"/>
      <c r="H75" s="104"/>
      <c r="I75" s="104"/>
      <c r="J75" s="130"/>
    </row>
    <row r="76" spans="2:16" ht="15.75" thickBot="1">
      <c r="B76" s="172"/>
      <c r="C76" s="163"/>
      <c r="D76" s="163"/>
      <c r="E76" s="163"/>
      <c r="F76" s="163"/>
      <c r="G76" s="163"/>
      <c r="H76" s="163"/>
      <c r="I76" s="163"/>
      <c r="J76" s="140"/>
    </row>
    <row r="77" spans="2:16">
      <c r="B77" s="141" t="s">
        <v>198</v>
      </c>
      <c r="C77" s="115"/>
      <c r="D77" s="115"/>
      <c r="E77" s="115"/>
      <c r="F77" s="115"/>
      <c r="G77" s="115"/>
      <c r="H77" s="115"/>
      <c r="I77" s="115"/>
      <c r="J77" s="116"/>
    </row>
    <row r="78" spans="2:16">
      <c r="B78" s="127"/>
      <c r="C78" s="104"/>
      <c r="D78" s="104"/>
      <c r="E78" s="104"/>
      <c r="F78" s="104"/>
      <c r="G78" s="104"/>
      <c r="H78" s="104"/>
      <c r="I78" s="104"/>
      <c r="J78" s="130"/>
    </row>
    <row r="79" spans="2:16">
      <c r="B79" s="142" t="s">
        <v>199</v>
      </c>
      <c r="C79" s="104"/>
      <c r="D79" s="104"/>
      <c r="E79" s="104"/>
      <c r="F79" s="104"/>
      <c r="G79" s="104"/>
      <c r="H79" s="104"/>
      <c r="I79" s="104"/>
      <c r="J79" s="130"/>
    </row>
    <row r="80" spans="2:16">
      <c r="B80" s="127"/>
      <c r="C80" s="104"/>
      <c r="D80" s="104"/>
      <c r="E80" s="104"/>
      <c r="F80" s="104"/>
      <c r="G80" s="104"/>
      <c r="H80" s="104"/>
      <c r="I80" s="104"/>
      <c r="J80" s="130"/>
    </row>
    <row r="81" spans="2:10" ht="15.75">
      <c r="B81" s="143" t="s">
        <v>206</v>
      </c>
      <c r="C81" s="567" t="s">
        <v>535</v>
      </c>
      <c r="D81" s="566"/>
      <c r="E81" s="104"/>
      <c r="F81" s="104"/>
      <c r="G81" s="104"/>
      <c r="H81" s="104"/>
      <c r="I81" s="104"/>
      <c r="J81" s="130"/>
    </row>
    <row r="82" spans="2:10">
      <c r="B82" s="143" t="s">
        <v>200</v>
      </c>
      <c r="C82" s="144"/>
      <c r="D82" s="145" t="s">
        <v>22</v>
      </c>
      <c r="E82" s="146"/>
      <c r="F82" s="146"/>
      <c r="G82" s="104"/>
      <c r="H82" s="104"/>
      <c r="I82" s="104"/>
      <c r="J82" s="130"/>
    </row>
    <row r="83" spans="2:10">
      <c r="B83" s="147" t="s">
        <v>201</v>
      </c>
      <c r="C83" s="148" t="s">
        <v>196</v>
      </c>
      <c r="D83" s="149">
        <v>1</v>
      </c>
      <c r="E83" s="146"/>
      <c r="F83" s="146"/>
      <c r="G83" s="104"/>
      <c r="H83" s="104"/>
      <c r="I83" s="104"/>
      <c r="J83" s="130"/>
    </row>
    <row r="84" spans="2:10">
      <c r="B84" s="147" t="s">
        <v>202</v>
      </c>
      <c r="C84" s="148" t="s">
        <v>196</v>
      </c>
      <c r="D84" s="149">
        <v>0.5</v>
      </c>
      <c r="E84" s="146"/>
      <c r="F84" s="146"/>
      <c r="G84" s="104"/>
      <c r="H84" s="104"/>
      <c r="I84" s="104"/>
      <c r="J84" s="130"/>
    </row>
    <row r="85" spans="2:10">
      <c r="B85" s="147" t="s">
        <v>203</v>
      </c>
      <c r="C85" s="148" t="s">
        <v>196</v>
      </c>
      <c r="D85" s="149">
        <v>0.8</v>
      </c>
      <c r="E85" s="146"/>
      <c r="F85" s="146"/>
      <c r="G85" s="104"/>
      <c r="H85" s="104"/>
      <c r="I85" s="104"/>
      <c r="J85" s="130"/>
    </row>
    <row r="86" spans="2:10">
      <c r="B86" s="147" t="s">
        <v>204</v>
      </c>
      <c r="C86" s="148" t="s">
        <v>196</v>
      </c>
      <c r="D86" s="149">
        <v>0.4</v>
      </c>
      <c r="E86" s="146"/>
      <c r="F86" s="146"/>
      <c r="G86" s="104"/>
      <c r="H86" s="104"/>
      <c r="I86" s="104"/>
      <c r="J86" s="130"/>
    </row>
    <row r="87" spans="2:10">
      <c r="B87" s="147" t="s">
        <v>205</v>
      </c>
      <c r="C87" s="148" t="s">
        <v>196</v>
      </c>
      <c r="D87" s="149">
        <v>0.6</v>
      </c>
      <c r="E87" s="146"/>
      <c r="F87" s="146"/>
      <c r="G87" s="104"/>
      <c r="H87" s="104"/>
      <c r="I87" s="104"/>
      <c r="J87" s="130"/>
    </row>
    <row r="88" spans="2:10">
      <c r="B88" s="127"/>
      <c r="C88" s="128"/>
      <c r="D88" s="146"/>
      <c r="E88" s="146"/>
      <c r="F88" s="146"/>
      <c r="G88" s="104"/>
      <c r="H88" s="104"/>
      <c r="I88" s="104"/>
      <c r="J88" s="130"/>
    </row>
    <row r="89" spans="2:10">
      <c r="B89" s="127" t="s">
        <v>210</v>
      </c>
      <c r="C89" s="104"/>
      <c r="D89" s="135" t="s">
        <v>209</v>
      </c>
      <c r="E89" s="146"/>
      <c r="F89" s="146"/>
      <c r="G89" s="104"/>
      <c r="H89" s="104"/>
      <c r="I89" s="104"/>
      <c r="J89" s="130"/>
    </row>
    <row r="90" spans="2:10">
      <c r="B90" s="127" t="s">
        <v>207</v>
      </c>
      <c r="C90" s="128" t="s">
        <v>196</v>
      </c>
      <c r="D90" s="105">
        <v>0</v>
      </c>
      <c r="E90" s="104"/>
      <c r="F90" s="104"/>
      <c r="G90" s="104"/>
      <c r="H90" s="104"/>
      <c r="I90" s="104"/>
      <c r="J90" s="130"/>
    </row>
    <row r="91" spans="2:10">
      <c r="B91" s="127" t="s">
        <v>208</v>
      </c>
      <c r="C91" s="128" t="s">
        <v>196</v>
      </c>
      <c r="D91" s="105">
        <v>0.1</v>
      </c>
      <c r="E91" s="104"/>
      <c r="F91" s="104"/>
      <c r="G91" s="104"/>
      <c r="H91" s="104"/>
      <c r="I91" s="104"/>
      <c r="J91" s="130"/>
    </row>
    <row r="92" spans="2:10">
      <c r="B92" s="127"/>
      <c r="C92" s="128"/>
      <c r="D92" s="290" t="s">
        <v>267</v>
      </c>
      <c r="E92" s="168" t="s">
        <v>315</v>
      </c>
      <c r="F92" s="168" t="s">
        <v>320</v>
      </c>
      <c r="G92" s="104"/>
      <c r="H92" s="104"/>
      <c r="I92" s="104"/>
      <c r="J92" s="130"/>
    </row>
    <row r="93" spans="2:10">
      <c r="B93" s="150" t="s">
        <v>213</v>
      </c>
      <c r="C93" s="99"/>
      <c r="D93" s="99" t="s">
        <v>216</v>
      </c>
      <c r="E93" s="99" t="s">
        <v>216</v>
      </c>
      <c r="F93" s="104"/>
      <c r="G93" s="104" t="s">
        <v>214</v>
      </c>
      <c r="H93" s="104"/>
      <c r="I93" s="104"/>
      <c r="J93" s="130"/>
    </row>
    <row r="94" spans="2:10">
      <c r="B94" s="150" t="s">
        <v>316</v>
      </c>
      <c r="C94" s="99"/>
      <c r="D94" s="99" t="s">
        <v>317</v>
      </c>
      <c r="E94" s="99">
        <v>0.2</v>
      </c>
      <c r="F94" s="104">
        <v>0.05</v>
      </c>
      <c r="G94" s="104"/>
      <c r="H94" s="104"/>
      <c r="I94" s="104"/>
      <c r="J94" s="130"/>
    </row>
    <row r="95" spans="2:10">
      <c r="B95" s="150" t="s">
        <v>260</v>
      </c>
      <c r="C95" s="99"/>
      <c r="D95" s="99">
        <v>0.5</v>
      </c>
      <c r="E95" s="104">
        <v>0.5</v>
      </c>
      <c r="F95" s="104">
        <v>0.5</v>
      </c>
      <c r="G95" s="104"/>
      <c r="H95" s="104"/>
      <c r="I95" s="104"/>
      <c r="J95" s="130"/>
    </row>
    <row r="96" spans="2:10" ht="71.45" customHeight="1">
      <c r="B96" s="174" t="s">
        <v>257</v>
      </c>
      <c r="C96" s="175"/>
      <c r="D96" s="176">
        <f>'MSW characteristics'!C12</f>
        <v>0.05</v>
      </c>
      <c r="E96" s="293">
        <v>0.05</v>
      </c>
      <c r="F96" s="176">
        <v>0.06</v>
      </c>
      <c r="G96" s="199" t="s">
        <v>215</v>
      </c>
      <c r="H96" s="99"/>
      <c r="I96" s="99"/>
      <c r="J96" s="130"/>
    </row>
    <row r="97" spans="2:20">
      <c r="B97" s="150" t="s">
        <v>258</v>
      </c>
      <c r="C97" s="99" t="s">
        <v>211</v>
      </c>
      <c r="D97" s="106">
        <f>LN(2)/D96</f>
        <v>13.862943611198904</v>
      </c>
      <c r="E97" s="106">
        <f>LN(2)/E96</f>
        <v>13.862943611198904</v>
      </c>
      <c r="F97" s="106">
        <f>LN(2)/F96</f>
        <v>11.552453009332423</v>
      </c>
      <c r="G97" s="99" t="s">
        <v>212</v>
      </c>
      <c r="H97" s="99"/>
      <c r="I97" s="99"/>
      <c r="J97" s="130"/>
    </row>
    <row r="98" spans="2:20">
      <c r="B98" s="150" t="s">
        <v>255</v>
      </c>
      <c r="C98" s="99" t="s">
        <v>256</v>
      </c>
      <c r="D98" s="106">
        <v>6</v>
      </c>
      <c r="E98" s="104">
        <v>6</v>
      </c>
      <c r="F98" s="104">
        <v>6</v>
      </c>
      <c r="G98" s="99"/>
      <c r="H98" s="99"/>
      <c r="I98" s="99"/>
      <c r="J98" s="130"/>
    </row>
    <row r="99" spans="2:20">
      <c r="B99" s="151" t="s">
        <v>248</v>
      </c>
      <c r="C99" s="108" t="s">
        <v>249</v>
      </c>
      <c r="D99" s="109">
        <f>EXP(-$D$96)</f>
        <v>0.95122942450071402</v>
      </c>
      <c r="E99" s="109">
        <f>EXP(-$E$96)</f>
        <v>0.95122942450071402</v>
      </c>
      <c r="F99" s="109">
        <f>EXP(-$F$96)</f>
        <v>0.94176453358424872</v>
      </c>
      <c r="G99" s="109"/>
      <c r="H99" s="99"/>
      <c r="I99" s="99"/>
      <c r="J99" s="130"/>
    </row>
    <row r="100" spans="2:20">
      <c r="B100" s="151" t="s">
        <v>250</v>
      </c>
      <c r="C100" s="108" t="s">
        <v>251</v>
      </c>
      <c r="D100" s="109">
        <f>D98+7</f>
        <v>13</v>
      </c>
      <c r="E100" s="109">
        <f>E98+7</f>
        <v>13</v>
      </c>
      <c r="F100" s="109">
        <f>F98+7</f>
        <v>13</v>
      </c>
      <c r="G100" s="109"/>
      <c r="H100" s="99"/>
      <c r="I100" s="99"/>
      <c r="J100" s="130"/>
    </row>
    <row r="101" spans="2:20">
      <c r="B101" s="151" t="s">
        <v>252</v>
      </c>
      <c r="C101" s="108" t="s">
        <v>253</v>
      </c>
      <c r="D101" s="109">
        <f>EXP(-$D$96*((13-D100)/12))</f>
        <v>1</v>
      </c>
      <c r="E101" s="109">
        <f>EXP(-$E$96*((13-E100)/12))</f>
        <v>1</v>
      </c>
      <c r="F101" s="109">
        <f>EXP(-$F$96*((13-F100)/12))</f>
        <v>1</v>
      </c>
      <c r="G101" s="109"/>
      <c r="H101" s="99"/>
      <c r="I101" s="99"/>
      <c r="J101" s="130"/>
    </row>
    <row r="102" spans="2:20">
      <c r="B102" s="151" t="s">
        <v>259</v>
      </c>
      <c r="C102" s="108" t="s">
        <v>254</v>
      </c>
      <c r="D102" s="110">
        <f>CH4_fraction</f>
        <v>0.5</v>
      </c>
      <c r="E102" s="291">
        <f>D102</f>
        <v>0.5</v>
      </c>
      <c r="F102" s="291">
        <f>E102</f>
        <v>0.5</v>
      </c>
      <c r="G102" s="110"/>
      <c r="H102" s="99"/>
      <c r="I102" s="99"/>
      <c r="J102" s="130"/>
    </row>
    <row r="103" spans="2:20" ht="15.75" thickBot="1">
      <c r="B103" s="201"/>
      <c r="C103" s="155"/>
      <c r="D103" s="155"/>
      <c r="E103" s="155"/>
      <c r="F103" s="153"/>
      <c r="G103" s="154"/>
      <c r="H103" s="162"/>
      <c r="I103" s="162"/>
      <c r="J103" s="140"/>
    </row>
    <row r="104" spans="2:20">
      <c r="B104" s="568" t="s">
        <v>521</v>
      </c>
      <c r="C104" s="107"/>
      <c r="D104" s="107"/>
      <c r="E104" s="107"/>
      <c r="F104" s="108"/>
      <c r="G104" s="111"/>
      <c r="H104" s="99"/>
      <c r="I104" s="99"/>
    </row>
    <row r="105" spans="2:20" ht="15.75">
      <c r="C105" s="112" t="s">
        <v>261</v>
      </c>
      <c r="Q105" s="1943" t="s">
        <v>262</v>
      </c>
      <c r="R105" s="1943"/>
      <c r="S105" s="1943"/>
      <c r="T105" s="1943"/>
    </row>
    <row r="107" spans="2:20">
      <c r="C107" t="s">
        <v>263</v>
      </c>
    </row>
    <row r="108" spans="2:20">
      <c r="C108" t="s">
        <v>264</v>
      </c>
    </row>
    <row r="109" spans="2:20">
      <c r="C109" t="s">
        <v>265</v>
      </c>
    </row>
    <row r="110" spans="2:20">
      <c r="C110" t="s">
        <v>266</v>
      </c>
    </row>
    <row r="111" spans="2:20" ht="15.75" thickBot="1"/>
    <row r="112" spans="2:20" ht="15.75" thickBot="1">
      <c r="B112" s="4"/>
      <c r="C112" s="1944" t="s">
        <v>267</v>
      </c>
      <c r="D112" s="1945"/>
      <c r="E112" s="1945"/>
      <c r="F112" s="1945"/>
      <c r="G112" s="1945"/>
      <c r="H112" s="1946"/>
      <c r="I112" s="1944" t="s">
        <v>268</v>
      </c>
      <c r="J112" s="1945"/>
      <c r="K112" s="1945"/>
      <c r="L112" s="1945"/>
      <c r="M112" s="1945"/>
      <c r="N112" s="1946"/>
      <c r="O112" s="4"/>
      <c r="R112" s="288" t="s">
        <v>267</v>
      </c>
      <c r="S112" s="289" t="s">
        <v>268</v>
      </c>
    </row>
    <row r="113" spans="2:20" ht="51">
      <c r="B113" s="273"/>
      <c r="C113" s="274" t="s">
        <v>269</v>
      </c>
      <c r="D113" s="275" t="s">
        <v>270</v>
      </c>
      <c r="E113" s="275" t="s">
        <v>271</v>
      </c>
      <c r="F113" s="275" t="s">
        <v>272</v>
      </c>
      <c r="G113" s="275" t="s">
        <v>273</v>
      </c>
      <c r="H113" s="276" t="s">
        <v>274</v>
      </c>
      <c r="I113" s="274" t="s">
        <v>269</v>
      </c>
      <c r="J113" s="275" t="s">
        <v>270</v>
      </c>
      <c r="K113" s="275" t="s">
        <v>271</v>
      </c>
      <c r="L113" s="275" t="s">
        <v>272</v>
      </c>
      <c r="M113" s="275" t="s">
        <v>273</v>
      </c>
      <c r="N113" s="276" t="s">
        <v>274</v>
      </c>
      <c r="O113" s="277" t="s">
        <v>275</v>
      </c>
      <c r="P113" s="113"/>
      <c r="Q113" s="113"/>
      <c r="R113" s="1947" t="s">
        <v>276</v>
      </c>
      <c r="S113" s="1947" t="s">
        <v>277</v>
      </c>
      <c r="T113" s="113"/>
    </row>
    <row r="114" spans="2:20" ht="15.75" thickBot="1">
      <c r="B114" s="278"/>
      <c r="C114" s="278" t="s">
        <v>22</v>
      </c>
      <c r="D114" s="279" t="s">
        <v>22</v>
      </c>
      <c r="E114" s="279" t="s">
        <v>22</v>
      </c>
      <c r="F114" s="279" t="s">
        <v>22</v>
      </c>
      <c r="G114" s="279" t="s">
        <v>22</v>
      </c>
      <c r="H114" s="280"/>
      <c r="I114" s="278" t="s">
        <v>22</v>
      </c>
      <c r="J114" s="279" t="s">
        <v>22</v>
      </c>
      <c r="K114" s="279" t="s">
        <v>22</v>
      </c>
      <c r="L114" s="279" t="s">
        <v>22</v>
      </c>
      <c r="M114" s="279" t="s">
        <v>22</v>
      </c>
      <c r="N114" s="280"/>
      <c r="O114" s="281"/>
      <c r="P114" s="5"/>
      <c r="Q114" s="5"/>
      <c r="R114" s="1948"/>
      <c r="S114" s="1948"/>
      <c r="T114" s="5"/>
    </row>
    <row r="115" spans="2:20" ht="15.75" thickBot="1">
      <c r="B115" s="282" t="s">
        <v>278</v>
      </c>
      <c r="C115" s="259">
        <v>0.4</v>
      </c>
      <c r="D115" s="260">
        <v>0.8</v>
      </c>
      <c r="E115" s="260">
        <v>1</v>
      </c>
      <c r="F115" s="260">
        <v>0.5</v>
      </c>
      <c r="G115" s="260">
        <v>0.6</v>
      </c>
      <c r="H115" s="261"/>
      <c r="I115" s="259">
        <v>0.4</v>
      </c>
      <c r="J115" s="260">
        <v>0.8</v>
      </c>
      <c r="K115" s="260">
        <v>1</v>
      </c>
      <c r="L115" s="260">
        <v>0.5</v>
      </c>
      <c r="M115" s="260">
        <v>0.6</v>
      </c>
      <c r="N115" s="261"/>
      <c r="O115" s="262"/>
      <c r="P115" s="5"/>
      <c r="Q115" s="5"/>
      <c r="R115" s="1948"/>
      <c r="S115" s="1948"/>
      <c r="T115" s="5"/>
    </row>
    <row r="116" spans="2:20" ht="15.75" thickBot="1">
      <c r="B116" s="282" t="s">
        <v>279</v>
      </c>
      <c r="C116" s="263">
        <f>C115</f>
        <v>0.4</v>
      </c>
      <c r="D116" s="264">
        <v>0.8</v>
      </c>
      <c r="E116" s="264">
        <v>1</v>
      </c>
      <c r="F116" s="264">
        <v>0.5</v>
      </c>
      <c r="G116" s="264">
        <v>0.6</v>
      </c>
      <c r="H116" s="265"/>
      <c r="I116" s="263">
        <v>0.4</v>
      </c>
      <c r="J116" s="264">
        <v>0.8</v>
      </c>
      <c r="K116" s="264">
        <v>1</v>
      </c>
      <c r="L116" s="264">
        <v>0.5</v>
      </c>
      <c r="M116" s="264">
        <v>0.6</v>
      </c>
      <c r="N116" s="265"/>
      <c r="O116" s="266"/>
      <c r="P116" s="5"/>
      <c r="Q116" s="5"/>
      <c r="R116" s="1948"/>
      <c r="S116" s="1948"/>
      <c r="T116" s="5"/>
    </row>
    <row r="117" spans="2:20" ht="15.75" thickBot="1">
      <c r="B117" s="267"/>
      <c r="C117" s="267"/>
      <c r="D117" s="268"/>
      <c r="E117" s="268"/>
      <c r="F117" s="268"/>
      <c r="G117" s="268"/>
      <c r="H117" s="269"/>
      <c r="I117" s="267"/>
      <c r="J117" s="268"/>
      <c r="K117" s="268"/>
      <c r="L117" s="268"/>
      <c r="M117" s="268"/>
      <c r="N117" s="269"/>
      <c r="O117" s="270"/>
      <c r="P117" s="5"/>
      <c r="Q117" s="5"/>
      <c r="R117" s="1948"/>
      <c r="S117" s="1948"/>
      <c r="T117" s="5"/>
    </row>
    <row r="118" spans="2:20" ht="15.75" thickBot="1">
      <c r="B118" s="283"/>
      <c r="C118" s="1950" t="s">
        <v>280</v>
      </c>
      <c r="D118" s="1951"/>
      <c r="E118" s="1951"/>
      <c r="F118" s="1951"/>
      <c r="G118" s="1951"/>
      <c r="H118" s="1952"/>
      <c r="I118" s="1950" t="s">
        <v>280</v>
      </c>
      <c r="J118" s="1951"/>
      <c r="K118" s="1951"/>
      <c r="L118" s="1951"/>
      <c r="M118" s="1951"/>
      <c r="N118" s="1952"/>
      <c r="O118" s="284"/>
      <c r="P118" s="5"/>
      <c r="Q118" s="5"/>
      <c r="R118" s="1948"/>
      <c r="S118" s="1948"/>
      <c r="T118" s="5"/>
    </row>
    <row r="119" spans="2:20" ht="15.75" thickBot="1">
      <c r="B119" s="282" t="s">
        <v>281</v>
      </c>
      <c r="C119" s="271">
        <v>0</v>
      </c>
      <c r="D119" s="272">
        <v>0</v>
      </c>
      <c r="E119" s="272">
        <v>1</v>
      </c>
      <c r="F119" s="272">
        <v>0</v>
      </c>
      <c r="G119" s="272">
        <v>0</v>
      </c>
      <c r="H119" s="1953" t="s">
        <v>282</v>
      </c>
      <c r="I119" s="271">
        <v>0.2</v>
      </c>
      <c r="J119" s="272">
        <v>0.3</v>
      </c>
      <c r="K119" s="272">
        <v>0.25</v>
      </c>
      <c r="L119" s="272">
        <v>0.05</v>
      </c>
      <c r="M119" s="272">
        <v>0.2</v>
      </c>
      <c r="N119" s="1953" t="s">
        <v>282</v>
      </c>
      <c r="O119" s="285"/>
      <c r="P119" s="5"/>
      <c r="Q119" s="5"/>
      <c r="R119" s="1949"/>
      <c r="S119" s="1949"/>
      <c r="T119" s="5"/>
    </row>
    <row r="120" spans="2:20" ht="15.75" thickBot="1">
      <c r="B120" s="278" t="s">
        <v>217</v>
      </c>
      <c r="C120" s="810" t="s">
        <v>229</v>
      </c>
      <c r="D120" s="811" t="s">
        <v>229</v>
      </c>
      <c r="E120" s="811" t="s">
        <v>229</v>
      </c>
      <c r="F120" s="811" t="s">
        <v>229</v>
      </c>
      <c r="G120" s="811" t="s">
        <v>229</v>
      </c>
      <c r="H120" s="1954"/>
      <c r="I120" s="810" t="s">
        <v>229</v>
      </c>
      <c r="J120" s="811" t="s">
        <v>229</v>
      </c>
      <c r="K120" s="811" t="s">
        <v>229</v>
      </c>
      <c r="L120" s="811" t="s">
        <v>229</v>
      </c>
      <c r="M120" s="811" t="s">
        <v>229</v>
      </c>
      <c r="N120" s="1954"/>
      <c r="O120" s="281"/>
      <c r="P120" s="5"/>
      <c r="Q120" s="5"/>
      <c r="R120" s="817" t="s">
        <v>283</v>
      </c>
      <c r="S120" s="818" t="s">
        <v>283</v>
      </c>
      <c r="T120" s="5"/>
    </row>
    <row r="121" spans="2:20">
      <c r="B121" s="812">
        <f>year</f>
        <v>1950</v>
      </c>
      <c r="C121" s="734">
        <v>0</v>
      </c>
      <c r="D121" s="734">
        <v>0</v>
      </c>
      <c r="E121" s="734">
        <v>0.4</v>
      </c>
      <c r="F121" s="734">
        <v>0.3</v>
      </c>
      <c r="G121" s="734">
        <v>0.3</v>
      </c>
      <c r="H121" s="814">
        <f t="shared" ref="H121:H152" si="1">SUM(C121:G121)</f>
        <v>1</v>
      </c>
      <c r="I121" s="815">
        <v>0.2</v>
      </c>
      <c r="J121" s="816">
        <v>0.3</v>
      </c>
      <c r="K121" s="816">
        <v>0.25</v>
      </c>
      <c r="L121" s="816">
        <v>0.05</v>
      </c>
      <c r="M121" s="816">
        <v>0.2</v>
      </c>
      <c r="N121" s="813">
        <f t="shared" ref="N121:N152" si="2">SUM(I121:M121)</f>
        <v>1</v>
      </c>
      <c r="O121" s="780"/>
      <c r="P121" s="4"/>
      <c r="R121" s="806">
        <f t="shared" ref="R121:R152" si="3">C121*C$116+D121*D$116+E121*E$116+F121*F$116+G121*G$116</f>
        <v>0.73</v>
      </c>
      <c r="S121" s="807">
        <f t="shared" ref="S121:S152" si="4">I121*$I$116+J121*$J$116+K121*$K$116+L121*L$116+M121*$M$116</f>
        <v>0.71500000000000008</v>
      </c>
    </row>
    <row r="122" spans="2:20">
      <c r="B122" s="808">
        <f t="shared" ref="B122:B153" si="5">B121+1</f>
        <v>1951</v>
      </c>
      <c r="C122" s="604">
        <f t="shared" ref="C122:C153" si="6">C121</f>
        <v>0</v>
      </c>
      <c r="D122" s="604">
        <f t="shared" ref="D122:D153" si="7">D121</f>
        <v>0</v>
      </c>
      <c r="E122" s="604">
        <f t="shared" ref="E122:E153" si="8">E121</f>
        <v>0.4</v>
      </c>
      <c r="F122" s="604">
        <f t="shared" ref="F122:F153" si="9">F121</f>
        <v>0.3</v>
      </c>
      <c r="G122" s="604">
        <f t="shared" ref="G122:G153" si="10">G121</f>
        <v>0.3</v>
      </c>
      <c r="H122" s="560">
        <f t="shared" si="1"/>
        <v>1</v>
      </c>
      <c r="I122" s="802">
        <v>0.2</v>
      </c>
      <c r="J122" s="779">
        <v>0.3</v>
      </c>
      <c r="K122" s="779">
        <v>0.25</v>
      </c>
      <c r="L122" s="779">
        <v>0.05</v>
      </c>
      <c r="M122" s="779">
        <v>0.2</v>
      </c>
      <c r="N122" s="786">
        <f t="shared" si="2"/>
        <v>1</v>
      </c>
      <c r="O122" s="780"/>
      <c r="P122" s="4"/>
      <c r="R122" s="117">
        <f t="shared" si="3"/>
        <v>0.73</v>
      </c>
      <c r="S122" s="205">
        <f t="shared" si="4"/>
        <v>0.71500000000000008</v>
      </c>
    </row>
    <row r="123" spans="2:20">
      <c r="B123" s="808">
        <f t="shared" si="5"/>
        <v>1952</v>
      </c>
      <c r="C123" s="604">
        <f t="shared" si="6"/>
        <v>0</v>
      </c>
      <c r="D123" s="604">
        <f t="shared" si="7"/>
        <v>0</v>
      </c>
      <c r="E123" s="604">
        <f t="shared" si="8"/>
        <v>0.4</v>
      </c>
      <c r="F123" s="604">
        <f t="shared" si="9"/>
        <v>0.3</v>
      </c>
      <c r="G123" s="604">
        <f t="shared" si="10"/>
        <v>0.3</v>
      </c>
      <c r="H123" s="560">
        <f t="shared" si="1"/>
        <v>1</v>
      </c>
      <c r="I123" s="802">
        <v>0.2</v>
      </c>
      <c r="J123" s="779">
        <v>0.3</v>
      </c>
      <c r="K123" s="779">
        <v>0.25</v>
      </c>
      <c r="L123" s="779">
        <v>0.05</v>
      </c>
      <c r="M123" s="779">
        <v>0.2</v>
      </c>
      <c r="N123" s="786">
        <f t="shared" si="2"/>
        <v>1</v>
      </c>
      <c r="O123" s="780"/>
      <c r="P123" s="4"/>
      <c r="R123" s="117">
        <f t="shared" si="3"/>
        <v>0.73</v>
      </c>
      <c r="S123" s="205">
        <f t="shared" si="4"/>
        <v>0.71500000000000008</v>
      </c>
    </row>
    <row r="124" spans="2:20">
      <c r="B124" s="808">
        <f t="shared" si="5"/>
        <v>1953</v>
      </c>
      <c r="C124" s="604">
        <f t="shared" si="6"/>
        <v>0</v>
      </c>
      <c r="D124" s="604">
        <f t="shared" si="7"/>
        <v>0</v>
      </c>
      <c r="E124" s="604">
        <f t="shared" si="8"/>
        <v>0.4</v>
      </c>
      <c r="F124" s="604">
        <f t="shared" si="9"/>
        <v>0.3</v>
      </c>
      <c r="G124" s="604">
        <f t="shared" si="10"/>
        <v>0.3</v>
      </c>
      <c r="H124" s="560">
        <f t="shared" si="1"/>
        <v>1</v>
      </c>
      <c r="I124" s="802">
        <v>0.2</v>
      </c>
      <c r="J124" s="779">
        <v>0.3</v>
      </c>
      <c r="K124" s="779">
        <v>0.25</v>
      </c>
      <c r="L124" s="779">
        <v>0.05</v>
      </c>
      <c r="M124" s="779">
        <v>0.2</v>
      </c>
      <c r="N124" s="786">
        <f t="shared" si="2"/>
        <v>1</v>
      </c>
      <c r="O124" s="780"/>
      <c r="P124" s="4"/>
      <c r="R124" s="117">
        <f t="shared" si="3"/>
        <v>0.73</v>
      </c>
      <c r="S124" s="205">
        <f t="shared" si="4"/>
        <v>0.71500000000000008</v>
      </c>
    </row>
    <row r="125" spans="2:20">
      <c r="B125" s="808">
        <f t="shared" si="5"/>
        <v>1954</v>
      </c>
      <c r="C125" s="604">
        <f t="shared" si="6"/>
        <v>0</v>
      </c>
      <c r="D125" s="604">
        <f t="shared" si="7"/>
        <v>0</v>
      </c>
      <c r="E125" s="604">
        <f t="shared" si="8"/>
        <v>0.4</v>
      </c>
      <c r="F125" s="604">
        <f t="shared" si="9"/>
        <v>0.3</v>
      </c>
      <c r="G125" s="604">
        <f t="shared" si="10"/>
        <v>0.3</v>
      </c>
      <c r="H125" s="560">
        <f t="shared" si="1"/>
        <v>1</v>
      </c>
      <c r="I125" s="802">
        <v>0.2</v>
      </c>
      <c r="J125" s="779">
        <v>0.3</v>
      </c>
      <c r="K125" s="779">
        <v>0.25</v>
      </c>
      <c r="L125" s="779">
        <v>0.05</v>
      </c>
      <c r="M125" s="779">
        <v>0.2</v>
      </c>
      <c r="N125" s="786">
        <f t="shared" si="2"/>
        <v>1</v>
      </c>
      <c r="O125" s="780"/>
      <c r="P125" s="4"/>
      <c r="R125" s="117">
        <f t="shared" si="3"/>
        <v>0.73</v>
      </c>
      <c r="S125" s="205">
        <f t="shared" si="4"/>
        <v>0.71500000000000008</v>
      </c>
    </row>
    <row r="126" spans="2:20">
      <c r="B126" s="808">
        <f t="shared" si="5"/>
        <v>1955</v>
      </c>
      <c r="C126" s="604">
        <f t="shared" si="6"/>
        <v>0</v>
      </c>
      <c r="D126" s="604">
        <f t="shared" si="7"/>
        <v>0</v>
      </c>
      <c r="E126" s="604">
        <f t="shared" si="8"/>
        <v>0.4</v>
      </c>
      <c r="F126" s="604">
        <f t="shared" si="9"/>
        <v>0.3</v>
      </c>
      <c r="G126" s="604">
        <f t="shared" si="10"/>
        <v>0.3</v>
      </c>
      <c r="H126" s="560">
        <f t="shared" si="1"/>
        <v>1</v>
      </c>
      <c r="I126" s="802">
        <v>0.2</v>
      </c>
      <c r="J126" s="779">
        <v>0.3</v>
      </c>
      <c r="K126" s="779">
        <v>0.25</v>
      </c>
      <c r="L126" s="779">
        <v>0.05</v>
      </c>
      <c r="M126" s="779">
        <v>0.2</v>
      </c>
      <c r="N126" s="786">
        <f t="shared" si="2"/>
        <v>1</v>
      </c>
      <c r="O126" s="780"/>
      <c r="P126" s="4"/>
      <c r="R126" s="117">
        <f t="shared" si="3"/>
        <v>0.73</v>
      </c>
      <c r="S126" s="205">
        <f t="shared" si="4"/>
        <v>0.71500000000000008</v>
      </c>
    </row>
    <row r="127" spans="2:20">
      <c r="B127" s="808">
        <f t="shared" si="5"/>
        <v>1956</v>
      </c>
      <c r="C127" s="604">
        <f t="shared" si="6"/>
        <v>0</v>
      </c>
      <c r="D127" s="604">
        <f t="shared" si="7"/>
        <v>0</v>
      </c>
      <c r="E127" s="604">
        <f t="shared" si="8"/>
        <v>0.4</v>
      </c>
      <c r="F127" s="604">
        <f t="shared" si="9"/>
        <v>0.3</v>
      </c>
      <c r="G127" s="604">
        <f t="shared" si="10"/>
        <v>0.3</v>
      </c>
      <c r="H127" s="560">
        <f t="shared" si="1"/>
        <v>1</v>
      </c>
      <c r="I127" s="802">
        <v>0.2</v>
      </c>
      <c r="J127" s="779">
        <v>0.3</v>
      </c>
      <c r="K127" s="779">
        <v>0.25</v>
      </c>
      <c r="L127" s="779">
        <v>0.05</v>
      </c>
      <c r="M127" s="779">
        <v>0.2</v>
      </c>
      <c r="N127" s="786">
        <f t="shared" si="2"/>
        <v>1</v>
      </c>
      <c r="O127" s="780"/>
      <c r="P127" s="4"/>
      <c r="R127" s="117">
        <f t="shared" si="3"/>
        <v>0.73</v>
      </c>
      <c r="S127" s="205">
        <f t="shared" si="4"/>
        <v>0.71500000000000008</v>
      </c>
    </row>
    <row r="128" spans="2:20">
      <c r="B128" s="808">
        <f t="shared" si="5"/>
        <v>1957</v>
      </c>
      <c r="C128" s="604">
        <f t="shared" si="6"/>
        <v>0</v>
      </c>
      <c r="D128" s="604">
        <f t="shared" si="7"/>
        <v>0</v>
      </c>
      <c r="E128" s="604">
        <f t="shared" si="8"/>
        <v>0.4</v>
      </c>
      <c r="F128" s="604">
        <f t="shared" si="9"/>
        <v>0.3</v>
      </c>
      <c r="G128" s="604">
        <f t="shared" si="10"/>
        <v>0.3</v>
      </c>
      <c r="H128" s="560">
        <f t="shared" si="1"/>
        <v>1</v>
      </c>
      <c r="I128" s="802">
        <v>0.2</v>
      </c>
      <c r="J128" s="779">
        <v>0.3</v>
      </c>
      <c r="K128" s="779">
        <v>0.25</v>
      </c>
      <c r="L128" s="779">
        <v>0.05</v>
      </c>
      <c r="M128" s="779">
        <v>0.2</v>
      </c>
      <c r="N128" s="786">
        <f t="shared" si="2"/>
        <v>1</v>
      </c>
      <c r="O128" s="780"/>
      <c r="P128" s="4"/>
      <c r="R128" s="117">
        <f t="shared" si="3"/>
        <v>0.73</v>
      </c>
      <c r="S128" s="205">
        <f t="shared" si="4"/>
        <v>0.71500000000000008</v>
      </c>
    </row>
    <row r="129" spans="2:19">
      <c r="B129" s="808">
        <f t="shared" si="5"/>
        <v>1958</v>
      </c>
      <c r="C129" s="604">
        <f t="shared" si="6"/>
        <v>0</v>
      </c>
      <c r="D129" s="604">
        <f t="shared" si="7"/>
        <v>0</v>
      </c>
      <c r="E129" s="604">
        <f t="shared" si="8"/>
        <v>0.4</v>
      </c>
      <c r="F129" s="604">
        <f t="shared" si="9"/>
        <v>0.3</v>
      </c>
      <c r="G129" s="604">
        <f t="shared" si="10"/>
        <v>0.3</v>
      </c>
      <c r="H129" s="560">
        <f t="shared" si="1"/>
        <v>1</v>
      </c>
      <c r="I129" s="802">
        <v>0.2</v>
      </c>
      <c r="J129" s="779">
        <v>0.3</v>
      </c>
      <c r="K129" s="779">
        <v>0.25</v>
      </c>
      <c r="L129" s="779">
        <v>0.05</v>
      </c>
      <c r="M129" s="779">
        <v>0.2</v>
      </c>
      <c r="N129" s="786">
        <f t="shared" si="2"/>
        <v>1</v>
      </c>
      <c r="O129" s="780"/>
      <c r="P129" s="4"/>
      <c r="R129" s="117">
        <f t="shared" si="3"/>
        <v>0.73</v>
      </c>
      <c r="S129" s="205">
        <f t="shared" si="4"/>
        <v>0.71500000000000008</v>
      </c>
    </row>
    <row r="130" spans="2:19">
      <c r="B130" s="808">
        <f t="shared" si="5"/>
        <v>1959</v>
      </c>
      <c r="C130" s="604">
        <f t="shared" si="6"/>
        <v>0</v>
      </c>
      <c r="D130" s="604">
        <f t="shared" si="7"/>
        <v>0</v>
      </c>
      <c r="E130" s="604">
        <f t="shared" si="8"/>
        <v>0.4</v>
      </c>
      <c r="F130" s="604">
        <f t="shared" si="9"/>
        <v>0.3</v>
      </c>
      <c r="G130" s="604">
        <f t="shared" si="10"/>
        <v>0.3</v>
      </c>
      <c r="H130" s="560">
        <f t="shared" si="1"/>
        <v>1</v>
      </c>
      <c r="I130" s="802">
        <v>0.2</v>
      </c>
      <c r="J130" s="779">
        <v>0.3</v>
      </c>
      <c r="K130" s="779">
        <v>0.25</v>
      </c>
      <c r="L130" s="779">
        <v>0.05</v>
      </c>
      <c r="M130" s="779">
        <v>0.2</v>
      </c>
      <c r="N130" s="786">
        <f t="shared" si="2"/>
        <v>1</v>
      </c>
      <c r="O130" s="780"/>
      <c r="P130" s="4"/>
      <c r="R130" s="117">
        <f t="shared" si="3"/>
        <v>0.73</v>
      </c>
      <c r="S130" s="205">
        <f t="shared" si="4"/>
        <v>0.71500000000000008</v>
      </c>
    </row>
    <row r="131" spans="2:19">
      <c r="B131" s="808">
        <f t="shared" si="5"/>
        <v>1960</v>
      </c>
      <c r="C131" s="604">
        <f t="shared" si="6"/>
        <v>0</v>
      </c>
      <c r="D131" s="604">
        <f t="shared" si="7"/>
        <v>0</v>
      </c>
      <c r="E131" s="604">
        <f t="shared" si="8"/>
        <v>0.4</v>
      </c>
      <c r="F131" s="604">
        <f t="shared" si="9"/>
        <v>0.3</v>
      </c>
      <c r="G131" s="604">
        <f t="shared" si="10"/>
        <v>0.3</v>
      </c>
      <c r="H131" s="560">
        <f t="shared" si="1"/>
        <v>1</v>
      </c>
      <c r="I131" s="802">
        <v>0.2</v>
      </c>
      <c r="J131" s="779">
        <v>0.3</v>
      </c>
      <c r="K131" s="779">
        <v>0.25</v>
      </c>
      <c r="L131" s="779">
        <v>0.05</v>
      </c>
      <c r="M131" s="779">
        <v>0.2</v>
      </c>
      <c r="N131" s="786">
        <f t="shared" si="2"/>
        <v>1</v>
      </c>
      <c r="O131" s="780"/>
      <c r="P131" s="4"/>
      <c r="R131" s="117">
        <f t="shared" si="3"/>
        <v>0.73</v>
      </c>
      <c r="S131" s="205">
        <f t="shared" si="4"/>
        <v>0.71500000000000008</v>
      </c>
    </row>
    <row r="132" spans="2:19">
      <c r="B132" s="808">
        <f t="shared" si="5"/>
        <v>1961</v>
      </c>
      <c r="C132" s="604">
        <f t="shared" si="6"/>
        <v>0</v>
      </c>
      <c r="D132" s="604">
        <f t="shared" si="7"/>
        <v>0</v>
      </c>
      <c r="E132" s="604">
        <f t="shared" si="8"/>
        <v>0.4</v>
      </c>
      <c r="F132" s="604">
        <f t="shared" si="9"/>
        <v>0.3</v>
      </c>
      <c r="G132" s="604">
        <f t="shared" si="10"/>
        <v>0.3</v>
      </c>
      <c r="H132" s="560">
        <f t="shared" si="1"/>
        <v>1</v>
      </c>
      <c r="I132" s="802">
        <v>0.2</v>
      </c>
      <c r="J132" s="779">
        <v>0.3</v>
      </c>
      <c r="K132" s="779">
        <v>0.25</v>
      </c>
      <c r="L132" s="779">
        <v>0.05</v>
      </c>
      <c r="M132" s="779">
        <v>0.2</v>
      </c>
      <c r="N132" s="786">
        <f t="shared" si="2"/>
        <v>1</v>
      </c>
      <c r="O132" s="780"/>
      <c r="P132" s="4"/>
      <c r="R132" s="117">
        <f t="shared" si="3"/>
        <v>0.73</v>
      </c>
      <c r="S132" s="205">
        <f t="shared" si="4"/>
        <v>0.71500000000000008</v>
      </c>
    </row>
    <row r="133" spans="2:19">
      <c r="B133" s="808">
        <f t="shared" si="5"/>
        <v>1962</v>
      </c>
      <c r="C133" s="604">
        <f t="shared" si="6"/>
        <v>0</v>
      </c>
      <c r="D133" s="604">
        <f t="shared" si="7"/>
        <v>0</v>
      </c>
      <c r="E133" s="604">
        <f t="shared" si="8"/>
        <v>0.4</v>
      </c>
      <c r="F133" s="604">
        <f t="shared" si="9"/>
        <v>0.3</v>
      </c>
      <c r="G133" s="604">
        <f t="shared" si="10"/>
        <v>0.3</v>
      </c>
      <c r="H133" s="560">
        <f t="shared" si="1"/>
        <v>1</v>
      </c>
      <c r="I133" s="802">
        <v>0.2</v>
      </c>
      <c r="J133" s="779">
        <v>0.3</v>
      </c>
      <c r="K133" s="779">
        <v>0.25</v>
      </c>
      <c r="L133" s="779">
        <v>0.05</v>
      </c>
      <c r="M133" s="779">
        <v>0.2</v>
      </c>
      <c r="N133" s="786">
        <f t="shared" si="2"/>
        <v>1</v>
      </c>
      <c r="O133" s="780"/>
      <c r="P133" s="4"/>
      <c r="R133" s="117">
        <f t="shared" si="3"/>
        <v>0.73</v>
      </c>
      <c r="S133" s="205">
        <f t="shared" si="4"/>
        <v>0.71500000000000008</v>
      </c>
    </row>
    <row r="134" spans="2:19">
      <c r="B134" s="808">
        <f t="shared" si="5"/>
        <v>1963</v>
      </c>
      <c r="C134" s="604">
        <f t="shared" si="6"/>
        <v>0</v>
      </c>
      <c r="D134" s="604">
        <f t="shared" si="7"/>
        <v>0</v>
      </c>
      <c r="E134" s="604">
        <f t="shared" si="8"/>
        <v>0.4</v>
      </c>
      <c r="F134" s="604">
        <f t="shared" si="9"/>
        <v>0.3</v>
      </c>
      <c r="G134" s="604">
        <f t="shared" si="10"/>
        <v>0.3</v>
      </c>
      <c r="H134" s="560">
        <f t="shared" si="1"/>
        <v>1</v>
      </c>
      <c r="I134" s="802">
        <v>0.2</v>
      </c>
      <c r="J134" s="779">
        <v>0.3</v>
      </c>
      <c r="K134" s="779">
        <v>0.25</v>
      </c>
      <c r="L134" s="779">
        <v>0.05</v>
      </c>
      <c r="M134" s="779">
        <v>0.2</v>
      </c>
      <c r="N134" s="786">
        <f t="shared" si="2"/>
        <v>1</v>
      </c>
      <c r="O134" s="780"/>
      <c r="P134" s="4"/>
      <c r="R134" s="117">
        <f t="shared" si="3"/>
        <v>0.73</v>
      </c>
      <c r="S134" s="205">
        <f t="shared" si="4"/>
        <v>0.71500000000000008</v>
      </c>
    </row>
    <row r="135" spans="2:19">
      <c r="B135" s="808">
        <f t="shared" si="5"/>
        <v>1964</v>
      </c>
      <c r="C135" s="604">
        <f t="shared" si="6"/>
        <v>0</v>
      </c>
      <c r="D135" s="604">
        <f t="shared" si="7"/>
        <v>0</v>
      </c>
      <c r="E135" s="604">
        <f t="shared" si="8"/>
        <v>0.4</v>
      </c>
      <c r="F135" s="604">
        <f t="shared" si="9"/>
        <v>0.3</v>
      </c>
      <c r="G135" s="604">
        <f t="shared" si="10"/>
        <v>0.3</v>
      </c>
      <c r="H135" s="560">
        <f t="shared" si="1"/>
        <v>1</v>
      </c>
      <c r="I135" s="802">
        <v>0.2</v>
      </c>
      <c r="J135" s="779">
        <v>0.3</v>
      </c>
      <c r="K135" s="779">
        <v>0.25</v>
      </c>
      <c r="L135" s="779">
        <v>0.05</v>
      </c>
      <c r="M135" s="779">
        <v>0.2</v>
      </c>
      <c r="N135" s="786">
        <f t="shared" si="2"/>
        <v>1</v>
      </c>
      <c r="O135" s="780"/>
      <c r="P135" s="4"/>
      <c r="R135" s="117">
        <f t="shared" si="3"/>
        <v>0.73</v>
      </c>
      <c r="S135" s="205">
        <f t="shared" si="4"/>
        <v>0.71500000000000008</v>
      </c>
    </row>
    <row r="136" spans="2:19">
      <c r="B136" s="808">
        <f t="shared" si="5"/>
        <v>1965</v>
      </c>
      <c r="C136" s="604">
        <f t="shared" si="6"/>
        <v>0</v>
      </c>
      <c r="D136" s="604">
        <f t="shared" si="7"/>
        <v>0</v>
      </c>
      <c r="E136" s="604">
        <f t="shared" si="8"/>
        <v>0.4</v>
      </c>
      <c r="F136" s="604">
        <f t="shared" si="9"/>
        <v>0.3</v>
      </c>
      <c r="G136" s="604">
        <f t="shared" si="10"/>
        <v>0.3</v>
      </c>
      <c r="H136" s="560">
        <f t="shared" si="1"/>
        <v>1</v>
      </c>
      <c r="I136" s="802">
        <v>0.2</v>
      </c>
      <c r="J136" s="779">
        <v>0.3</v>
      </c>
      <c r="K136" s="779">
        <v>0.25</v>
      </c>
      <c r="L136" s="779">
        <v>0.05</v>
      </c>
      <c r="M136" s="779">
        <v>0.2</v>
      </c>
      <c r="N136" s="786">
        <f t="shared" si="2"/>
        <v>1</v>
      </c>
      <c r="O136" s="780"/>
      <c r="P136" s="4"/>
      <c r="R136" s="117">
        <f t="shared" si="3"/>
        <v>0.73</v>
      </c>
      <c r="S136" s="205">
        <f t="shared" si="4"/>
        <v>0.71500000000000008</v>
      </c>
    </row>
    <row r="137" spans="2:19">
      <c r="B137" s="808">
        <f t="shared" si="5"/>
        <v>1966</v>
      </c>
      <c r="C137" s="604">
        <f t="shared" si="6"/>
        <v>0</v>
      </c>
      <c r="D137" s="604">
        <f t="shared" si="7"/>
        <v>0</v>
      </c>
      <c r="E137" s="604">
        <f t="shared" si="8"/>
        <v>0.4</v>
      </c>
      <c r="F137" s="604">
        <f t="shared" si="9"/>
        <v>0.3</v>
      </c>
      <c r="G137" s="604">
        <f t="shared" si="10"/>
        <v>0.3</v>
      </c>
      <c r="H137" s="560">
        <f t="shared" si="1"/>
        <v>1</v>
      </c>
      <c r="I137" s="802">
        <v>0.2</v>
      </c>
      <c r="J137" s="779">
        <v>0.3</v>
      </c>
      <c r="K137" s="779">
        <v>0.25</v>
      </c>
      <c r="L137" s="779">
        <v>0.05</v>
      </c>
      <c r="M137" s="779">
        <v>0.2</v>
      </c>
      <c r="N137" s="786">
        <f t="shared" si="2"/>
        <v>1</v>
      </c>
      <c r="O137" s="780"/>
      <c r="P137" s="4"/>
      <c r="R137" s="117">
        <f t="shared" si="3"/>
        <v>0.73</v>
      </c>
      <c r="S137" s="205">
        <f t="shared" si="4"/>
        <v>0.71500000000000008</v>
      </c>
    </row>
    <row r="138" spans="2:19">
      <c r="B138" s="808">
        <f t="shared" si="5"/>
        <v>1967</v>
      </c>
      <c r="C138" s="604">
        <f t="shared" si="6"/>
        <v>0</v>
      </c>
      <c r="D138" s="604">
        <f t="shared" si="7"/>
        <v>0</v>
      </c>
      <c r="E138" s="604">
        <f t="shared" si="8"/>
        <v>0.4</v>
      </c>
      <c r="F138" s="604">
        <f t="shared" si="9"/>
        <v>0.3</v>
      </c>
      <c r="G138" s="604">
        <f t="shared" si="10"/>
        <v>0.3</v>
      </c>
      <c r="H138" s="560">
        <f t="shared" si="1"/>
        <v>1</v>
      </c>
      <c r="I138" s="802">
        <v>0.2</v>
      </c>
      <c r="J138" s="779">
        <v>0.3</v>
      </c>
      <c r="K138" s="779">
        <v>0.25</v>
      </c>
      <c r="L138" s="779">
        <v>0.05</v>
      </c>
      <c r="M138" s="779">
        <v>0.2</v>
      </c>
      <c r="N138" s="786">
        <f t="shared" si="2"/>
        <v>1</v>
      </c>
      <c r="O138" s="780"/>
      <c r="P138" s="4"/>
      <c r="R138" s="117">
        <f t="shared" si="3"/>
        <v>0.73</v>
      </c>
      <c r="S138" s="205">
        <f t="shared" si="4"/>
        <v>0.71500000000000008</v>
      </c>
    </row>
    <row r="139" spans="2:19">
      <c r="B139" s="808">
        <f t="shared" si="5"/>
        <v>1968</v>
      </c>
      <c r="C139" s="604">
        <f t="shared" si="6"/>
        <v>0</v>
      </c>
      <c r="D139" s="604">
        <f t="shared" si="7"/>
        <v>0</v>
      </c>
      <c r="E139" s="604">
        <f t="shared" si="8"/>
        <v>0.4</v>
      </c>
      <c r="F139" s="604">
        <f t="shared" si="9"/>
        <v>0.3</v>
      </c>
      <c r="G139" s="604">
        <f t="shared" si="10"/>
        <v>0.3</v>
      </c>
      <c r="H139" s="560">
        <f t="shared" si="1"/>
        <v>1</v>
      </c>
      <c r="I139" s="802">
        <v>0.2</v>
      </c>
      <c r="J139" s="779">
        <v>0.3</v>
      </c>
      <c r="K139" s="779">
        <v>0.25</v>
      </c>
      <c r="L139" s="779">
        <v>0.05</v>
      </c>
      <c r="M139" s="779">
        <v>0.2</v>
      </c>
      <c r="N139" s="786">
        <f t="shared" si="2"/>
        <v>1</v>
      </c>
      <c r="O139" s="780"/>
      <c r="P139" s="4"/>
      <c r="R139" s="117">
        <f t="shared" si="3"/>
        <v>0.73</v>
      </c>
      <c r="S139" s="205">
        <f t="shared" si="4"/>
        <v>0.71500000000000008</v>
      </c>
    </row>
    <row r="140" spans="2:19">
      <c r="B140" s="808">
        <f t="shared" si="5"/>
        <v>1969</v>
      </c>
      <c r="C140" s="604">
        <f t="shared" si="6"/>
        <v>0</v>
      </c>
      <c r="D140" s="604">
        <f t="shared" si="7"/>
        <v>0</v>
      </c>
      <c r="E140" s="604">
        <f t="shared" si="8"/>
        <v>0.4</v>
      </c>
      <c r="F140" s="604">
        <f t="shared" si="9"/>
        <v>0.3</v>
      </c>
      <c r="G140" s="604">
        <f t="shared" si="10"/>
        <v>0.3</v>
      </c>
      <c r="H140" s="560">
        <f t="shared" si="1"/>
        <v>1</v>
      </c>
      <c r="I140" s="802">
        <v>0.2</v>
      </c>
      <c r="J140" s="779">
        <v>0.3</v>
      </c>
      <c r="K140" s="779">
        <v>0.25</v>
      </c>
      <c r="L140" s="779">
        <v>0.05</v>
      </c>
      <c r="M140" s="779">
        <v>0.2</v>
      </c>
      <c r="N140" s="786">
        <f t="shared" si="2"/>
        <v>1</v>
      </c>
      <c r="O140" s="780"/>
      <c r="P140" s="4"/>
      <c r="R140" s="117">
        <f t="shared" si="3"/>
        <v>0.73</v>
      </c>
      <c r="S140" s="205">
        <f t="shared" si="4"/>
        <v>0.71500000000000008</v>
      </c>
    </row>
    <row r="141" spans="2:19">
      <c r="B141" s="808">
        <f t="shared" si="5"/>
        <v>1970</v>
      </c>
      <c r="C141" s="604">
        <f t="shared" si="6"/>
        <v>0</v>
      </c>
      <c r="D141" s="604">
        <f t="shared" si="7"/>
        <v>0</v>
      </c>
      <c r="E141" s="604">
        <f t="shared" si="8"/>
        <v>0.4</v>
      </c>
      <c r="F141" s="604">
        <f t="shared" si="9"/>
        <v>0.3</v>
      </c>
      <c r="G141" s="604">
        <f t="shared" si="10"/>
        <v>0.3</v>
      </c>
      <c r="H141" s="560">
        <f t="shared" si="1"/>
        <v>1</v>
      </c>
      <c r="I141" s="802">
        <v>0.2</v>
      </c>
      <c r="J141" s="779">
        <v>0.3</v>
      </c>
      <c r="K141" s="779">
        <v>0.25</v>
      </c>
      <c r="L141" s="779">
        <v>0.05</v>
      </c>
      <c r="M141" s="779">
        <v>0.2</v>
      </c>
      <c r="N141" s="786">
        <f t="shared" si="2"/>
        <v>1</v>
      </c>
      <c r="O141" s="780"/>
      <c r="P141" s="4"/>
      <c r="R141" s="117">
        <f t="shared" si="3"/>
        <v>0.73</v>
      </c>
      <c r="S141" s="205">
        <f t="shared" si="4"/>
        <v>0.71500000000000008</v>
      </c>
    </row>
    <row r="142" spans="2:19">
      <c r="B142" s="808">
        <f t="shared" si="5"/>
        <v>1971</v>
      </c>
      <c r="C142" s="604">
        <f t="shared" si="6"/>
        <v>0</v>
      </c>
      <c r="D142" s="604">
        <f t="shared" si="7"/>
        <v>0</v>
      </c>
      <c r="E142" s="604">
        <f t="shared" si="8"/>
        <v>0.4</v>
      </c>
      <c r="F142" s="604">
        <f t="shared" si="9"/>
        <v>0.3</v>
      </c>
      <c r="G142" s="604">
        <f t="shared" si="10"/>
        <v>0.3</v>
      </c>
      <c r="H142" s="560">
        <f t="shared" si="1"/>
        <v>1</v>
      </c>
      <c r="I142" s="802">
        <v>0.2</v>
      </c>
      <c r="J142" s="779">
        <v>0.3</v>
      </c>
      <c r="K142" s="779">
        <v>0.25</v>
      </c>
      <c r="L142" s="779">
        <v>0.05</v>
      </c>
      <c r="M142" s="779">
        <v>0.2</v>
      </c>
      <c r="N142" s="786">
        <f t="shared" si="2"/>
        <v>1</v>
      </c>
      <c r="O142" s="780"/>
      <c r="P142" s="4"/>
      <c r="R142" s="117">
        <f t="shared" si="3"/>
        <v>0.73</v>
      </c>
      <c r="S142" s="205">
        <f t="shared" si="4"/>
        <v>0.71500000000000008</v>
      </c>
    </row>
    <row r="143" spans="2:19">
      <c r="B143" s="808">
        <f t="shared" si="5"/>
        <v>1972</v>
      </c>
      <c r="C143" s="604">
        <f t="shared" si="6"/>
        <v>0</v>
      </c>
      <c r="D143" s="604">
        <f t="shared" si="7"/>
        <v>0</v>
      </c>
      <c r="E143" s="604">
        <f t="shared" si="8"/>
        <v>0.4</v>
      </c>
      <c r="F143" s="604">
        <f t="shared" si="9"/>
        <v>0.3</v>
      </c>
      <c r="G143" s="604">
        <f t="shared" si="10"/>
        <v>0.3</v>
      </c>
      <c r="H143" s="560">
        <f t="shared" si="1"/>
        <v>1</v>
      </c>
      <c r="I143" s="802">
        <v>0.2</v>
      </c>
      <c r="J143" s="779">
        <v>0.3</v>
      </c>
      <c r="K143" s="779">
        <v>0.25</v>
      </c>
      <c r="L143" s="779">
        <v>0.05</v>
      </c>
      <c r="M143" s="779">
        <v>0.2</v>
      </c>
      <c r="N143" s="786">
        <f t="shared" si="2"/>
        <v>1</v>
      </c>
      <c r="O143" s="780"/>
      <c r="P143" s="4"/>
      <c r="R143" s="117">
        <f t="shared" si="3"/>
        <v>0.73</v>
      </c>
      <c r="S143" s="205">
        <f t="shared" si="4"/>
        <v>0.71500000000000008</v>
      </c>
    </row>
    <row r="144" spans="2:19">
      <c r="B144" s="808">
        <f t="shared" si="5"/>
        <v>1973</v>
      </c>
      <c r="C144" s="604">
        <f t="shared" si="6"/>
        <v>0</v>
      </c>
      <c r="D144" s="604">
        <f t="shared" si="7"/>
        <v>0</v>
      </c>
      <c r="E144" s="604">
        <f t="shared" si="8"/>
        <v>0.4</v>
      </c>
      <c r="F144" s="604">
        <f t="shared" si="9"/>
        <v>0.3</v>
      </c>
      <c r="G144" s="604">
        <f t="shared" si="10"/>
        <v>0.3</v>
      </c>
      <c r="H144" s="560">
        <f t="shared" si="1"/>
        <v>1</v>
      </c>
      <c r="I144" s="802">
        <v>0.2</v>
      </c>
      <c r="J144" s="779">
        <v>0.3</v>
      </c>
      <c r="K144" s="779">
        <v>0.25</v>
      </c>
      <c r="L144" s="779">
        <v>0.05</v>
      </c>
      <c r="M144" s="779">
        <v>0.2</v>
      </c>
      <c r="N144" s="786">
        <f t="shared" si="2"/>
        <v>1</v>
      </c>
      <c r="O144" s="780"/>
      <c r="P144" s="4"/>
      <c r="R144" s="117">
        <f t="shared" si="3"/>
        <v>0.73</v>
      </c>
      <c r="S144" s="205">
        <f t="shared" si="4"/>
        <v>0.71500000000000008</v>
      </c>
    </row>
    <row r="145" spans="2:19">
      <c r="B145" s="808">
        <f t="shared" si="5"/>
        <v>1974</v>
      </c>
      <c r="C145" s="604">
        <f t="shared" si="6"/>
        <v>0</v>
      </c>
      <c r="D145" s="604">
        <f t="shared" si="7"/>
        <v>0</v>
      </c>
      <c r="E145" s="604">
        <f t="shared" si="8"/>
        <v>0.4</v>
      </c>
      <c r="F145" s="604">
        <f t="shared" si="9"/>
        <v>0.3</v>
      </c>
      <c r="G145" s="604">
        <f t="shared" si="10"/>
        <v>0.3</v>
      </c>
      <c r="H145" s="560">
        <f t="shared" si="1"/>
        <v>1</v>
      </c>
      <c r="I145" s="802">
        <v>0.2</v>
      </c>
      <c r="J145" s="779">
        <v>0.3</v>
      </c>
      <c r="K145" s="779">
        <v>0.25</v>
      </c>
      <c r="L145" s="779">
        <v>0.05</v>
      </c>
      <c r="M145" s="779">
        <v>0.2</v>
      </c>
      <c r="N145" s="786">
        <f t="shared" si="2"/>
        <v>1</v>
      </c>
      <c r="O145" s="780"/>
      <c r="P145" s="4"/>
      <c r="R145" s="117">
        <f t="shared" si="3"/>
        <v>0.73</v>
      </c>
      <c r="S145" s="205">
        <f t="shared" si="4"/>
        <v>0.71500000000000008</v>
      </c>
    </row>
    <row r="146" spans="2:19">
      <c r="B146" s="808">
        <f t="shared" si="5"/>
        <v>1975</v>
      </c>
      <c r="C146" s="604">
        <f t="shared" si="6"/>
        <v>0</v>
      </c>
      <c r="D146" s="604">
        <f t="shared" si="7"/>
        <v>0</v>
      </c>
      <c r="E146" s="604">
        <f t="shared" si="8"/>
        <v>0.4</v>
      </c>
      <c r="F146" s="604">
        <f t="shared" si="9"/>
        <v>0.3</v>
      </c>
      <c r="G146" s="604">
        <f t="shared" si="10"/>
        <v>0.3</v>
      </c>
      <c r="H146" s="560">
        <f t="shared" si="1"/>
        <v>1</v>
      </c>
      <c r="I146" s="802">
        <v>0.2</v>
      </c>
      <c r="J146" s="779">
        <v>0.3</v>
      </c>
      <c r="K146" s="779">
        <v>0.25</v>
      </c>
      <c r="L146" s="779">
        <v>0.05</v>
      </c>
      <c r="M146" s="779">
        <v>0.2</v>
      </c>
      <c r="N146" s="786">
        <f t="shared" si="2"/>
        <v>1</v>
      </c>
      <c r="O146" s="780"/>
      <c r="P146" s="4"/>
      <c r="R146" s="117">
        <f t="shared" si="3"/>
        <v>0.73</v>
      </c>
      <c r="S146" s="205">
        <f t="shared" si="4"/>
        <v>0.71500000000000008</v>
      </c>
    </row>
    <row r="147" spans="2:19">
      <c r="B147" s="808">
        <f t="shared" si="5"/>
        <v>1976</v>
      </c>
      <c r="C147" s="604">
        <f t="shared" si="6"/>
        <v>0</v>
      </c>
      <c r="D147" s="604">
        <f t="shared" si="7"/>
        <v>0</v>
      </c>
      <c r="E147" s="604">
        <f t="shared" si="8"/>
        <v>0.4</v>
      </c>
      <c r="F147" s="604">
        <f t="shared" si="9"/>
        <v>0.3</v>
      </c>
      <c r="G147" s="604">
        <f t="shared" si="10"/>
        <v>0.3</v>
      </c>
      <c r="H147" s="560">
        <f t="shared" si="1"/>
        <v>1</v>
      </c>
      <c r="I147" s="802">
        <v>0.2</v>
      </c>
      <c r="J147" s="779">
        <v>0.3</v>
      </c>
      <c r="K147" s="779">
        <v>0.25</v>
      </c>
      <c r="L147" s="779">
        <v>0.05</v>
      </c>
      <c r="M147" s="779">
        <v>0.2</v>
      </c>
      <c r="N147" s="786">
        <f t="shared" si="2"/>
        <v>1</v>
      </c>
      <c r="O147" s="780"/>
      <c r="P147" s="4"/>
      <c r="R147" s="117">
        <f t="shared" si="3"/>
        <v>0.73</v>
      </c>
      <c r="S147" s="205">
        <f t="shared" si="4"/>
        <v>0.71500000000000008</v>
      </c>
    </row>
    <row r="148" spans="2:19">
      <c r="B148" s="808">
        <f t="shared" si="5"/>
        <v>1977</v>
      </c>
      <c r="C148" s="604">
        <f t="shared" si="6"/>
        <v>0</v>
      </c>
      <c r="D148" s="604">
        <f t="shared" si="7"/>
        <v>0</v>
      </c>
      <c r="E148" s="604">
        <f t="shared" si="8"/>
        <v>0.4</v>
      </c>
      <c r="F148" s="604">
        <f t="shared" si="9"/>
        <v>0.3</v>
      </c>
      <c r="G148" s="604">
        <f t="shared" si="10"/>
        <v>0.3</v>
      </c>
      <c r="H148" s="560">
        <f t="shared" si="1"/>
        <v>1</v>
      </c>
      <c r="I148" s="802">
        <v>0.2</v>
      </c>
      <c r="J148" s="779">
        <v>0.3</v>
      </c>
      <c r="K148" s="779">
        <v>0.25</v>
      </c>
      <c r="L148" s="779">
        <v>0.05</v>
      </c>
      <c r="M148" s="779">
        <v>0.2</v>
      </c>
      <c r="N148" s="786">
        <f t="shared" si="2"/>
        <v>1</v>
      </c>
      <c r="O148" s="780"/>
      <c r="P148" s="4"/>
      <c r="R148" s="117">
        <f t="shared" si="3"/>
        <v>0.73</v>
      </c>
      <c r="S148" s="205">
        <f t="shared" si="4"/>
        <v>0.71500000000000008</v>
      </c>
    </row>
    <row r="149" spans="2:19">
      <c r="B149" s="808">
        <f t="shared" si="5"/>
        <v>1978</v>
      </c>
      <c r="C149" s="604">
        <f t="shared" si="6"/>
        <v>0</v>
      </c>
      <c r="D149" s="604">
        <f t="shared" si="7"/>
        <v>0</v>
      </c>
      <c r="E149" s="604">
        <f t="shared" si="8"/>
        <v>0.4</v>
      </c>
      <c r="F149" s="604">
        <f t="shared" si="9"/>
        <v>0.3</v>
      </c>
      <c r="G149" s="604">
        <f t="shared" si="10"/>
        <v>0.3</v>
      </c>
      <c r="H149" s="560">
        <f t="shared" si="1"/>
        <v>1</v>
      </c>
      <c r="I149" s="802">
        <v>0.2</v>
      </c>
      <c r="J149" s="779">
        <v>0.3</v>
      </c>
      <c r="K149" s="779">
        <v>0.25</v>
      </c>
      <c r="L149" s="779">
        <v>0.05</v>
      </c>
      <c r="M149" s="779">
        <v>0.2</v>
      </c>
      <c r="N149" s="786">
        <f t="shared" si="2"/>
        <v>1</v>
      </c>
      <c r="O149" s="780"/>
      <c r="P149" s="4"/>
      <c r="R149" s="117">
        <f t="shared" si="3"/>
        <v>0.73</v>
      </c>
      <c r="S149" s="205">
        <f t="shared" si="4"/>
        <v>0.71500000000000008</v>
      </c>
    </row>
    <row r="150" spans="2:19">
      <c r="B150" s="808">
        <f t="shared" si="5"/>
        <v>1979</v>
      </c>
      <c r="C150" s="604">
        <f t="shared" si="6"/>
        <v>0</v>
      </c>
      <c r="D150" s="604">
        <f t="shared" si="7"/>
        <v>0</v>
      </c>
      <c r="E150" s="604">
        <f t="shared" si="8"/>
        <v>0.4</v>
      </c>
      <c r="F150" s="604">
        <f t="shared" si="9"/>
        <v>0.3</v>
      </c>
      <c r="G150" s="604">
        <f t="shared" si="10"/>
        <v>0.3</v>
      </c>
      <c r="H150" s="560">
        <f t="shared" si="1"/>
        <v>1</v>
      </c>
      <c r="I150" s="802">
        <v>0.2</v>
      </c>
      <c r="J150" s="779">
        <v>0.3</v>
      </c>
      <c r="K150" s="779">
        <v>0.25</v>
      </c>
      <c r="L150" s="779">
        <v>0.05</v>
      </c>
      <c r="M150" s="779">
        <v>0.2</v>
      </c>
      <c r="N150" s="786">
        <f t="shared" si="2"/>
        <v>1</v>
      </c>
      <c r="O150" s="780"/>
      <c r="P150" s="4"/>
      <c r="R150" s="117">
        <f t="shared" si="3"/>
        <v>0.73</v>
      </c>
      <c r="S150" s="205">
        <f t="shared" si="4"/>
        <v>0.71500000000000008</v>
      </c>
    </row>
    <row r="151" spans="2:19">
      <c r="B151" s="808">
        <f t="shared" si="5"/>
        <v>1980</v>
      </c>
      <c r="C151" s="604">
        <f t="shared" si="6"/>
        <v>0</v>
      </c>
      <c r="D151" s="604">
        <f t="shared" si="7"/>
        <v>0</v>
      </c>
      <c r="E151" s="604">
        <f t="shared" si="8"/>
        <v>0.4</v>
      </c>
      <c r="F151" s="604">
        <f t="shared" si="9"/>
        <v>0.3</v>
      </c>
      <c r="G151" s="604">
        <f t="shared" si="10"/>
        <v>0.3</v>
      </c>
      <c r="H151" s="560">
        <f t="shared" si="1"/>
        <v>1</v>
      </c>
      <c r="I151" s="802">
        <v>0.2</v>
      </c>
      <c r="J151" s="779">
        <v>0.3</v>
      </c>
      <c r="K151" s="779">
        <v>0.25</v>
      </c>
      <c r="L151" s="779">
        <v>0.05</v>
      </c>
      <c r="M151" s="779">
        <v>0.2</v>
      </c>
      <c r="N151" s="786">
        <f t="shared" si="2"/>
        <v>1</v>
      </c>
      <c r="O151" s="780"/>
      <c r="P151" s="4"/>
      <c r="R151" s="117">
        <f t="shared" si="3"/>
        <v>0.73</v>
      </c>
      <c r="S151" s="205">
        <f t="shared" si="4"/>
        <v>0.71500000000000008</v>
      </c>
    </row>
    <row r="152" spans="2:19">
      <c r="B152" s="808">
        <f t="shared" si="5"/>
        <v>1981</v>
      </c>
      <c r="C152" s="604">
        <f t="shared" si="6"/>
        <v>0</v>
      </c>
      <c r="D152" s="604">
        <f t="shared" si="7"/>
        <v>0</v>
      </c>
      <c r="E152" s="604">
        <f t="shared" si="8"/>
        <v>0.4</v>
      </c>
      <c r="F152" s="604">
        <f t="shared" si="9"/>
        <v>0.3</v>
      </c>
      <c r="G152" s="604">
        <f t="shared" si="10"/>
        <v>0.3</v>
      </c>
      <c r="H152" s="560">
        <f t="shared" si="1"/>
        <v>1</v>
      </c>
      <c r="I152" s="802">
        <v>0.2</v>
      </c>
      <c r="J152" s="779">
        <v>0.3</v>
      </c>
      <c r="K152" s="779">
        <v>0.25</v>
      </c>
      <c r="L152" s="779">
        <v>0.05</v>
      </c>
      <c r="M152" s="779">
        <v>0.2</v>
      </c>
      <c r="N152" s="786">
        <f t="shared" si="2"/>
        <v>1</v>
      </c>
      <c r="O152" s="780"/>
      <c r="P152" s="4"/>
      <c r="R152" s="117">
        <f t="shared" si="3"/>
        <v>0.73</v>
      </c>
      <c r="S152" s="205">
        <f t="shared" si="4"/>
        <v>0.71500000000000008</v>
      </c>
    </row>
    <row r="153" spans="2:19">
      <c r="B153" s="808">
        <f t="shared" si="5"/>
        <v>1982</v>
      </c>
      <c r="C153" s="604">
        <f t="shared" si="6"/>
        <v>0</v>
      </c>
      <c r="D153" s="604">
        <f t="shared" si="7"/>
        <v>0</v>
      </c>
      <c r="E153" s="604">
        <f t="shared" si="8"/>
        <v>0.4</v>
      </c>
      <c r="F153" s="604">
        <f t="shared" si="9"/>
        <v>0.3</v>
      </c>
      <c r="G153" s="604">
        <f t="shared" si="10"/>
        <v>0.3</v>
      </c>
      <c r="H153" s="560">
        <f t="shared" ref="H153:H184" si="11">SUM(C153:G153)</f>
        <v>1</v>
      </c>
      <c r="I153" s="802">
        <v>0.2</v>
      </c>
      <c r="J153" s="779">
        <v>0.3</v>
      </c>
      <c r="K153" s="779">
        <v>0.25</v>
      </c>
      <c r="L153" s="779">
        <v>0.05</v>
      </c>
      <c r="M153" s="779">
        <v>0.2</v>
      </c>
      <c r="N153" s="786">
        <f t="shared" ref="N153:N184" si="12">SUM(I153:M153)</f>
        <v>1</v>
      </c>
      <c r="O153" s="780"/>
      <c r="P153" s="4"/>
      <c r="R153" s="117">
        <f t="shared" ref="R153:R184" si="13">C153*C$116+D153*D$116+E153*E$116+F153*F$116+G153*G$116</f>
        <v>0.73</v>
      </c>
      <c r="S153" s="205">
        <f t="shared" ref="S153:S184" si="14">I153*$I$116+J153*$J$116+K153*$K$116+L153*L$116+M153*$M$116</f>
        <v>0.71500000000000008</v>
      </c>
    </row>
    <row r="154" spans="2:19">
      <c r="B154" s="808">
        <f t="shared" ref="B154:B185" si="15">B153+1</f>
        <v>1983</v>
      </c>
      <c r="C154" s="604">
        <f t="shared" ref="C154:C188" si="16">C153</f>
        <v>0</v>
      </c>
      <c r="D154" s="604">
        <f t="shared" ref="D154:D188" si="17">D153</f>
        <v>0</v>
      </c>
      <c r="E154" s="604">
        <f t="shared" ref="E154:E188" si="18">E153</f>
        <v>0.4</v>
      </c>
      <c r="F154" s="604">
        <f t="shared" ref="F154:F188" si="19">F153</f>
        <v>0.3</v>
      </c>
      <c r="G154" s="604">
        <f t="shared" ref="G154:G188" si="20">G153</f>
        <v>0.3</v>
      </c>
      <c r="H154" s="560">
        <f t="shared" si="11"/>
        <v>1</v>
      </c>
      <c r="I154" s="802">
        <v>0.2</v>
      </c>
      <c r="J154" s="779">
        <v>0.3</v>
      </c>
      <c r="K154" s="779">
        <v>0.25</v>
      </c>
      <c r="L154" s="779">
        <v>0.05</v>
      </c>
      <c r="M154" s="779">
        <v>0.2</v>
      </c>
      <c r="N154" s="786">
        <f t="shared" si="12"/>
        <v>1</v>
      </c>
      <c r="O154" s="780"/>
      <c r="P154" s="4"/>
      <c r="R154" s="117">
        <f t="shared" si="13"/>
        <v>0.73</v>
      </c>
      <c r="S154" s="205">
        <f t="shared" si="14"/>
        <v>0.71500000000000008</v>
      </c>
    </row>
    <row r="155" spans="2:19">
      <c r="B155" s="808">
        <f t="shared" si="15"/>
        <v>1984</v>
      </c>
      <c r="C155" s="604">
        <f t="shared" si="16"/>
        <v>0</v>
      </c>
      <c r="D155" s="604">
        <f t="shared" si="17"/>
        <v>0</v>
      </c>
      <c r="E155" s="604">
        <f t="shared" si="18"/>
        <v>0.4</v>
      </c>
      <c r="F155" s="604">
        <f t="shared" si="19"/>
        <v>0.3</v>
      </c>
      <c r="G155" s="604">
        <f t="shared" si="20"/>
        <v>0.3</v>
      </c>
      <c r="H155" s="560">
        <f t="shared" si="11"/>
        <v>1</v>
      </c>
      <c r="I155" s="802">
        <v>0.2</v>
      </c>
      <c r="J155" s="779">
        <v>0.3</v>
      </c>
      <c r="K155" s="779">
        <v>0.25</v>
      </c>
      <c r="L155" s="779">
        <v>0.05</v>
      </c>
      <c r="M155" s="779">
        <v>0.2</v>
      </c>
      <c r="N155" s="786">
        <f t="shared" si="12"/>
        <v>1</v>
      </c>
      <c r="O155" s="780"/>
      <c r="P155" s="4"/>
      <c r="R155" s="117">
        <f t="shared" si="13"/>
        <v>0.73</v>
      </c>
      <c r="S155" s="205">
        <f t="shared" si="14"/>
        <v>0.71500000000000008</v>
      </c>
    </row>
    <row r="156" spans="2:19">
      <c r="B156" s="808">
        <f t="shared" si="15"/>
        <v>1985</v>
      </c>
      <c r="C156" s="604">
        <f t="shared" si="16"/>
        <v>0</v>
      </c>
      <c r="D156" s="604">
        <f t="shared" si="17"/>
        <v>0</v>
      </c>
      <c r="E156" s="604">
        <f t="shared" si="18"/>
        <v>0.4</v>
      </c>
      <c r="F156" s="604">
        <f t="shared" si="19"/>
        <v>0.3</v>
      </c>
      <c r="G156" s="604">
        <f t="shared" si="20"/>
        <v>0.3</v>
      </c>
      <c r="H156" s="560">
        <f t="shared" si="11"/>
        <v>1</v>
      </c>
      <c r="I156" s="802">
        <v>0.2</v>
      </c>
      <c r="J156" s="779">
        <v>0.3</v>
      </c>
      <c r="K156" s="779">
        <v>0.25</v>
      </c>
      <c r="L156" s="779">
        <v>0.05</v>
      </c>
      <c r="M156" s="779">
        <v>0.2</v>
      </c>
      <c r="N156" s="786">
        <f t="shared" si="12"/>
        <v>1</v>
      </c>
      <c r="O156" s="780"/>
      <c r="P156" s="4"/>
      <c r="R156" s="117">
        <f t="shared" si="13"/>
        <v>0.73</v>
      </c>
      <c r="S156" s="205">
        <f t="shared" si="14"/>
        <v>0.71500000000000008</v>
      </c>
    </row>
    <row r="157" spans="2:19">
      <c r="B157" s="808">
        <f t="shared" si="15"/>
        <v>1986</v>
      </c>
      <c r="C157" s="604">
        <f t="shared" si="16"/>
        <v>0</v>
      </c>
      <c r="D157" s="604">
        <f t="shared" si="17"/>
        <v>0</v>
      </c>
      <c r="E157" s="604">
        <f t="shared" si="18"/>
        <v>0.4</v>
      </c>
      <c r="F157" s="604">
        <f t="shared" si="19"/>
        <v>0.3</v>
      </c>
      <c r="G157" s="604">
        <f t="shared" si="20"/>
        <v>0.3</v>
      </c>
      <c r="H157" s="560">
        <f t="shared" si="11"/>
        <v>1</v>
      </c>
      <c r="I157" s="802">
        <v>0.2</v>
      </c>
      <c r="J157" s="779">
        <v>0.3</v>
      </c>
      <c r="K157" s="779">
        <v>0.25</v>
      </c>
      <c r="L157" s="779">
        <v>0.05</v>
      </c>
      <c r="M157" s="779">
        <v>0.2</v>
      </c>
      <c r="N157" s="786">
        <f t="shared" si="12"/>
        <v>1</v>
      </c>
      <c r="O157" s="780"/>
      <c r="P157" s="4"/>
      <c r="R157" s="117">
        <f t="shared" si="13"/>
        <v>0.73</v>
      </c>
      <c r="S157" s="205">
        <f t="shared" si="14"/>
        <v>0.71500000000000008</v>
      </c>
    </row>
    <row r="158" spans="2:19">
      <c r="B158" s="808">
        <f t="shared" si="15"/>
        <v>1987</v>
      </c>
      <c r="C158" s="604">
        <f t="shared" si="16"/>
        <v>0</v>
      </c>
      <c r="D158" s="604">
        <f t="shared" si="17"/>
        <v>0</v>
      </c>
      <c r="E158" s="604">
        <f t="shared" si="18"/>
        <v>0.4</v>
      </c>
      <c r="F158" s="604">
        <f t="shared" si="19"/>
        <v>0.3</v>
      </c>
      <c r="G158" s="604">
        <f t="shared" si="20"/>
        <v>0.3</v>
      </c>
      <c r="H158" s="560">
        <f t="shared" si="11"/>
        <v>1</v>
      </c>
      <c r="I158" s="802">
        <v>0.2</v>
      </c>
      <c r="J158" s="779">
        <v>0.3</v>
      </c>
      <c r="K158" s="779">
        <v>0.25</v>
      </c>
      <c r="L158" s="779">
        <v>0.05</v>
      </c>
      <c r="M158" s="779">
        <v>0.2</v>
      </c>
      <c r="N158" s="786">
        <f t="shared" si="12"/>
        <v>1</v>
      </c>
      <c r="O158" s="780"/>
      <c r="P158" s="4"/>
      <c r="R158" s="117">
        <f t="shared" si="13"/>
        <v>0.73</v>
      </c>
      <c r="S158" s="205">
        <f t="shared" si="14"/>
        <v>0.71500000000000008</v>
      </c>
    </row>
    <row r="159" spans="2:19">
      <c r="B159" s="808">
        <f t="shared" si="15"/>
        <v>1988</v>
      </c>
      <c r="C159" s="604">
        <f t="shared" si="16"/>
        <v>0</v>
      </c>
      <c r="D159" s="604">
        <f t="shared" si="17"/>
        <v>0</v>
      </c>
      <c r="E159" s="604">
        <f t="shared" si="18"/>
        <v>0.4</v>
      </c>
      <c r="F159" s="604">
        <f t="shared" si="19"/>
        <v>0.3</v>
      </c>
      <c r="G159" s="604">
        <f t="shared" si="20"/>
        <v>0.3</v>
      </c>
      <c r="H159" s="560">
        <f t="shared" si="11"/>
        <v>1</v>
      </c>
      <c r="I159" s="802">
        <v>0.2</v>
      </c>
      <c r="J159" s="779">
        <v>0.3</v>
      </c>
      <c r="K159" s="779">
        <v>0.25</v>
      </c>
      <c r="L159" s="779">
        <v>0.05</v>
      </c>
      <c r="M159" s="779">
        <v>0.2</v>
      </c>
      <c r="N159" s="786">
        <f t="shared" si="12"/>
        <v>1</v>
      </c>
      <c r="O159" s="780"/>
      <c r="P159" s="4"/>
      <c r="R159" s="117">
        <f t="shared" si="13"/>
        <v>0.73</v>
      </c>
      <c r="S159" s="205">
        <f t="shared" si="14"/>
        <v>0.71500000000000008</v>
      </c>
    </row>
    <row r="160" spans="2:19">
      <c r="B160" s="808">
        <f t="shared" si="15"/>
        <v>1989</v>
      </c>
      <c r="C160" s="604">
        <f t="shared" si="16"/>
        <v>0</v>
      </c>
      <c r="D160" s="604">
        <f t="shared" si="17"/>
        <v>0</v>
      </c>
      <c r="E160" s="604">
        <f t="shared" si="18"/>
        <v>0.4</v>
      </c>
      <c r="F160" s="604">
        <f t="shared" si="19"/>
        <v>0.3</v>
      </c>
      <c r="G160" s="604">
        <f t="shared" si="20"/>
        <v>0.3</v>
      </c>
      <c r="H160" s="560">
        <f t="shared" si="11"/>
        <v>1</v>
      </c>
      <c r="I160" s="802">
        <v>0.2</v>
      </c>
      <c r="J160" s="779">
        <v>0.3</v>
      </c>
      <c r="K160" s="779">
        <v>0.25</v>
      </c>
      <c r="L160" s="779">
        <v>0.05</v>
      </c>
      <c r="M160" s="779">
        <v>0.2</v>
      </c>
      <c r="N160" s="786">
        <f t="shared" si="12"/>
        <v>1</v>
      </c>
      <c r="O160" s="780"/>
      <c r="P160" s="4"/>
      <c r="R160" s="117">
        <f t="shared" si="13"/>
        <v>0.73</v>
      </c>
      <c r="S160" s="205">
        <f t="shared" si="14"/>
        <v>0.71500000000000008</v>
      </c>
    </row>
    <row r="161" spans="2:19">
      <c r="B161" s="808">
        <f t="shared" si="15"/>
        <v>1990</v>
      </c>
      <c r="C161" s="604">
        <f t="shared" si="16"/>
        <v>0</v>
      </c>
      <c r="D161" s="604">
        <f t="shared" si="17"/>
        <v>0</v>
      </c>
      <c r="E161" s="604">
        <f t="shared" si="18"/>
        <v>0.4</v>
      </c>
      <c r="F161" s="604">
        <f t="shared" si="19"/>
        <v>0.3</v>
      </c>
      <c r="G161" s="604">
        <f t="shared" si="20"/>
        <v>0.3</v>
      </c>
      <c r="H161" s="560">
        <f t="shared" si="11"/>
        <v>1</v>
      </c>
      <c r="I161" s="802">
        <v>0.2</v>
      </c>
      <c r="J161" s="779">
        <v>0.3</v>
      </c>
      <c r="K161" s="779">
        <v>0.25</v>
      </c>
      <c r="L161" s="779">
        <v>0.05</v>
      </c>
      <c r="M161" s="779">
        <v>0.2</v>
      </c>
      <c r="N161" s="786">
        <f t="shared" si="12"/>
        <v>1</v>
      </c>
      <c r="O161" s="780"/>
      <c r="P161" s="4"/>
      <c r="R161" s="117">
        <f t="shared" si="13"/>
        <v>0.73</v>
      </c>
      <c r="S161" s="205">
        <f t="shared" si="14"/>
        <v>0.71500000000000008</v>
      </c>
    </row>
    <row r="162" spans="2:19">
      <c r="B162" s="808">
        <f t="shared" si="15"/>
        <v>1991</v>
      </c>
      <c r="C162" s="604">
        <f t="shared" si="16"/>
        <v>0</v>
      </c>
      <c r="D162" s="604">
        <f t="shared" si="17"/>
        <v>0</v>
      </c>
      <c r="E162" s="604">
        <f t="shared" si="18"/>
        <v>0.4</v>
      </c>
      <c r="F162" s="604">
        <f t="shared" si="19"/>
        <v>0.3</v>
      </c>
      <c r="G162" s="604">
        <f t="shared" si="20"/>
        <v>0.3</v>
      </c>
      <c r="H162" s="560">
        <f t="shared" si="11"/>
        <v>1</v>
      </c>
      <c r="I162" s="802">
        <v>0.2</v>
      </c>
      <c r="J162" s="779">
        <v>0.3</v>
      </c>
      <c r="K162" s="779">
        <v>0.25</v>
      </c>
      <c r="L162" s="779">
        <v>0.05</v>
      </c>
      <c r="M162" s="779">
        <v>0.2</v>
      </c>
      <c r="N162" s="786">
        <f t="shared" si="12"/>
        <v>1</v>
      </c>
      <c r="O162" s="780"/>
      <c r="P162" s="4"/>
      <c r="R162" s="117">
        <f t="shared" si="13"/>
        <v>0.73</v>
      </c>
      <c r="S162" s="205">
        <f t="shared" si="14"/>
        <v>0.71500000000000008</v>
      </c>
    </row>
    <row r="163" spans="2:19">
      <c r="B163" s="808">
        <f t="shared" si="15"/>
        <v>1992</v>
      </c>
      <c r="C163" s="604">
        <f t="shared" si="16"/>
        <v>0</v>
      </c>
      <c r="D163" s="604">
        <f t="shared" si="17"/>
        <v>0</v>
      </c>
      <c r="E163" s="604">
        <f t="shared" si="18"/>
        <v>0.4</v>
      </c>
      <c r="F163" s="604">
        <f t="shared" si="19"/>
        <v>0.3</v>
      </c>
      <c r="G163" s="604">
        <f t="shared" si="20"/>
        <v>0.3</v>
      </c>
      <c r="H163" s="560">
        <f t="shared" si="11"/>
        <v>1</v>
      </c>
      <c r="I163" s="802">
        <v>0.2</v>
      </c>
      <c r="J163" s="779">
        <v>0.3</v>
      </c>
      <c r="K163" s="779">
        <v>0.25</v>
      </c>
      <c r="L163" s="779">
        <v>0.05</v>
      </c>
      <c r="M163" s="779">
        <v>0.2</v>
      </c>
      <c r="N163" s="786">
        <f t="shared" si="12"/>
        <v>1</v>
      </c>
      <c r="O163" s="780"/>
      <c r="P163" s="4"/>
      <c r="R163" s="117">
        <f t="shared" si="13"/>
        <v>0.73</v>
      </c>
      <c r="S163" s="205">
        <f t="shared" si="14"/>
        <v>0.71500000000000008</v>
      </c>
    </row>
    <row r="164" spans="2:19">
      <c r="B164" s="808">
        <f t="shared" si="15"/>
        <v>1993</v>
      </c>
      <c r="C164" s="604">
        <f t="shared" si="16"/>
        <v>0</v>
      </c>
      <c r="D164" s="604">
        <f t="shared" si="17"/>
        <v>0</v>
      </c>
      <c r="E164" s="604">
        <f t="shared" si="18"/>
        <v>0.4</v>
      </c>
      <c r="F164" s="604">
        <f t="shared" si="19"/>
        <v>0.3</v>
      </c>
      <c r="G164" s="604">
        <f t="shared" si="20"/>
        <v>0.3</v>
      </c>
      <c r="H164" s="560">
        <f t="shared" si="11"/>
        <v>1</v>
      </c>
      <c r="I164" s="802">
        <v>0.2</v>
      </c>
      <c r="J164" s="779">
        <v>0.3</v>
      </c>
      <c r="K164" s="779">
        <v>0.25</v>
      </c>
      <c r="L164" s="779">
        <v>0.05</v>
      </c>
      <c r="M164" s="779">
        <v>0.2</v>
      </c>
      <c r="N164" s="786">
        <f t="shared" si="12"/>
        <v>1</v>
      </c>
      <c r="O164" s="780"/>
      <c r="P164" s="4"/>
      <c r="R164" s="117">
        <f t="shared" si="13"/>
        <v>0.73</v>
      </c>
      <c r="S164" s="205">
        <f t="shared" si="14"/>
        <v>0.71500000000000008</v>
      </c>
    </row>
    <row r="165" spans="2:19">
      <c r="B165" s="808">
        <f t="shared" si="15"/>
        <v>1994</v>
      </c>
      <c r="C165" s="604">
        <f t="shared" si="16"/>
        <v>0</v>
      </c>
      <c r="D165" s="604">
        <f t="shared" si="17"/>
        <v>0</v>
      </c>
      <c r="E165" s="604">
        <f t="shared" si="18"/>
        <v>0.4</v>
      </c>
      <c r="F165" s="604">
        <f t="shared" si="19"/>
        <v>0.3</v>
      </c>
      <c r="G165" s="604">
        <f t="shared" si="20"/>
        <v>0.3</v>
      </c>
      <c r="H165" s="560">
        <f t="shared" si="11"/>
        <v>1</v>
      </c>
      <c r="I165" s="802">
        <v>0.2</v>
      </c>
      <c r="J165" s="779">
        <v>0.3</v>
      </c>
      <c r="K165" s="779">
        <v>0.25</v>
      </c>
      <c r="L165" s="779">
        <v>0.05</v>
      </c>
      <c r="M165" s="779">
        <v>0.2</v>
      </c>
      <c r="N165" s="786">
        <f t="shared" si="12"/>
        <v>1</v>
      </c>
      <c r="O165" s="780"/>
      <c r="P165" s="4"/>
      <c r="R165" s="117">
        <f t="shared" si="13"/>
        <v>0.73</v>
      </c>
      <c r="S165" s="205">
        <f t="shared" si="14"/>
        <v>0.71500000000000008</v>
      </c>
    </row>
    <row r="166" spans="2:19">
      <c r="B166" s="808">
        <f t="shared" si="15"/>
        <v>1995</v>
      </c>
      <c r="C166" s="604">
        <f t="shared" si="16"/>
        <v>0</v>
      </c>
      <c r="D166" s="604">
        <f t="shared" si="17"/>
        <v>0</v>
      </c>
      <c r="E166" s="604">
        <f t="shared" si="18"/>
        <v>0.4</v>
      </c>
      <c r="F166" s="604">
        <f t="shared" si="19"/>
        <v>0.3</v>
      </c>
      <c r="G166" s="604">
        <f t="shared" si="20"/>
        <v>0.3</v>
      </c>
      <c r="H166" s="560">
        <f t="shared" si="11"/>
        <v>1</v>
      </c>
      <c r="I166" s="802">
        <v>0.2</v>
      </c>
      <c r="J166" s="779">
        <v>0.3</v>
      </c>
      <c r="K166" s="779">
        <v>0.25</v>
      </c>
      <c r="L166" s="779">
        <v>0.05</v>
      </c>
      <c r="M166" s="779">
        <v>0.2</v>
      </c>
      <c r="N166" s="786">
        <f t="shared" si="12"/>
        <v>1</v>
      </c>
      <c r="O166" s="780"/>
      <c r="P166" s="4"/>
      <c r="R166" s="117">
        <f t="shared" si="13"/>
        <v>0.73</v>
      </c>
      <c r="S166" s="205">
        <f t="shared" si="14"/>
        <v>0.71500000000000008</v>
      </c>
    </row>
    <row r="167" spans="2:19">
      <c r="B167" s="808">
        <f t="shared" si="15"/>
        <v>1996</v>
      </c>
      <c r="C167" s="604">
        <f t="shared" si="16"/>
        <v>0</v>
      </c>
      <c r="D167" s="604">
        <f t="shared" si="17"/>
        <v>0</v>
      </c>
      <c r="E167" s="604">
        <f t="shared" si="18"/>
        <v>0.4</v>
      </c>
      <c r="F167" s="604">
        <f t="shared" si="19"/>
        <v>0.3</v>
      </c>
      <c r="G167" s="604">
        <f t="shared" si="20"/>
        <v>0.3</v>
      </c>
      <c r="H167" s="560">
        <f t="shared" si="11"/>
        <v>1</v>
      </c>
      <c r="I167" s="802">
        <v>0.2</v>
      </c>
      <c r="J167" s="779">
        <v>0.3</v>
      </c>
      <c r="K167" s="779">
        <v>0.25</v>
      </c>
      <c r="L167" s="779">
        <v>0.05</v>
      </c>
      <c r="M167" s="779">
        <v>0.2</v>
      </c>
      <c r="N167" s="786">
        <f t="shared" si="12"/>
        <v>1</v>
      </c>
      <c r="O167" s="780"/>
      <c r="P167" s="4"/>
      <c r="R167" s="117">
        <f t="shared" si="13"/>
        <v>0.73</v>
      </c>
      <c r="S167" s="205">
        <f t="shared" si="14"/>
        <v>0.71500000000000008</v>
      </c>
    </row>
    <row r="168" spans="2:19">
      <c r="B168" s="808">
        <f t="shared" si="15"/>
        <v>1997</v>
      </c>
      <c r="C168" s="604">
        <f t="shared" si="16"/>
        <v>0</v>
      </c>
      <c r="D168" s="604">
        <f t="shared" si="17"/>
        <v>0</v>
      </c>
      <c r="E168" s="604">
        <f t="shared" si="18"/>
        <v>0.4</v>
      </c>
      <c r="F168" s="604">
        <f t="shared" si="19"/>
        <v>0.3</v>
      </c>
      <c r="G168" s="604">
        <f t="shared" si="20"/>
        <v>0.3</v>
      </c>
      <c r="H168" s="560">
        <f t="shared" si="11"/>
        <v>1</v>
      </c>
      <c r="I168" s="802">
        <v>0.2</v>
      </c>
      <c r="J168" s="779">
        <v>0.3</v>
      </c>
      <c r="K168" s="779">
        <v>0.25</v>
      </c>
      <c r="L168" s="779">
        <v>0.05</v>
      </c>
      <c r="M168" s="779">
        <v>0.2</v>
      </c>
      <c r="N168" s="786">
        <f t="shared" si="12"/>
        <v>1</v>
      </c>
      <c r="O168" s="780"/>
      <c r="P168" s="4"/>
      <c r="R168" s="117">
        <f t="shared" si="13"/>
        <v>0.73</v>
      </c>
      <c r="S168" s="205">
        <f t="shared" si="14"/>
        <v>0.71500000000000008</v>
      </c>
    </row>
    <row r="169" spans="2:19">
      <c r="B169" s="808">
        <f t="shared" si="15"/>
        <v>1998</v>
      </c>
      <c r="C169" s="604">
        <f t="shared" si="16"/>
        <v>0</v>
      </c>
      <c r="D169" s="604">
        <f t="shared" si="17"/>
        <v>0</v>
      </c>
      <c r="E169" s="604">
        <f t="shared" si="18"/>
        <v>0.4</v>
      </c>
      <c r="F169" s="604">
        <f t="shared" si="19"/>
        <v>0.3</v>
      </c>
      <c r="G169" s="604">
        <f t="shared" si="20"/>
        <v>0.3</v>
      </c>
      <c r="H169" s="560">
        <f t="shared" si="11"/>
        <v>1</v>
      </c>
      <c r="I169" s="802">
        <v>0.2</v>
      </c>
      <c r="J169" s="779">
        <v>0.3</v>
      </c>
      <c r="K169" s="779">
        <v>0.25</v>
      </c>
      <c r="L169" s="779">
        <v>0.05</v>
      </c>
      <c r="M169" s="779">
        <v>0.2</v>
      </c>
      <c r="N169" s="786">
        <f t="shared" si="12"/>
        <v>1</v>
      </c>
      <c r="O169" s="780"/>
      <c r="P169" s="4"/>
      <c r="R169" s="117">
        <f t="shared" si="13"/>
        <v>0.73</v>
      </c>
      <c r="S169" s="205">
        <f t="shared" si="14"/>
        <v>0.71500000000000008</v>
      </c>
    </row>
    <row r="170" spans="2:19">
      <c r="B170" s="808">
        <f t="shared" si="15"/>
        <v>1999</v>
      </c>
      <c r="C170" s="604">
        <f t="shared" si="16"/>
        <v>0</v>
      </c>
      <c r="D170" s="604">
        <f t="shared" si="17"/>
        <v>0</v>
      </c>
      <c r="E170" s="604">
        <f t="shared" si="18"/>
        <v>0.4</v>
      </c>
      <c r="F170" s="604">
        <f t="shared" si="19"/>
        <v>0.3</v>
      </c>
      <c r="G170" s="604">
        <f t="shared" si="20"/>
        <v>0.3</v>
      </c>
      <c r="H170" s="560">
        <f t="shared" si="11"/>
        <v>1</v>
      </c>
      <c r="I170" s="802">
        <v>0.2</v>
      </c>
      <c r="J170" s="779">
        <v>0.3</v>
      </c>
      <c r="K170" s="779">
        <v>0.25</v>
      </c>
      <c r="L170" s="779">
        <v>0.05</v>
      </c>
      <c r="M170" s="779">
        <v>0.2</v>
      </c>
      <c r="N170" s="786">
        <f t="shared" si="12"/>
        <v>1</v>
      </c>
      <c r="O170" s="780"/>
      <c r="P170" s="4"/>
      <c r="R170" s="117">
        <f t="shared" si="13"/>
        <v>0.73</v>
      </c>
      <c r="S170" s="205">
        <f t="shared" si="14"/>
        <v>0.71500000000000008</v>
      </c>
    </row>
    <row r="171" spans="2:19">
      <c r="B171" s="808">
        <f t="shared" si="15"/>
        <v>2000</v>
      </c>
      <c r="C171" s="604">
        <f t="shared" si="16"/>
        <v>0</v>
      </c>
      <c r="D171" s="604">
        <f t="shared" si="17"/>
        <v>0</v>
      </c>
      <c r="E171" s="604">
        <f t="shared" si="18"/>
        <v>0.4</v>
      </c>
      <c r="F171" s="604">
        <f t="shared" si="19"/>
        <v>0.3</v>
      </c>
      <c r="G171" s="604">
        <f t="shared" si="20"/>
        <v>0.3</v>
      </c>
      <c r="H171" s="560">
        <f t="shared" si="11"/>
        <v>1</v>
      </c>
      <c r="I171" s="802">
        <v>0.2</v>
      </c>
      <c r="J171" s="779">
        <v>0.3</v>
      </c>
      <c r="K171" s="779">
        <v>0.25</v>
      </c>
      <c r="L171" s="779">
        <v>0.05</v>
      </c>
      <c r="M171" s="779">
        <v>0.2</v>
      </c>
      <c r="N171" s="786">
        <f t="shared" si="12"/>
        <v>1</v>
      </c>
      <c r="O171" s="780"/>
      <c r="P171" s="4"/>
      <c r="R171" s="117">
        <f t="shared" si="13"/>
        <v>0.73</v>
      </c>
      <c r="S171" s="205">
        <f t="shared" si="14"/>
        <v>0.71500000000000008</v>
      </c>
    </row>
    <row r="172" spans="2:19">
      <c r="B172" s="808">
        <f t="shared" si="15"/>
        <v>2001</v>
      </c>
      <c r="C172" s="604">
        <f t="shared" si="16"/>
        <v>0</v>
      </c>
      <c r="D172" s="604">
        <f t="shared" si="17"/>
        <v>0</v>
      </c>
      <c r="E172" s="604">
        <f t="shared" si="18"/>
        <v>0.4</v>
      </c>
      <c r="F172" s="604">
        <f t="shared" si="19"/>
        <v>0.3</v>
      </c>
      <c r="G172" s="604">
        <f t="shared" si="20"/>
        <v>0.3</v>
      </c>
      <c r="H172" s="560">
        <f t="shared" si="11"/>
        <v>1</v>
      </c>
      <c r="I172" s="802">
        <v>0.2</v>
      </c>
      <c r="J172" s="779">
        <v>0.3</v>
      </c>
      <c r="K172" s="779">
        <v>0.25</v>
      </c>
      <c r="L172" s="779">
        <v>0.05</v>
      </c>
      <c r="M172" s="779">
        <v>0.2</v>
      </c>
      <c r="N172" s="786">
        <f t="shared" si="12"/>
        <v>1</v>
      </c>
      <c r="O172" s="780"/>
      <c r="P172" s="4"/>
      <c r="R172" s="117">
        <f t="shared" si="13"/>
        <v>0.73</v>
      </c>
      <c r="S172" s="205">
        <f t="shared" si="14"/>
        <v>0.71500000000000008</v>
      </c>
    </row>
    <row r="173" spans="2:19">
      <c r="B173" s="808">
        <f t="shared" si="15"/>
        <v>2002</v>
      </c>
      <c r="C173" s="604">
        <f t="shared" si="16"/>
        <v>0</v>
      </c>
      <c r="D173" s="604">
        <f t="shared" si="17"/>
        <v>0</v>
      </c>
      <c r="E173" s="604">
        <f t="shared" si="18"/>
        <v>0.4</v>
      </c>
      <c r="F173" s="604">
        <f t="shared" si="19"/>
        <v>0.3</v>
      </c>
      <c r="G173" s="604">
        <f t="shared" si="20"/>
        <v>0.3</v>
      </c>
      <c r="H173" s="560">
        <f t="shared" si="11"/>
        <v>1</v>
      </c>
      <c r="I173" s="802">
        <v>0.2</v>
      </c>
      <c r="J173" s="779">
        <v>0.3</v>
      </c>
      <c r="K173" s="779">
        <v>0.25</v>
      </c>
      <c r="L173" s="779">
        <v>0.05</v>
      </c>
      <c r="M173" s="779">
        <v>0.2</v>
      </c>
      <c r="N173" s="786">
        <f t="shared" si="12"/>
        <v>1</v>
      </c>
      <c r="O173" s="780"/>
      <c r="P173" s="4"/>
      <c r="R173" s="117">
        <f t="shared" si="13"/>
        <v>0.73</v>
      </c>
      <c r="S173" s="205">
        <f t="shared" si="14"/>
        <v>0.71500000000000008</v>
      </c>
    </row>
    <row r="174" spans="2:19">
      <c r="B174" s="808">
        <f t="shared" si="15"/>
        <v>2003</v>
      </c>
      <c r="C174" s="604">
        <f t="shared" si="16"/>
        <v>0</v>
      </c>
      <c r="D174" s="604">
        <f t="shared" si="17"/>
        <v>0</v>
      </c>
      <c r="E174" s="604">
        <f t="shared" si="18"/>
        <v>0.4</v>
      </c>
      <c r="F174" s="604">
        <f t="shared" si="19"/>
        <v>0.3</v>
      </c>
      <c r="G174" s="604">
        <f t="shared" si="20"/>
        <v>0.3</v>
      </c>
      <c r="H174" s="560">
        <f t="shared" si="11"/>
        <v>1</v>
      </c>
      <c r="I174" s="802">
        <v>0.2</v>
      </c>
      <c r="J174" s="779">
        <v>0.3</v>
      </c>
      <c r="K174" s="779">
        <v>0.25</v>
      </c>
      <c r="L174" s="779">
        <v>0.05</v>
      </c>
      <c r="M174" s="779">
        <v>0.2</v>
      </c>
      <c r="N174" s="786">
        <f t="shared" si="12"/>
        <v>1</v>
      </c>
      <c r="O174" s="780"/>
      <c r="P174" s="4"/>
      <c r="R174" s="117">
        <f t="shared" si="13"/>
        <v>0.73</v>
      </c>
      <c r="S174" s="205">
        <f t="shared" si="14"/>
        <v>0.71500000000000008</v>
      </c>
    </row>
    <row r="175" spans="2:19">
      <c r="B175" s="808">
        <f t="shared" si="15"/>
        <v>2004</v>
      </c>
      <c r="C175" s="604">
        <f t="shared" si="16"/>
        <v>0</v>
      </c>
      <c r="D175" s="604">
        <f t="shared" si="17"/>
        <v>0</v>
      </c>
      <c r="E175" s="604">
        <f t="shared" si="18"/>
        <v>0.4</v>
      </c>
      <c r="F175" s="604">
        <f t="shared" si="19"/>
        <v>0.3</v>
      </c>
      <c r="G175" s="604">
        <f t="shared" si="20"/>
        <v>0.3</v>
      </c>
      <c r="H175" s="560">
        <f t="shared" si="11"/>
        <v>1</v>
      </c>
      <c r="I175" s="802">
        <v>0.2</v>
      </c>
      <c r="J175" s="779">
        <v>0.3</v>
      </c>
      <c r="K175" s="779">
        <v>0.25</v>
      </c>
      <c r="L175" s="779">
        <v>0.05</v>
      </c>
      <c r="M175" s="779">
        <v>0.2</v>
      </c>
      <c r="N175" s="786">
        <f t="shared" si="12"/>
        <v>1</v>
      </c>
      <c r="O175" s="780"/>
      <c r="P175" s="4"/>
      <c r="R175" s="117">
        <f t="shared" si="13"/>
        <v>0.73</v>
      </c>
      <c r="S175" s="205">
        <f t="shared" si="14"/>
        <v>0.71500000000000008</v>
      </c>
    </row>
    <row r="176" spans="2:19">
      <c r="B176" s="808">
        <f t="shared" si="15"/>
        <v>2005</v>
      </c>
      <c r="C176" s="604">
        <f t="shared" si="16"/>
        <v>0</v>
      </c>
      <c r="D176" s="604">
        <f t="shared" si="17"/>
        <v>0</v>
      </c>
      <c r="E176" s="604">
        <f t="shared" si="18"/>
        <v>0.4</v>
      </c>
      <c r="F176" s="604">
        <f t="shared" si="19"/>
        <v>0.3</v>
      </c>
      <c r="G176" s="604">
        <f t="shared" si="20"/>
        <v>0.3</v>
      </c>
      <c r="H176" s="560">
        <f t="shared" si="11"/>
        <v>1</v>
      </c>
      <c r="I176" s="802">
        <v>0.2</v>
      </c>
      <c r="J176" s="779">
        <v>0.3</v>
      </c>
      <c r="K176" s="779">
        <v>0.25</v>
      </c>
      <c r="L176" s="779">
        <v>0.05</v>
      </c>
      <c r="M176" s="779">
        <v>0.2</v>
      </c>
      <c r="N176" s="786">
        <f t="shared" si="12"/>
        <v>1</v>
      </c>
      <c r="O176" s="780"/>
      <c r="P176" s="4"/>
      <c r="R176" s="117">
        <f t="shared" si="13"/>
        <v>0.73</v>
      </c>
      <c r="S176" s="205">
        <f t="shared" si="14"/>
        <v>0.71500000000000008</v>
      </c>
    </row>
    <row r="177" spans="1:19">
      <c r="B177" s="808">
        <f t="shared" si="15"/>
        <v>2006</v>
      </c>
      <c r="C177" s="604">
        <f t="shared" si="16"/>
        <v>0</v>
      </c>
      <c r="D177" s="604">
        <f t="shared" si="17"/>
        <v>0</v>
      </c>
      <c r="E177" s="604">
        <f t="shared" si="18"/>
        <v>0.4</v>
      </c>
      <c r="F177" s="604">
        <f t="shared" si="19"/>
        <v>0.3</v>
      </c>
      <c r="G177" s="604">
        <f t="shared" si="20"/>
        <v>0.3</v>
      </c>
      <c r="H177" s="560">
        <f t="shared" si="11"/>
        <v>1</v>
      </c>
      <c r="I177" s="802">
        <v>0.2</v>
      </c>
      <c r="J177" s="779">
        <v>0.3</v>
      </c>
      <c r="K177" s="779">
        <v>0.25</v>
      </c>
      <c r="L177" s="779">
        <v>0.05</v>
      </c>
      <c r="M177" s="779">
        <v>0.2</v>
      </c>
      <c r="N177" s="786">
        <f t="shared" si="12"/>
        <v>1</v>
      </c>
      <c r="O177" s="780"/>
      <c r="P177" s="4"/>
      <c r="R177" s="117">
        <f t="shared" si="13"/>
        <v>0.73</v>
      </c>
      <c r="S177" s="205">
        <f t="shared" si="14"/>
        <v>0.71500000000000008</v>
      </c>
    </row>
    <row r="178" spans="1:19">
      <c r="B178" s="808">
        <f t="shared" si="15"/>
        <v>2007</v>
      </c>
      <c r="C178" s="604">
        <f t="shared" si="16"/>
        <v>0</v>
      </c>
      <c r="D178" s="604">
        <f t="shared" si="17"/>
        <v>0</v>
      </c>
      <c r="E178" s="604">
        <f t="shared" si="18"/>
        <v>0.4</v>
      </c>
      <c r="F178" s="604">
        <f t="shared" si="19"/>
        <v>0.3</v>
      </c>
      <c r="G178" s="604">
        <f t="shared" si="20"/>
        <v>0.3</v>
      </c>
      <c r="H178" s="560">
        <f t="shared" si="11"/>
        <v>1</v>
      </c>
      <c r="I178" s="802">
        <v>0.2</v>
      </c>
      <c r="J178" s="779">
        <v>0.3</v>
      </c>
      <c r="K178" s="779">
        <v>0.25</v>
      </c>
      <c r="L178" s="779">
        <v>0.05</v>
      </c>
      <c r="M178" s="779">
        <v>0.2</v>
      </c>
      <c r="N178" s="786">
        <f t="shared" si="12"/>
        <v>1</v>
      </c>
      <c r="O178" s="780"/>
      <c r="P178" s="4"/>
      <c r="R178" s="117">
        <f t="shared" si="13"/>
        <v>0.73</v>
      </c>
      <c r="S178" s="205">
        <f t="shared" si="14"/>
        <v>0.71500000000000008</v>
      </c>
    </row>
    <row r="179" spans="1:19">
      <c r="B179" s="808">
        <f t="shared" si="15"/>
        <v>2008</v>
      </c>
      <c r="C179" s="604">
        <f t="shared" si="16"/>
        <v>0</v>
      </c>
      <c r="D179" s="604">
        <f t="shared" si="17"/>
        <v>0</v>
      </c>
      <c r="E179" s="604">
        <f t="shared" si="18"/>
        <v>0.4</v>
      </c>
      <c r="F179" s="604">
        <f t="shared" si="19"/>
        <v>0.3</v>
      </c>
      <c r="G179" s="604">
        <f t="shared" si="20"/>
        <v>0.3</v>
      </c>
      <c r="H179" s="560">
        <f t="shared" si="11"/>
        <v>1</v>
      </c>
      <c r="I179" s="802">
        <v>0.2</v>
      </c>
      <c r="J179" s="779">
        <v>0.3</v>
      </c>
      <c r="K179" s="779">
        <v>0.25</v>
      </c>
      <c r="L179" s="779">
        <v>0.05</v>
      </c>
      <c r="M179" s="779">
        <v>0.2</v>
      </c>
      <c r="N179" s="786">
        <f t="shared" si="12"/>
        <v>1</v>
      </c>
      <c r="O179" s="780"/>
      <c r="P179" s="4"/>
      <c r="R179" s="117">
        <f t="shared" si="13"/>
        <v>0.73</v>
      </c>
      <c r="S179" s="205">
        <f t="shared" si="14"/>
        <v>0.71500000000000008</v>
      </c>
    </row>
    <row r="180" spans="1:19">
      <c r="B180" s="808">
        <f t="shared" si="15"/>
        <v>2009</v>
      </c>
      <c r="C180" s="604">
        <f t="shared" si="16"/>
        <v>0</v>
      </c>
      <c r="D180" s="604">
        <f t="shared" si="17"/>
        <v>0</v>
      </c>
      <c r="E180" s="604">
        <f t="shared" si="18"/>
        <v>0.4</v>
      </c>
      <c r="F180" s="604">
        <f t="shared" si="19"/>
        <v>0.3</v>
      </c>
      <c r="G180" s="604">
        <f t="shared" si="20"/>
        <v>0.3</v>
      </c>
      <c r="H180" s="560">
        <f t="shared" si="11"/>
        <v>1</v>
      </c>
      <c r="I180" s="802">
        <v>0.2</v>
      </c>
      <c r="J180" s="779">
        <v>0.3</v>
      </c>
      <c r="K180" s="779">
        <v>0.25</v>
      </c>
      <c r="L180" s="779">
        <v>0.05</v>
      </c>
      <c r="M180" s="779">
        <v>0.2</v>
      </c>
      <c r="N180" s="786">
        <f t="shared" si="12"/>
        <v>1</v>
      </c>
      <c r="O180" s="780"/>
      <c r="P180" s="4"/>
      <c r="R180" s="117">
        <f t="shared" si="13"/>
        <v>0.73</v>
      </c>
      <c r="S180" s="205">
        <f t="shared" si="14"/>
        <v>0.71500000000000008</v>
      </c>
    </row>
    <row r="181" spans="1:19">
      <c r="B181" s="808">
        <f t="shared" si="15"/>
        <v>2010</v>
      </c>
      <c r="C181" s="604">
        <f t="shared" si="16"/>
        <v>0</v>
      </c>
      <c r="D181" s="604">
        <f t="shared" si="17"/>
        <v>0</v>
      </c>
      <c r="E181" s="604">
        <f t="shared" si="18"/>
        <v>0.4</v>
      </c>
      <c r="F181" s="604">
        <f t="shared" si="19"/>
        <v>0.3</v>
      </c>
      <c r="G181" s="604">
        <f t="shared" si="20"/>
        <v>0.3</v>
      </c>
      <c r="H181" s="560">
        <f t="shared" si="11"/>
        <v>1</v>
      </c>
      <c r="I181" s="802">
        <v>0.2</v>
      </c>
      <c r="J181" s="779">
        <v>0.3</v>
      </c>
      <c r="K181" s="779">
        <v>0.25</v>
      </c>
      <c r="L181" s="779">
        <v>0.05</v>
      </c>
      <c r="M181" s="779">
        <v>0.2</v>
      </c>
      <c r="N181" s="786">
        <f t="shared" si="12"/>
        <v>1</v>
      </c>
      <c r="O181" s="780"/>
      <c r="P181" s="4"/>
      <c r="R181" s="117">
        <f t="shared" si="13"/>
        <v>0.73</v>
      </c>
      <c r="S181" s="205">
        <f t="shared" si="14"/>
        <v>0.71500000000000008</v>
      </c>
    </row>
    <row r="182" spans="1:19">
      <c r="B182" s="808">
        <f t="shared" si="15"/>
        <v>2011</v>
      </c>
      <c r="C182" s="604">
        <f t="shared" si="16"/>
        <v>0</v>
      </c>
      <c r="D182" s="604">
        <f t="shared" si="17"/>
        <v>0</v>
      </c>
      <c r="E182" s="604">
        <f t="shared" si="18"/>
        <v>0.4</v>
      </c>
      <c r="F182" s="604">
        <f t="shared" si="19"/>
        <v>0.3</v>
      </c>
      <c r="G182" s="604">
        <f t="shared" si="20"/>
        <v>0.3</v>
      </c>
      <c r="H182" s="560">
        <f t="shared" si="11"/>
        <v>1</v>
      </c>
      <c r="I182" s="802">
        <v>0.2</v>
      </c>
      <c r="J182" s="779">
        <v>0.3</v>
      </c>
      <c r="K182" s="779">
        <v>0.25</v>
      </c>
      <c r="L182" s="779">
        <v>0.05</v>
      </c>
      <c r="M182" s="779">
        <v>0.2</v>
      </c>
      <c r="N182" s="786">
        <f t="shared" si="12"/>
        <v>1</v>
      </c>
      <c r="O182" s="780"/>
      <c r="P182" s="4"/>
      <c r="R182" s="117">
        <f t="shared" si="13"/>
        <v>0.73</v>
      </c>
      <c r="S182" s="205">
        <f t="shared" si="14"/>
        <v>0.71500000000000008</v>
      </c>
    </row>
    <row r="183" spans="1:19">
      <c r="B183" s="808">
        <f t="shared" si="15"/>
        <v>2012</v>
      </c>
      <c r="C183" s="604">
        <f t="shared" si="16"/>
        <v>0</v>
      </c>
      <c r="D183" s="604">
        <f t="shared" si="17"/>
        <v>0</v>
      </c>
      <c r="E183" s="604">
        <f t="shared" si="18"/>
        <v>0.4</v>
      </c>
      <c r="F183" s="604">
        <f t="shared" si="19"/>
        <v>0.3</v>
      </c>
      <c r="G183" s="604">
        <f t="shared" si="20"/>
        <v>0.3</v>
      </c>
      <c r="H183" s="560">
        <f t="shared" si="11"/>
        <v>1</v>
      </c>
      <c r="I183" s="802">
        <v>0.2</v>
      </c>
      <c r="J183" s="779">
        <v>0.3</v>
      </c>
      <c r="K183" s="779">
        <v>0.25</v>
      </c>
      <c r="L183" s="779">
        <v>0.05</v>
      </c>
      <c r="M183" s="779">
        <v>0.2</v>
      </c>
      <c r="N183" s="786">
        <f t="shared" si="12"/>
        <v>1</v>
      </c>
      <c r="O183" s="780"/>
      <c r="P183" s="4"/>
      <c r="R183" s="117">
        <f t="shared" si="13"/>
        <v>0.73</v>
      </c>
      <c r="S183" s="205">
        <f t="shared" si="14"/>
        <v>0.71500000000000008</v>
      </c>
    </row>
    <row r="184" spans="1:19">
      <c r="B184" s="808">
        <f t="shared" si="15"/>
        <v>2013</v>
      </c>
      <c r="C184" s="604">
        <f t="shared" si="16"/>
        <v>0</v>
      </c>
      <c r="D184" s="604">
        <f t="shared" si="17"/>
        <v>0</v>
      </c>
      <c r="E184" s="604">
        <f t="shared" si="18"/>
        <v>0.4</v>
      </c>
      <c r="F184" s="604">
        <f t="shared" si="19"/>
        <v>0.3</v>
      </c>
      <c r="G184" s="604">
        <f t="shared" si="20"/>
        <v>0.3</v>
      </c>
      <c r="H184" s="560">
        <f t="shared" si="11"/>
        <v>1</v>
      </c>
      <c r="I184" s="802">
        <v>0.2</v>
      </c>
      <c r="J184" s="779">
        <v>0.3</v>
      </c>
      <c r="K184" s="779">
        <v>0.25</v>
      </c>
      <c r="L184" s="779">
        <v>0.05</v>
      </c>
      <c r="M184" s="779">
        <v>0.2</v>
      </c>
      <c r="N184" s="786">
        <f t="shared" si="12"/>
        <v>1</v>
      </c>
      <c r="O184" s="780"/>
      <c r="P184" s="4"/>
      <c r="R184" s="117">
        <f t="shared" si="13"/>
        <v>0.73</v>
      </c>
      <c r="S184" s="205">
        <f t="shared" si="14"/>
        <v>0.71500000000000008</v>
      </c>
    </row>
    <row r="185" spans="1:19">
      <c r="B185" s="808">
        <f t="shared" si="15"/>
        <v>2014</v>
      </c>
      <c r="C185" s="604">
        <f t="shared" si="16"/>
        <v>0</v>
      </c>
      <c r="D185" s="604">
        <f t="shared" si="17"/>
        <v>0</v>
      </c>
      <c r="E185" s="604">
        <f t="shared" si="18"/>
        <v>0.4</v>
      </c>
      <c r="F185" s="604">
        <f t="shared" si="19"/>
        <v>0.3</v>
      </c>
      <c r="G185" s="604">
        <f t="shared" si="20"/>
        <v>0.3</v>
      </c>
      <c r="H185" s="560">
        <f t="shared" ref="H185:H216" si="21">SUM(C185:G185)</f>
        <v>1</v>
      </c>
      <c r="I185" s="802">
        <v>0.2</v>
      </c>
      <c r="J185" s="779">
        <v>0.3</v>
      </c>
      <c r="K185" s="779">
        <v>0.25</v>
      </c>
      <c r="L185" s="779">
        <v>0.05</v>
      </c>
      <c r="M185" s="779">
        <v>0.2</v>
      </c>
      <c r="N185" s="786">
        <f t="shared" ref="N185:N216" si="22">SUM(I185:M185)</f>
        <v>1</v>
      </c>
      <c r="O185" s="780"/>
      <c r="P185" s="4"/>
      <c r="R185" s="117">
        <f t="shared" ref="R185:R221" si="23">C185*C$116+D185*D$116+E185*E$116+F185*F$116+G185*G$116</f>
        <v>0.73</v>
      </c>
      <c r="S185" s="205">
        <f t="shared" ref="S185:S221" si="24">I185*$I$116+J185*$J$116+K185*$K$116+L185*L$116+M185*$M$116</f>
        <v>0.71500000000000008</v>
      </c>
    </row>
    <row r="186" spans="1:19">
      <c r="B186" s="808">
        <f t="shared" ref="B186:B221" si="25">B185+1</f>
        <v>2015</v>
      </c>
      <c r="C186" s="604">
        <f t="shared" si="16"/>
        <v>0</v>
      </c>
      <c r="D186" s="604">
        <f t="shared" si="17"/>
        <v>0</v>
      </c>
      <c r="E186" s="604">
        <f t="shared" si="18"/>
        <v>0.4</v>
      </c>
      <c r="F186" s="604">
        <f t="shared" si="19"/>
        <v>0.3</v>
      </c>
      <c r="G186" s="604">
        <f t="shared" si="20"/>
        <v>0.3</v>
      </c>
      <c r="H186" s="560">
        <f t="shared" si="21"/>
        <v>1</v>
      </c>
      <c r="I186" s="802">
        <v>0.2</v>
      </c>
      <c r="J186" s="779">
        <v>0.3</v>
      </c>
      <c r="K186" s="779">
        <v>0.25</v>
      </c>
      <c r="L186" s="779">
        <v>0.05</v>
      </c>
      <c r="M186" s="779">
        <v>0.2</v>
      </c>
      <c r="N186" s="786">
        <f t="shared" si="22"/>
        <v>1</v>
      </c>
      <c r="O186" s="780"/>
      <c r="P186" s="4"/>
      <c r="R186" s="117">
        <f t="shared" si="23"/>
        <v>0.73</v>
      </c>
      <c r="S186" s="205">
        <f t="shared" si="24"/>
        <v>0.71500000000000008</v>
      </c>
    </row>
    <row r="187" spans="1:19" ht="15.75" thickBot="1">
      <c r="B187" s="808">
        <f t="shared" si="25"/>
        <v>2016</v>
      </c>
      <c r="C187" s="604">
        <f t="shared" si="16"/>
        <v>0</v>
      </c>
      <c r="D187" s="604">
        <f t="shared" si="17"/>
        <v>0</v>
      </c>
      <c r="E187" s="604">
        <f t="shared" si="18"/>
        <v>0.4</v>
      </c>
      <c r="F187" s="604">
        <f t="shared" si="19"/>
        <v>0.3</v>
      </c>
      <c r="G187" s="604">
        <f t="shared" si="20"/>
        <v>0.3</v>
      </c>
      <c r="H187" s="560">
        <f t="shared" si="21"/>
        <v>1</v>
      </c>
      <c r="I187" s="802">
        <v>0.2</v>
      </c>
      <c r="J187" s="779">
        <v>0.3</v>
      </c>
      <c r="K187" s="779">
        <v>0.25</v>
      </c>
      <c r="L187" s="779">
        <v>0.05</v>
      </c>
      <c r="M187" s="779">
        <v>0.2</v>
      </c>
      <c r="N187" s="786">
        <f t="shared" si="22"/>
        <v>1</v>
      </c>
      <c r="O187" s="780"/>
      <c r="P187" s="4"/>
      <c r="R187" s="120">
        <f t="shared" si="23"/>
        <v>0.73</v>
      </c>
      <c r="S187" s="206">
        <f t="shared" si="24"/>
        <v>0.71500000000000008</v>
      </c>
    </row>
    <row r="188" spans="1:19" s="1" customFormat="1">
      <c r="B188" s="783">
        <f t="shared" si="25"/>
        <v>2017</v>
      </c>
      <c r="C188" s="784">
        <f t="shared" si="16"/>
        <v>0</v>
      </c>
      <c r="D188" s="784">
        <f t="shared" si="17"/>
        <v>0</v>
      </c>
      <c r="E188" s="784">
        <f t="shared" si="18"/>
        <v>0.4</v>
      </c>
      <c r="F188" s="784">
        <f t="shared" si="19"/>
        <v>0.3</v>
      </c>
      <c r="G188" s="784">
        <f t="shared" si="20"/>
        <v>0.3</v>
      </c>
      <c r="H188" s="796">
        <f t="shared" si="21"/>
        <v>1</v>
      </c>
      <c r="I188" s="800">
        <v>0.2</v>
      </c>
      <c r="J188" s="801">
        <v>0.3</v>
      </c>
      <c r="K188" s="801">
        <v>0.25</v>
      </c>
      <c r="L188" s="801">
        <v>0.05</v>
      </c>
      <c r="M188" s="801">
        <v>0.2</v>
      </c>
      <c r="N188" s="785">
        <f t="shared" si="22"/>
        <v>1</v>
      </c>
      <c r="O188" s="799"/>
      <c r="P188" s="340"/>
      <c r="R188" s="767">
        <f t="shared" si="23"/>
        <v>0.73</v>
      </c>
      <c r="S188" s="119">
        <f t="shared" si="24"/>
        <v>0.71500000000000008</v>
      </c>
    </row>
    <row r="189" spans="1:19">
      <c r="A189" s="413" t="s">
        <v>569</v>
      </c>
      <c r="B189" s="808">
        <f t="shared" si="25"/>
        <v>2018</v>
      </c>
      <c r="C189" s="604">
        <v>0</v>
      </c>
      <c r="D189" s="604">
        <v>0</v>
      </c>
      <c r="E189" s="604">
        <f t="shared" ref="E189:E200" si="26">($E$201-$E$188)/($B$201-$B$188)+E188</f>
        <v>0.42307692307692307</v>
      </c>
      <c r="F189" s="604">
        <f t="shared" ref="F189:F200" si="27">($F$201-$F$188)/($B$201-$B$188)+F188</f>
        <v>0.28846153846153844</v>
      </c>
      <c r="G189" s="604">
        <f>($G$201-$G$188)/($B$201-$B$188)+G188</f>
        <v>0.28846153846153844</v>
      </c>
      <c r="H189" s="560">
        <f t="shared" si="21"/>
        <v>0.99999999999999989</v>
      </c>
      <c r="I189" s="802">
        <v>0.2</v>
      </c>
      <c r="J189" s="779">
        <v>0.3</v>
      </c>
      <c r="K189" s="779">
        <v>0.25</v>
      </c>
      <c r="L189" s="779">
        <v>0.05</v>
      </c>
      <c r="M189" s="779">
        <v>0.2</v>
      </c>
      <c r="N189" s="786">
        <f t="shared" si="22"/>
        <v>1</v>
      </c>
      <c r="O189" s="780"/>
      <c r="P189" s="99"/>
      <c r="R189" s="117">
        <f t="shared" si="23"/>
        <v>0.74038461538461531</v>
      </c>
      <c r="S189" s="205">
        <f t="shared" si="24"/>
        <v>0.71500000000000008</v>
      </c>
    </row>
    <row r="190" spans="1:19">
      <c r="B190" s="808">
        <f t="shared" si="25"/>
        <v>2019</v>
      </c>
      <c r="C190" s="604">
        <v>0</v>
      </c>
      <c r="D190" s="604">
        <v>0</v>
      </c>
      <c r="E190" s="604">
        <f t="shared" si="26"/>
        <v>0.44615384615384612</v>
      </c>
      <c r="F190" s="604">
        <f t="shared" si="27"/>
        <v>0.27692307692307688</v>
      </c>
      <c r="G190" s="604">
        <f t="shared" ref="G190:G200" si="28">($G$201-$G$188)/($B$201-$B$188)+G189</f>
        <v>0.27692307692307688</v>
      </c>
      <c r="H190" s="560">
        <f t="shared" si="21"/>
        <v>0.99999999999999978</v>
      </c>
      <c r="I190" s="802">
        <v>0.2</v>
      </c>
      <c r="J190" s="779">
        <v>0.3</v>
      </c>
      <c r="K190" s="779">
        <v>0.25</v>
      </c>
      <c r="L190" s="779">
        <v>0.05</v>
      </c>
      <c r="M190" s="779">
        <v>0.2</v>
      </c>
      <c r="N190" s="786">
        <f t="shared" si="22"/>
        <v>1</v>
      </c>
      <c r="O190" s="780"/>
      <c r="P190" s="99"/>
      <c r="R190" s="117">
        <f t="shared" si="23"/>
        <v>0.75076923076923063</v>
      </c>
      <c r="S190" s="205">
        <f t="shared" si="24"/>
        <v>0.71500000000000008</v>
      </c>
    </row>
    <row r="191" spans="1:19">
      <c r="B191" s="808">
        <f t="shared" si="25"/>
        <v>2020</v>
      </c>
      <c r="C191" s="604">
        <v>0</v>
      </c>
      <c r="D191" s="604">
        <v>0</v>
      </c>
      <c r="E191" s="604">
        <f t="shared" si="26"/>
        <v>0.46923076923076917</v>
      </c>
      <c r="F191" s="604">
        <f t="shared" si="27"/>
        <v>0.26538461538461533</v>
      </c>
      <c r="G191" s="604">
        <f t="shared" si="28"/>
        <v>0.26538461538461533</v>
      </c>
      <c r="H191" s="560">
        <f t="shared" si="21"/>
        <v>0.99999999999999978</v>
      </c>
      <c r="I191" s="802">
        <v>0.2</v>
      </c>
      <c r="J191" s="779">
        <v>0.3</v>
      </c>
      <c r="K191" s="779">
        <v>0.25</v>
      </c>
      <c r="L191" s="779">
        <v>0.05</v>
      </c>
      <c r="M191" s="779">
        <v>0.2</v>
      </c>
      <c r="N191" s="786">
        <f t="shared" si="22"/>
        <v>1</v>
      </c>
      <c r="O191" s="780"/>
      <c r="P191" s="99"/>
      <c r="R191" s="117">
        <f t="shared" si="23"/>
        <v>0.76115384615384596</v>
      </c>
      <c r="S191" s="205">
        <f t="shared" si="24"/>
        <v>0.71500000000000008</v>
      </c>
    </row>
    <row r="192" spans="1:19">
      <c r="B192" s="808">
        <f t="shared" si="25"/>
        <v>2021</v>
      </c>
      <c r="C192" s="604">
        <v>0</v>
      </c>
      <c r="D192" s="604">
        <v>0</v>
      </c>
      <c r="E192" s="604">
        <f t="shared" si="26"/>
        <v>0.49230769230769222</v>
      </c>
      <c r="F192" s="604">
        <f t="shared" si="27"/>
        <v>0.25384615384615378</v>
      </c>
      <c r="G192" s="604">
        <f t="shared" si="28"/>
        <v>0.25384615384615378</v>
      </c>
      <c r="H192" s="560">
        <f t="shared" si="21"/>
        <v>0.99999999999999978</v>
      </c>
      <c r="I192" s="802">
        <v>0.2</v>
      </c>
      <c r="J192" s="779">
        <v>0.3</v>
      </c>
      <c r="K192" s="779">
        <v>0.25</v>
      </c>
      <c r="L192" s="779">
        <v>0.05</v>
      </c>
      <c r="M192" s="779">
        <v>0.2</v>
      </c>
      <c r="N192" s="786">
        <f t="shared" si="22"/>
        <v>1</v>
      </c>
      <c r="O192" s="780"/>
      <c r="P192" s="99"/>
      <c r="R192" s="117">
        <f t="shared" si="23"/>
        <v>0.7715384615384614</v>
      </c>
      <c r="S192" s="205">
        <f t="shared" si="24"/>
        <v>0.71500000000000008</v>
      </c>
    </row>
    <row r="193" spans="2:19">
      <c r="B193" s="808">
        <f t="shared" si="25"/>
        <v>2022</v>
      </c>
      <c r="C193" s="604">
        <v>0</v>
      </c>
      <c r="D193" s="604">
        <v>0</v>
      </c>
      <c r="E193" s="604">
        <f t="shared" si="26"/>
        <v>0.51538461538461533</v>
      </c>
      <c r="F193" s="604">
        <f t="shared" si="27"/>
        <v>0.24230769230769225</v>
      </c>
      <c r="G193" s="604">
        <f t="shared" si="28"/>
        <v>0.24230769230769225</v>
      </c>
      <c r="H193" s="560">
        <f t="shared" si="21"/>
        <v>0.99999999999999978</v>
      </c>
      <c r="I193" s="802">
        <v>0.2</v>
      </c>
      <c r="J193" s="779">
        <v>0.3</v>
      </c>
      <c r="K193" s="779">
        <v>0.25</v>
      </c>
      <c r="L193" s="779">
        <v>0.05</v>
      </c>
      <c r="M193" s="779">
        <v>0.2</v>
      </c>
      <c r="N193" s="786">
        <f t="shared" si="22"/>
        <v>1</v>
      </c>
      <c r="O193" s="780"/>
      <c r="P193" s="99"/>
      <c r="R193" s="117">
        <f t="shared" si="23"/>
        <v>0.78192307692307683</v>
      </c>
      <c r="S193" s="205">
        <f t="shared" si="24"/>
        <v>0.71500000000000008</v>
      </c>
    </row>
    <row r="194" spans="2:19">
      <c r="B194" s="808">
        <f t="shared" si="25"/>
        <v>2023</v>
      </c>
      <c r="C194" s="604">
        <v>0</v>
      </c>
      <c r="D194" s="604">
        <v>0</v>
      </c>
      <c r="E194" s="604">
        <f t="shared" si="26"/>
        <v>0.53846153846153844</v>
      </c>
      <c r="F194" s="604">
        <f t="shared" si="27"/>
        <v>0.23076923076923073</v>
      </c>
      <c r="G194" s="604">
        <f t="shared" si="28"/>
        <v>0.23076923076923073</v>
      </c>
      <c r="H194" s="560">
        <f t="shared" si="21"/>
        <v>0.99999999999999989</v>
      </c>
      <c r="I194" s="802">
        <v>0.2</v>
      </c>
      <c r="J194" s="779">
        <v>0.3</v>
      </c>
      <c r="K194" s="779">
        <v>0.25</v>
      </c>
      <c r="L194" s="779">
        <v>0.05</v>
      </c>
      <c r="M194" s="779">
        <v>0.2</v>
      </c>
      <c r="N194" s="786">
        <f t="shared" si="22"/>
        <v>1</v>
      </c>
      <c r="O194" s="780"/>
      <c r="P194" s="99"/>
      <c r="R194" s="117">
        <f t="shared" si="23"/>
        <v>0.79230769230769216</v>
      </c>
      <c r="S194" s="205">
        <f t="shared" si="24"/>
        <v>0.71500000000000008</v>
      </c>
    </row>
    <row r="195" spans="2:19">
      <c r="B195" s="808">
        <f t="shared" si="25"/>
        <v>2024</v>
      </c>
      <c r="C195" s="604">
        <v>0</v>
      </c>
      <c r="D195" s="604">
        <v>0</v>
      </c>
      <c r="E195" s="604">
        <f t="shared" si="26"/>
        <v>0.56153846153846154</v>
      </c>
      <c r="F195" s="604">
        <f t="shared" si="27"/>
        <v>0.2192307692307692</v>
      </c>
      <c r="G195" s="604">
        <f t="shared" si="28"/>
        <v>0.2192307692307692</v>
      </c>
      <c r="H195" s="560">
        <f t="shared" si="21"/>
        <v>1</v>
      </c>
      <c r="I195" s="802">
        <v>0.2</v>
      </c>
      <c r="J195" s="779">
        <v>0.3</v>
      </c>
      <c r="K195" s="779">
        <v>0.25</v>
      </c>
      <c r="L195" s="779">
        <v>0.05</v>
      </c>
      <c r="M195" s="779">
        <v>0.2</v>
      </c>
      <c r="N195" s="786">
        <f t="shared" si="22"/>
        <v>1</v>
      </c>
      <c r="O195" s="780"/>
      <c r="P195" s="99"/>
      <c r="R195" s="117">
        <f t="shared" si="23"/>
        <v>0.80269230769230759</v>
      </c>
      <c r="S195" s="205">
        <f t="shared" si="24"/>
        <v>0.71500000000000008</v>
      </c>
    </row>
    <row r="196" spans="2:19">
      <c r="B196" s="808">
        <f t="shared" si="25"/>
        <v>2025</v>
      </c>
      <c r="C196" s="604">
        <v>0</v>
      </c>
      <c r="D196" s="604">
        <v>0</v>
      </c>
      <c r="E196" s="604">
        <f t="shared" si="26"/>
        <v>0.58461538461538465</v>
      </c>
      <c r="F196" s="604">
        <f t="shared" si="27"/>
        <v>0.20769230769230768</v>
      </c>
      <c r="G196" s="604">
        <f t="shared" si="28"/>
        <v>0.20769230769230768</v>
      </c>
      <c r="H196" s="560">
        <f t="shared" si="21"/>
        <v>1</v>
      </c>
      <c r="I196" s="802">
        <v>0.2</v>
      </c>
      <c r="J196" s="779">
        <v>0.3</v>
      </c>
      <c r="K196" s="779">
        <v>0.25</v>
      </c>
      <c r="L196" s="779">
        <v>0.05</v>
      </c>
      <c r="M196" s="779">
        <v>0.2</v>
      </c>
      <c r="N196" s="786">
        <f t="shared" si="22"/>
        <v>1</v>
      </c>
      <c r="O196" s="780"/>
      <c r="P196" s="99"/>
      <c r="R196" s="117">
        <f t="shared" si="23"/>
        <v>0.81307692307692303</v>
      </c>
      <c r="S196" s="205">
        <f t="shared" si="24"/>
        <v>0.71500000000000008</v>
      </c>
    </row>
    <row r="197" spans="2:19">
      <c r="B197" s="808">
        <f t="shared" si="25"/>
        <v>2026</v>
      </c>
      <c r="C197" s="604">
        <v>0</v>
      </c>
      <c r="D197" s="604">
        <v>0</v>
      </c>
      <c r="E197" s="604">
        <f t="shared" si="26"/>
        <v>0.60769230769230775</v>
      </c>
      <c r="F197" s="604">
        <f t="shared" si="27"/>
        <v>0.19615384615384615</v>
      </c>
      <c r="G197" s="604">
        <f t="shared" si="28"/>
        <v>0.19615384615384615</v>
      </c>
      <c r="H197" s="560">
        <f t="shared" si="21"/>
        <v>1</v>
      </c>
      <c r="I197" s="802">
        <v>0.2</v>
      </c>
      <c r="J197" s="779">
        <v>0.3</v>
      </c>
      <c r="K197" s="779">
        <v>0.25</v>
      </c>
      <c r="L197" s="779">
        <v>0.05</v>
      </c>
      <c r="M197" s="779">
        <v>0.2</v>
      </c>
      <c r="N197" s="786">
        <f t="shared" si="22"/>
        <v>1</v>
      </c>
      <c r="O197" s="780"/>
      <c r="P197" s="99"/>
      <c r="R197" s="117">
        <f t="shared" si="23"/>
        <v>0.82346153846153847</v>
      </c>
      <c r="S197" s="205">
        <f t="shared" si="24"/>
        <v>0.71500000000000008</v>
      </c>
    </row>
    <row r="198" spans="2:19">
      <c r="B198" s="808">
        <f t="shared" si="25"/>
        <v>2027</v>
      </c>
      <c r="C198" s="604">
        <v>0</v>
      </c>
      <c r="D198" s="604">
        <v>0</v>
      </c>
      <c r="E198" s="604">
        <f t="shared" si="26"/>
        <v>0.63076923076923086</v>
      </c>
      <c r="F198" s="604">
        <f t="shared" si="27"/>
        <v>0.18461538461538463</v>
      </c>
      <c r="G198" s="604">
        <f t="shared" si="28"/>
        <v>0.18461538461538463</v>
      </c>
      <c r="H198" s="560">
        <f t="shared" si="21"/>
        <v>1</v>
      </c>
      <c r="I198" s="802">
        <v>0.2</v>
      </c>
      <c r="J198" s="779">
        <v>0.3</v>
      </c>
      <c r="K198" s="779">
        <v>0.25</v>
      </c>
      <c r="L198" s="779">
        <v>0.05</v>
      </c>
      <c r="M198" s="779">
        <v>0.2</v>
      </c>
      <c r="N198" s="786">
        <f t="shared" si="22"/>
        <v>1</v>
      </c>
      <c r="O198" s="780"/>
      <c r="P198" s="99"/>
      <c r="R198" s="117">
        <f t="shared" si="23"/>
        <v>0.8338461538461539</v>
      </c>
      <c r="S198" s="205">
        <f t="shared" si="24"/>
        <v>0.71500000000000008</v>
      </c>
    </row>
    <row r="199" spans="2:19">
      <c r="B199" s="808">
        <f t="shared" si="25"/>
        <v>2028</v>
      </c>
      <c r="C199" s="604">
        <v>0</v>
      </c>
      <c r="D199" s="604">
        <v>0</v>
      </c>
      <c r="E199" s="604">
        <f t="shared" si="26"/>
        <v>0.65384615384615397</v>
      </c>
      <c r="F199" s="604">
        <f t="shared" si="27"/>
        <v>0.1730769230769231</v>
      </c>
      <c r="G199" s="604">
        <f t="shared" si="28"/>
        <v>0.1730769230769231</v>
      </c>
      <c r="H199" s="560">
        <f t="shared" si="21"/>
        <v>1.0000000000000002</v>
      </c>
      <c r="I199" s="802">
        <v>0.2</v>
      </c>
      <c r="J199" s="779">
        <v>0.3</v>
      </c>
      <c r="K199" s="779">
        <v>0.25</v>
      </c>
      <c r="L199" s="779">
        <v>0.05</v>
      </c>
      <c r="M199" s="779">
        <v>0.2</v>
      </c>
      <c r="N199" s="786">
        <f t="shared" si="22"/>
        <v>1</v>
      </c>
      <c r="O199" s="780"/>
      <c r="P199" s="99"/>
      <c r="R199" s="117">
        <f t="shared" si="23"/>
        <v>0.84423076923076934</v>
      </c>
      <c r="S199" s="205">
        <f t="shared" si="24"/>
        <v>0.71500000000000008</v>
      </c>
    </row>
    <row r="200" spans="2:19">
      <c r="B200" s="808">
        <f t="shared" si="25"/>
        <v>2029</v>
      </c>
      <c r="C200" s="604">
        <v>0</v>
      </c>
      <c r="D200" s="604">
        <v>0</v>
      </c>
      <c r="E200" s="604">
        <f t="shared" si="26"/>
        <v>0.67692307692307707</v>
      </c>
      <c r="F200" s="604">
        <f t="shared" si="27"/>
        <v>0.16153846153846158</v>
      </c>
      <c r="G200" s="604">
        <f t="shared" si="28"/>
        <v>0.16153846153846158</v>
      </c>
      <c r="H200" s="560">
        <f t="shared" si="21"/>
        <v>1.0000000000000002</v>
      </c>
      <c r="I200" s="802">
        <v>0.2</v>
      </c>
      <c r="J200" s="779">
        <v>0.3</v>
      </c>
      <c r="K200" s="779">
        <v>0.25</v>
      </c>
      <c r="L200" s="779">
        <v>0.05</v>
      </c>
      <c r="M200" s="779">
        <v>0.2</v>
      </c>
      <c r="N200" s="786">
        <f t="shared" si="22"/>
        <v>1</v>
      </c>
      <c r="O200" s="780"/>
      <c r="P200" s="99"/>
      <c r="R200" s="117">
        <f t="shared" si="23"/>
        <v>0.85461538461538478</v>
      </c>
      <c r="S200" s="205">
        <f t="shared" si="24"/>
        <v>0.71500000000000008</v>
      </c>
    </row>
    <row r="201" spans="2:19" s="1" customFormat="1">
      <c r="B201" s="787">
        <f t="shared" si="25"/>
        <v>2030</v>
      </c>
      <c r="C201" s="781">
        <f>'Recycling - Case 1'!C36</f>
        <v>0</v>
      </c>
      <c r="D201" s="781">
        <f>'Recycling - Case 1'!D36</f>
        <v>0</v>
      </c>
      <c r="E201" s="781">
        <f>'Recycling - Case 1'!E36</f>
        <v>0.7</v>
      </c>
      <c r="F201" s="781">
        <f>'Recycling - Case 1'!F36</f>
        <v>0.15</v>
      </c>
      <c r="G201" s="781">
        <f>'Recycling - Case 1'!G36</f>
        <v>0.15</v>
      </c>
      <c r="H201" s="782">
        <f t="shared" si="21"/>
        <v>1</v>
      </c>
      <c r="I201" s="803">
        <v>0.2</v>
      </c>
      <c r="J201" s="798">
        <v>0.3</v>
      </c>
      <c r="K201" s="798">
        <v>0.25</v>
      </c>
      <c r="L201" s="798">
        <v>0.05</v>
      </c>
      <c r="M201" s="798">
        <v>0.2</v>
      </c>
      <c r="N201" s="788">
        <f t="shared" si="22"/>
        <v>1</v>
      </c>
      <c r="O201" s="799"/>
      <c r="P201" s="340"/>
      <c r="R201" s="767">
        <f t="shared" si="23"/>
        <v>0.86499999999999988</v>
      </c>
      <c r="S201" s="119">
        <f t="shared" si="24"/>
        <v>0.71500000000000008</v>
      </c>
    </row>
    <row r="202" spans="2:19">
      <c r="B202" s="808">
        <f t="shared" si="25"/>
        <v>2031</v>
      </c>
      <c r="C202" s="604">
        <v>0</v>
      </c>
      <c r="D202" s="604">
        <v>0</v>
      </c>
      <c r="E202" s="604">
        <f>($E$221-$E$201)/($B$221-$B$201)+E201</f>
        <v>0.71499999999999997</v>
      </c>
      <c r="F202" s="604">
        <f t="shared" ref="F202:F220" si="29">($F$221-$F$201)/($B$221-$B$201)+F201</f>
        <v>0.14249999999999999</v>
      </c>
      <c r="G202" s="604">
        <f>($G$221-$G$201)/($B$221-$B$201)+G201</f>
        <v>0.14249999999999999</v>
      </c>
      <c r="H202" s="560">
        <f t="shared" si="21"/>
        <v>0.99999999999999989</v>
      </c>
      <c r="I202" s="802">
        <v>0.2</v>
      </c>
      <c r="J202" s="779">
        <v>0.3</v>
      </c>
      <c r="K202" s="779">
        <v>0.25</v>
      </c>
      <c r="L202" s="779">
        <v>0.05</v>
      </c>
      <c r="M202" s="779">
        <v>0.2</v>
      </c>
      <c r="N202" s="786">
        <f t="shared" si="22"/>
        <v>1</v>
      </c>
      <c r="O202" s="780"/>
      <c r="P202" s="99"/>
      <c r="R202" s="117">
        <f t="shared" si="23"/>
        <v>0.87175000000000002</v>
      </c>
      <c r="S202" s="205">
        <f t="shared" si="24"/>
        <v>0.71500000000000008</v>
      </c>
    </row>
    <row r="203" spans="2:19">
      <c r="B203" s="808">
        <f t="shared" si="25"/>
        <v>2032</v>
      </c>
      <c r="C203" s="604">
        <v>0</v>
      </c>
      <c r="D203" s="604">
        <v>0</v>
      </c>
      <c r="E203" s="604">
        <f t="shared" ref="E203:E220" si="30">($E$221-$E$201)/($B$221-$B$201)+E202</f>
        <v>0.73</v>
      </c>
      <c r="F203" s="604">
        <f t="shared" si="29"/>
        <v>0.13499999999999998</v>
      </c>
      <c r="G203" s="604">
        <f t="shared" ref="G203:G220" si="31">($G$221-$G$201)/($B$221-$B$201)+G202</f>
        <v>0.13499999999999998</v>
      </c>
      <c r="H203" s="560">
        <f t="shared" si="21"/>
        <v>1</v>
      </c>
      <c r="I203" s="802">
        <v>0.2</v>
      </c>
      <c r="J203" s="779">
        <v>0.3</v>
      </c>
      <c r="K203" s="779">
        <v>0.25</v>
      </c>
      <c r="L203" s="779">
        <v>0.05</v>
      </c>
      <c r="M203" s="779">
        <v>0.2</v>
      </c>
      <c r="N203" s="786">
        <f t="shared" si="22"/>
        <v>1</v>
      </c>
      <c r="O203" s="780"/>
      <c r="P203" s="104"/>
      <c r="R203" s="117">
        <f t="shared" si="23"/>
        <v>0.87849999999999995</v>
      </c>
      <c r="S203" s="205">
        <f t="shared" si="24"/>
        <v>0.71500000000000008</v>
      </c>
    </row>
    <row r="204" spans="2:19">
      <c r="B204" s="808">
        <f t="shared" si="25"/>
        <v>2033</v>
      </c>
      <c r="C204" s="604">
        <v>0</v>
      </c>
      <c r="D204" s="604">
        <v>0</v>
      </c>
      <c r="E204" s="604">
        <f t="shared" si="30"/>
        <v>0.745</v>
      </c>
      <c r="F204" s="604">
        <f t="shared" si="29"/>
        <v>0.12749999999999997</v>
      </c>
      <c r="G204" s="604">
        <f t="shared" si="31"/>
        <v>0.12749999999999997</v>
      </c>
      <c r="H204" s="560">
        <f t="shared" si="21"/>
        <v>0.99999999999999989</v>
      </c>
      <c r="I204" s="802">
        <v>0.2</v>
      </c>
      <c r="J204" s="779">
        <v>0.3</v>
      </c>
      <c r="K204" s="779">
        <v>0.25</v>
      </c>
      <c r="L204" s="779">
        <v>0.05</v>
      </c>
      <c r="M204" s="779">
        <v>0.2</v>
      </c>
      <c r="N204" s="786">
        <f t="shared" si="22"/>
        <v>1</v>
      </c>
      <c r="O204" s="780"/>
      <c r="P204" s="104"/>
      <c r="R204" s="117">
        <f t="shared" si="23"/>
        <v>0.88524999999999998</v>
      </c>
      <c r="S204" s="205">
        <f t="shared" si="24"/>
        <v>0.71500000000000008</v>
      </c>
    </row>
    <row r="205" spans="2:19">
      <c r="B205" s="808">
        <f t="shared" si="25"/>
        <v>2034</v>
      </c>
      <c r="C205" s="604">
        <v>0</v>
      </c>
      <c r="D205" s="604">
        <v>0</v>
      </c>
      <c r="E205" s="604">
        <f t="shared" si="30"/>
        <v>0.76</v>
      </c>
      <c r="F205" s="604">
        <f t="shared" si="29"/>
        <v>0.11999999999999997</v>
      </c>
      <c r="G205" s="604">
        <f t="shared" si="31"/>
        <v>0.11999999999999997</v>
      </c>
      <c r="H205" s="560">
        <f t="shared" si="21"/>
        <v>1</v>
      </c>
      <c r="I205" s="802">
        <v>0.2</v>
      </c>
      <c r="J205" s="779">
        <v>0.3</v>
      </c>
      <c r="K205" s="779">
        <v>0.25</v>
      </c>
      <c r="L205" s="779">
        <v>0.05</v>
      </c>
      <c r="M205" s="779">
        <v>0.2</v>
      </c>
      <c r="N205" s="786">
        <f t="shared" si="22"/>
        <v>1</v>
      </c>
      <c r="O205" s="780"/>
      <c r="P205" s="104"/>
      <c r="R205" s="117">
        <f t="shared" si="23"/>
        <v>0.8919999999999999</v>
      </c>
      <c r="S205" s="205">
        <f t="shared" si="24"/>
        <v>0.71500000000000008</v>
      </c>
    </row>
    <row r="206" spans="2:19">
      <c r="B206" s="808">
        <f t="shared" si="25"/>
        <v>2035</v>
      </c>
      <c r="C206" s="604">
        <v>0</v>
      </c>
      <c r="D206" s="604">
        <v>0</v>
      </c>
      <c r="E206" s="604">
        <f t="shared" si="30"/>
        <v>0.77500000000000002</v>
      </c>
      <c r="F206" s="604">
        <f t="shared" si="29"/>
        <v>0.11249999999999996</v>
      </c>
      <c r="G206" s="604">
        <f t="shared" si="31"/>
        <v>0.11249999999999996</v>
      </c>
      <c r="H206" s="560">
        <f t="shared" si="21"/>
        <v>0.99999999999999989</v>
      </c>
      <c r="I206" s="802">
        <v>0.2</v>
      </c>
      <c r="J206" s="779">
        <v>0.3</v>
      </c>
      <c r="K206" s="779">
        <v>0.25</v>
      </c>
      <c r="L206" s="779">
        <v>0.05</v>
      </c>
      <c r="M206" s="779">
        <v>0.2</v>
      </c>
      <c r="N206" s="786">
        <f t="shared" si="22"/>
        <v>1</v>
      </c>
      <c r="O206" s="780"/>
      <c r="P206" s="104"/>
      <c r="R206" s="117">
        <f t="shared" si="23"/>
        <v>0.89875000000000005</v>
      </c>
      <c r="S206" s="205">
        <f t="shared" si="24"/>
        <v>0.71500000000000008</v>
      </c>
    </row>
    <row r="207" spans="2:19">
      <c r="B207" s="808">
        <f t="shared" si="25"/>
        <v>2036</v>
      </c>
      <c r="C207" s="604">
        <v>0</v>
      </c>
      <c r="D207" s="604">
        <v>0</v>
      </c>
      <c r="E207" s="604">
        <f t="shared" si="30"/>
        <v>0.79</v>
      </c>
      <c r="F207" s="604">
        <f t="shared" si="29"/>
        <v>0.10499999999999995</v>
      </c>
      <c r="G207" s="604">
        <f t="shared" si="31"/>
        <v>0.10499999999999995</v>
      </c>
      <c r="H207" s="560">
        <f t="shared" si="21"/>
        <v>1</v>
      </c>
      <c r="I207" s="802">
        <v>0.2</v>
      </c>
      <c r="J207" s="779">
        <v>0.3</v>
      </c>
      <c r="K207" s="779">
        <v>0.25</v>
      </c>
      <c r="L207" s="779">
        <v>0.05</v>
      </c>
      <c r="M207" s="779">
        <v>0.2</v>
      </c>
      <c r="N207" s="786">
        <f t="shared" si="22"/>
        <v>1</v>
      </c>
      <c r="O207" s="780"/>
      <c r="P207" s="104"/>
      <c r="R207" s="117">
        <f t="shared" si="23"/>
        <v>0.90549999999999997</v>
      </c>
      <c r="S207" s="205">
        <f t="shared" si="24"/>
        <v>0.71500000000000008</v>
      </c>
    </row>
    <row r="208" spans="2:19">
      <c r="B208" s="808">
        <f t="shared" si="25"/>
        <v>2037</v>
      </c>
      <c r="C208" s="604">
        <v>0</v>
      </c>
      <c r="D208" s="604">
        <v>0</v>
      </c>
      <c r="E208" s="604">
        <f t="shared" si="30"/>
        <v>0.80500000000000005</v>
      </c>
      <c r="F208" s="604">
        <f t="shared" si="29"/>
        <v>9.7499999999999948E-2</v>
      </c>
      <c r="G208" s="604">
        <f t="shared" si="31"/>
        <v>9.7499999999999948E-2</v>
      </c>
      <c r="H208" s="560">
        <f t="shared" si="21"/>
        <v>0.99999999999999989</v>
      </c>
      <c r="I208" s="802">
        <v>0.2</v>
      </c>
      <c r="J208" s="779">
        <v>0.3</v>
      </c>
      <c r="K208" s="779">
        <v>0.25</v>
      </c>
      <c r="L208" s="779">
        <v>0.05</v>
      </c>
      <c r="M208" s="779">
        <v>0.2</v>
      </c>
      <c r="N208" s="786">
        <f t="shared" si="22"/>
        <v>1</v>
      </c>
      <c r="O208" s="780"/>
      <c r="P208" s="104"/>
      <c r="R208" s="117">
        <f t="shared" si="23"/>
        <v>0.91225000000000001</v>
      </c>
      <c r="S208" s="205">
        <f t="shared" si="24"/>
        <v>0.71500000000000008</v>
      </c>
    </row>
    <row r="209" spans="1:20">
      <c r="B209" s="808">
        <f t="shared" si="25"/>
        <v>2038</v>
      </c>
      <c r="C209" s="604">
        <v>0</v>
      </c>
      <c r="D209" s="604">
        <v>0</v>
      </c>
      <c r="E209" s="604">
        <f t="shared" si="30"/>
        <v>0.82000000000000006</v>
      </c>
      <c r="F209" s="604">
        <f t="shared" si="29"/>
        <v>8.9999999999999941E-2</v>
      </c>
      <c r="G209" s="604">
        <f t="shared" si="31"/>
        <v>8.9999999999999941E-2</v>
      </c>
      <c r="H209" s="560">
        <f t="shared" si="21"/>
        <v>1</v>
      </c>
      <c r="I209" s="802">
        <v>0.2</v>
      </c>
      <c r="J209" s="779">
        <v>0.3</v>
      </c>
      <c r="K209" s="779">
        <v>0.25</v>
      </c>
      <c r="L209" s="779">
        <v>0.05</v>
      </c>
      <c r="M209" s="779">
        <v>0.2</v>
      </c>
      <c r="N209" s="786">
        <f t="shared" si="22"/>
        <v>1</v>
      </c>
      <c r="O209" s="780"/>
      <c r="P209" s="104"/>
      <c r="R209" s="117">
        <f t="shared" si="23"/>
        <v>0.91899999999999993</v>
      </c>
      <c r="S209" s="205">
        <f t="shared" si="24"/>
        <v>0.71500000000000008</v>
      </c>
    </row>
    <row r="210" spans="1:20">
      <c r="B210" s="808">
        <f t="shared" si="25"/>
        <v>2039</v>
      </c>
      <c r="C210" s="604">
        <v>0</v>
      </c>
      <c r="D210" s="604">
        <v>0</v>
      </c>
      <c r="E210" s="604">
        <f t="shared" si="30"/>
        <v>0.83500000000000008</v>
      </c>
      <c r="F210" s="604">
        <f t="shared" si="29"/>
        <v>8.2499999999999934E-2</v>
      </c>
      <c r="G210" s="604">
        <f t="shared" si="31"/>
        <v>8.2499999999999934E-2</v>
      </c>
      <c r="H210" s="560">
        <f t="shared" si="21"/>
        <v>0.99999999999999989</v>
      </c>
      <c r="I210" s="802">
        <v>0.2</v>
      </c>
      <c r="J210" s="779">
        <v>0.3</v>
      </c>
      <c r="K210" s="779">
        <v>0.25</v>
      </c>
      <c r="L210" s="779">
        <v>0.05</v>
      </c>
      <c r="M210" s="779">
        <v>0.2</v>
      </c>
      <c r="N210" s="786">
        <f t="shared" si="22"/>
        <v>1</v>
      </c>
      <c r="O210" s="780"/>
      <c r="P210" s="104"/>
      <c r="R210" s="117">
        <f t="shared" si="23"/>
        <v>0.92575000000000007</v>
      </c>
      <c r="S210" s="205">
        <f t="shared" si="24"/>
        <v>0.71500000000000008</v>
      </c>
    </row>
    <row r="211" spans="1:20">
      <c r="B211" s="808">
        <f t="shared" si="25"/>
        <v>2040</v>
      </c>
      <c r="C211" s="604">
        <v>0</v>
      </c>
      <c r="D211" s="604">
        <v>0</v>
      </c>
      <c r="E211" s="604">
        <f t="shared" si="30"/>
        <v>0.85000000000000009</v>
      </c>
      <c r="F211" s="604">
        <f t="shared" si="29"/>
        <v>7.4999999999999928E-2</v>
      </c>
      <c r="G211" s="604">
        <f t="shared" si="31"/>
        <v>7.4999999999999928E-2</v>
      </c>
      <c r="H211" s="560">
        <f t="shared" si="21"/>
        <v>1</v>
      </c>
      <c r="I211" s="802">
        <v>0.2</v>
      </c>
      <c r="J211" s="779">
        <v>0.3</v>
      </c>
      <c r="K211" s="779">
        <v>0.25</v>
      </c>
      <c r="L211" s="779">
        <v>0.05</v>
      </c>
      <c r="M211" s="779">
        <v>0.2</v>
      </c>
      <c r="N211" s="786">
        <f t="shared" si="22"/>
        <v>1</v>
      </c>
      <c r="O211" s="780"/>
      <c r="P211" s="104"/>
      <c r="R211" s="117">
        <f t="shared" si="23"/>
        <v>0.9325</v>
      </c>
      <c r="S211" s="205">
        <f t="shared" si="24"/>
        <v>0.71500000000000008</v>
      </c>
    </row>
    <row r="212" spans="1:20">
      <c r="B212" s="808">
        <f t="shared" si="25"/>
        <v>2041</v>
      </c>
      <c r="C212" s="604">
        <v>0</v>
      </c>
      <c r="D212" s="604">
        <v>0</v>
      </c>
      <c r="E212" s="604">
        <f t="shared" si="30"/>
        <v>0.8650000000000001</v>
      </c>
      <c r="F212" s="604">
        <f t="shared" si="29"/>
        <v>6.7499999999999921E-2</v>
      </c>
      <c r="G212" s="604">
        <f t="shared" si="31"/>
        <v>6.7499999999999921E-2</v>
      </c>
      <c r="H212" s="560">
        <f t="shared" si="21"/>
        <v>0.99999999999999989</v>
      </c>
      <c r="I212" s="802">
        <v>0.2</v>
      </c>
      <c r="J212" s="779">
        <v>0.3</v>
      </c>
      <c r="K212" s="779">
        <v>0.25</v>
      </c>
      <c r="L212" s="779">
        <v>0.05</v>
      </c>
      <c r="M212" s="779">
        <v>0.2</v>
      </c>
      <c r="N212" s="786">
        <f t="shared" si="22"/>
        <v>1</v>
      </c>
      <c r="O212" s="780"/>
      <c r="P212" s="104"/>
      <c r="R212" s="117">
        <f t="shared" si="23"/>
        <v>0.93925000000000003</v>
      </c>
      <c r="S212" s="205">
        <f t="shared" si="24"/>
        <v>0.71500000000000008</v>
      </c>
    </row>
    <row r="213" spans="1:20">
      <c r="B213" s="808">
        <f t="shared" si="25"/>
        <v>2042</v>
      </c>
      <c r="C213" s="604">
        <v>0</v>
      </c>
      <c r="D213" s="604">
        <v>0</v>
      </c>
      <c r="E213" s="604">
        <f t="shared" si="30"/>
        <v>0.88000000000000012</v>
      </c>
      <c r="F213" s="604">
        <f t="shared" si="29"/>
        <v>5.9999999999999921E-2</v>
      </c>
      <c r="G213" s="604">
        <f t="shared" si="31"/>
        <v>5.9999999999999921E-2</v>
      </c>
      <c r="H213" s="560">
        <f t="shared" si="21"/>
        <v>1</v>
      </c>
      <c r="I213" s="802">
        <v>0.2</v>
      </c>
      <c r="J213" s="779">
        <v>0.3</v>
      </c>
      <c r="K213" s="779">
        <v>0.25</v>
      </c>
      <c r="L213" s="779">
        <v>0.05</v>
      </c>
      <c r="M213" s="779">
        <v>0.2</v>
      </c>
      <c r="N213" s="786">
        <f t="shared" si="22"/>
        <v>1</v>
      </c>
      <c r="O213" s="780"/>
      <c r="P213" s="104"/>
      <c r="R213" s="117">
        <f t="shared" si="23"/>
        <v>0.94599999999999995</v>
      </c>
      <c r="S213" s="205">
        <f t="shared" si="24"/>
        <v>0.71500000000000008</v>
      </c>
    </row>
    <row r="214" spans="1:20">
      <c r="B214" s="808">
        <f t="shared" si="25"/>
        <v>2043</v>
      </c>
      <c r="C214" s="604">
        <v>0</v>
      </c>
      <c r="D214" s="604">
        <v>0</v>
      </c>
      <c r="E214" s="604">
        <f t="shared" si="30"/>
        <v>0.89500000000000013</v>
      </c>
      <c r="F214" s="604">
        <f t="shared" si="29"/>
        <v>5.2499999999999922E-2</v>
      </c>
      <c r="G214" s="604">
        <f t="shared" si="31"/>
        <v>5.2499999999999922E-2</v>
      </c>
      <c r="H214" s="560">
        <f t="shared" si="21"/>
        <v>0.99999999999999989</v>
      </c>
      <c r="I214" s="802">
        <v>0.2</v>
      </c>
      <c r="J214" s="779">
        <v>0.3</v>
      </c>
      <c r="K214" s="779">
        <v>0.25</v>
      </c>
      <c r="L214" s="779">
        <v>0.05</v>
      </c>
      <c r="M214" s="779">
        <v>0.2</v>
      </c>
      <c r="N214" s="786">
        <f t="shared" si="22"/>
        <v>1</v>
      </c>
      <c r="O214" s="780"/>
      <c r="P214" s="104"/>
      <c r="R214" s="117">
        <f t="shared" si="23"/>
        <v>0.9527500000000001</v>
      </c>
      <c r="S214" s="205">
        <f t="shared" si="24"/>
        <v>0.71500000000000008</v>
      </c>
    </row>
    <row r="215" spans="1:20">
      <c r="B215" s="808">
        <f t="shared" si="25"/>
        <v>2044</v>
      </c>
      <c r="C215" s="604">
        <v>0</v>
      </c>
      <c r="D215" s="604">
        <v>0</v>
      </c>
      <c r="E215" s="604">
        <f t="shared" si="30"/>
        <v>0.91000000000000014</v>
      </c>
      <c r="F215" s="604">
        <f t="shared" si="29"/>
        <v>4.4999999999999922E-2</v>
      </c>
      <c r="G215" s="604">
        <f t="shared" si="31"/>
        <v>4.4999999999999922E-2</v>
      </c>
      <c r="H215" s="560">
        <f t="shared" si="21"/>
        <v>1</v>
      </c>
      <c r="I215" s="802">
        <v>0.2</v>
      </c>
      <c r="J215" s="779">
        <v>0.3</v>
      </c>
      <c r="K215" s="779">
        <v>0.25</v>
      </c>
      <c r="L215" s="779">
        <v>0.05</v>
      </c>
      <c r="M215" s="779">
        <v>0.2</v>
      </c>
      <c r="N215" s="786">
        <f t="shared" si="22"/>
        <v>1</v>
      </c>
      <c r="O215" s="780"/>
      <c r="P215" s="104"/>
      <c r="R215" s="117">
        <f t="shared" si="23"/>
        <v>0.95950000000000002</v>
      </c>
      <c r="S215" s="205">
        <f t="shared" si="24"/>
        <v>0.71500000000000008</v>
      </c>
    </row>
    <row r="216" spans="1:20">
      <c r="B216" s="808">
        <f t="shared" si="25"/>
        <v>2045</v>
      </c>
      <c r="C216" s="604">
        <v>0</v>
      </c>
      <c r="D216" s="604">
        <v>0</v>
      </c>
      <c r="E216" s="604">
        <f t="shared" si="30"/>
        <v>0.92500000000000016</v>
      </c>
      <c r="F216" s="604">
        <f t="shared" si="29"/>
        <v>3.7499999999999922E-2</v>
      </c>
      <c r="G216" s="604">
        <f t="shared" si="31"/>
        <v>3.7499999999999922E-2</v>
      </c>
      <c r="H216" s="560">
        <f t="shared" si="21"/>
        <v>1</v>
      </c>
      <c r="I216" s="802">
        <v>0.2</v>
      </c>
      <c r="J216" s="779">
        <v>0.3</v>
      </c>
      <c r="K216" s="779">
        <v>0.25</v>
      </c>
      <c r="L216" s="779">
        <v>0.05</v>
      </c>
      <c r="M216" s="779">
        <v>0.2</v>
      </c>
      <c r="N216" s="786">
        <f t="shared" si="22"/>
        <v>1</v>
      </c>
      <c r="O216" s="780"/>
      <c r="P216" s="104"/>
      <c r="R216" s="117">
        <f t="shared" si="23"/>
        <v>0.96625000000000005</v>
      </c>
      <c r="S216" s="205">
        <f t="shared" si="24"/>
        <v>0.71500000000000008</v>
      </c>
    </row>
    <row r="217" spans="1:20">
      <c r="B217" s="808">
        <f t="shared" si="25"/>
        <v>2046</v>
      </c>
      <c r="C217" s="604">
        <v>0</v>
      </c>
      <c r="D217" s="604">
        <v>0</v>
      </c>
      <c r="E217" s="604">
        <f t="shared" si="30"/>
        <v>0.94000000000000017</v>
      </c>
      <c r="F217" s="604">
        <f t="shared" si="29"/>
        <v>2.9999999999999923E-2</v>
      </c>
      <c r="G217" s="604">
        <f t="shared" si="31"/>
        <v>2.9999999999999923E-2</v>
      </c>
      <c r="H217" s="560">
        <f t="shared" ref="H217:H251" si="32">SUM(C217:G217)</f>
        <v>1</v>
      </c>
      <c r="I217" s="802">
        <v>0.2</v>
      </c>
      <c r="J217" s="779">
        <v>0.3</v>
      </c>
      <c r="K217" s="779">
        <v>0.25</v>
      </c>
      <c r="L217" s="779">
        <v>0.05</v>
      </c>
      <c r="M217" s="779">
        <v>0.2</v>
      </c>
      <c r="N217" s="786">
        <f t="shared" ref="N217:N221" si="33">SUM(I217:M217)</f>
        <v>1</v>
      </c>
      <c r="O217" s="780"/>
      <c r="P217" s="104"/>
      <c r="R217" s="117">
        <f t="shared" si="23"/>
        <v>0.97300000000000009</v>
      </c>
      <c r="S217" s="205">
        <f t="shared" si="24"/>
        <v>0.71500000000000008</v>
      </c>
    </row>
    <row r="218" spans="1:20">
      <c r="B218" s="808">
        <f t="shared" si="25"/>
        <v>2047</v>
      </c>
      <c r="C218" s="604">
        <v>0</v>
      </c>
      <c r="D218" s="604">
        <v>0</v>
      </c>
      <c r="E218" s="604">
        <f t="shared" si="30"/>
        <v>0.95500000000000018</v>
      </c>
      <c r="F218" s="604">
        <f t="shared" si="29"/>
        <v>2.2499999999999923E-2</v>
      </c>
      <c r="G218" s="604">
        <f t="shared" si="31"/>
        <v>2.2499999999999923E-2</v>
      </c>
      <c r="H218" s="560">
        <f t="shared" si="32"/>
        <v>1</v>
      </c>
      <c r="I218" s="802">
        <v>0.2</v>
      </c>
      <c r="J218" s="779">
        <v>0.3</v>
      </c>
      <c r="K218" s="779">
        <v>0.25</v>
      </c>
      <c r="L218" s="779">
        <v>0.05</v>
      </c>
      <c r="M218" s="779">
        <v>0.2</v>
      </c>
      <c r="N218" s="786">
        <f t="shared" si="33"/>
        <v>1</v>
      </c>
      <c r="O218" s="780"/>
      <c r="P218" s="104"/>
      <c r="R218" s="117">
        <f t="shared" si="23"/>
        <v>0.97975000000000012</v>
      </c>
      <c r="S218" s="205">
        <f t="shared" si="24"/>
        <v>0.71500000000000008</v>
      </c>
    </row>
    <row r="219" spans="1:20">
      <c r="B219" s="808">
        <f t="shared" si="25"/>
        <v>2048</v>
      </c>
      <c r="C219" s="604">
        <v>0</v>
      </c>
      <c r="D219" s="604">
        <v>0</v>
      </c>
      <c r="E219" s="604">
        <f t="shared" si="30"/>
        <v>0.9700000000000002</v>
      </c>
      <c r="F219" s="604">
        <f t="shared" si="29"/>
        <v>1.4999999999999923E-2</v>
      </c>
      <c r="G219" s="604">
        <f t="shared" si="31"/>
        <v>1.4999999999999923E-2</v>
      </c>
      <c r="H219" s="560">
        <f t="shared" si="32"/>
        <v>1</v>
      </c>
      <c r="I219" s="802">
        <v>0.2</v>
      </c>
      <c r="J219" s="779">
        <v>0.3</v>
      </c>
      <c r="K219" s="779">
        <v>0.25</v>
      </c>
      <c r="L219" s="779">
        <v>0.05</v>
      </c>
      <c r="M219" s="779">
        <v>0.2</v>
      </c>
      <c r="N219" s="786">
        <f t="shared" si="33"/>
        <v>1</v>
      </c>
      <c r="O219" s="780"/>
      <c r="P219" s="104"/>
      <c r="R219" s="117">
        <f t="shared" si="23"/>
        <v>0.98650000000000015</v>
      </c>
      <c r="S219" s="205">
        <f t="shared" si="24"/>
        <v>0.71500000000000008</v>
      </c>
    </row>
    <row r="220" spans="1:20">
      <c r="B220" s="808">
        <f t="shared" si="25"/>
        <v>2049</v>
      </c>
      <c r="C220" s="604">
        <v>0</v>
      </c>
      <c r="D220" s="604">
        <v>0</v>
      </c>
      <c r="E220" s="604">
        <f t="shared" si="30"/>
        <v>0.98500000000000021</v>
      </c>
      <c r="F220" s="604">
        <f t="shared" si="29"/>
        <v>7.4999999999999234E-3</v>
      </c>
      <c r="G220" s="604">
        <f t="shared" si="31"/>
        <v>7.4999999999999234E-3</v>
      </c>
      <c r="H220" s="560">
        <f t="shared" si="32"/>
        <v>1</v>
      </c>
      <c r="I220" s="802">
        <v>0.2</v>
      </c>
      <c r="J220" s="779">
        <v>0.3</v>
      </c>
      <c r="K220" s="779">
        <v>0.25</v>
      </c>
      <c r="L220" s="779">
        <v>0.05</v>
      </c>
      <c r="M220" s="779">
        <v>0.2</v>
      </c>
      <c r="N220" s="786">
        <f t="shared" si="33"/>
        <v>1</v>
      </c>
      <c r="O220" s="780"/>
      <c r="P220" s="104"/>
      <c r="R220" s="117">
        <f t="shared" si="23"/>
        <v>0.99325000000000008</v>
      </c>
      <c r="S220" s="205">
        <f t="shared" si="24"/>
        <v>0.71500000000000008</v>
      </c>
    </row>
    <row r="221" spans="1:20" ht="15.75" thickBot="1">
      <c r="B221" s="809">
        <f t="shared" si="25"/>
        <v>2050</v>
      </c>
      <c r="C221" s="606">
        <f>'Recycling - Case 1'!C37</f>
        <v>0</v>
      </c>
      <c r="D221" s="606">
        <f>'Recycling - Case 1'!D37</f>
        <v>0</v>
      </c>
      <c r="E221" s="606">
        <f>'Recycling - Case 1'!E37</f>
        <v>1</v>
      </c>
      <c r="F221" s="606">
        <f>'Recycling - Case 1'!F37</f>
        <v>0</v>
      </c>
      <c r="G221" s="606">
        <f>'Recycling - Case 1'!G37</f>
        <v>0</v>
      </c>
      <c r="H221" s="797">
        <f t="shared" si="32"/>
        <v>1</v>
      </c>
      <c r="I221" s="804">
        <v>0.2</v>
      </c>
      <c r="J221" s="805">
        <v>0.3</v>
      </c>
      <c r="K221" s="805">
        <v>0.25</v>
      </c>
      <c r="L221" s="805">
        <v>0.05</v>
      </c>
      <c r="M221" s="805">
        <v>0.2</v>
      </c>
      <c r="N221" s="789">
        <f t="shared" si="33"/>
        <v>1</v>
      </c>
      <c r="O221" s="780"/>
      <c r="P221" s="104"/>
      <c r="R221" s="120">
        <f t="shared" si="23"/>
        <v>1</v>
      </c>
      <c r="S221" s="206">
        <f t="shared" si="24"/>
        <v>0.71500000000000008</v>
      </c>
    </row>
    <row r="222" spans="1:20" ht="15.75" thickBot="1">
      <c r="A222" s="104"/>
      <c r="B222" s="292"/>
      <c r="C222" s="604"/>
      <c r="D222" s="604"/>
      <c r="E222" s="604"/>
      <c r="F222" s="604"/>
      <c r="G222" s="604"/>
      <c r="H222" s="560"/>
      <c r="I222" s="779"/>
      <c r="J222" s="779"/>
      <c r="K222" s="779"/>
      <c r="L222" s="779"/>
      <c r="M222" s="779"/>
      <c r="N222" s="560"/>
      <c r="O222" s="780"/>
      <c r="Q222" s="104"/>
      <c r="R222" s="118"/>
      <c r="S222" s="118"/>
      <c r="T222" s="104"/>
    </row>
    <row r="223" spans="1:20">
      <c r="A223" s="1"/>
      <c r="B223" s="793">
        <f>B188</f>
        <v>2017</v>
      </c>
      <c r="C223" s="794">
        <f>C188</f>
        <v>0</v>
      </c>
      <c r="D223" s="784">
        <f t="shared" ref="D223:G223" si="34">D188</f>
        <v>0</v>
      </c>
      <c r="E223" s="784">
        <f t="shared" si="34"/>
        <v>0.4</v>
      </c>
      <c r="F223" s="784">
        <f t="shared" si="34"/>
        <v>0.3</v>
      </c>
      <c r="G223" s="784">
        <f t="shared" si="34"/>
        <v>0.3</v>
      </c>
      <c r="H223" s="796">
        <f t="shared" si="32"/>
        <v>1</v>
      </c>
      <c r="I223" s="800">
        <v>0.2</v>
      </c>
      <c r="J223" s="801">
        <v>0.3</v>
      </c>
      <c r="K223" s="801">
        <v>0.25</v>
      </c>
      <c r="L223" s="801">
        <v>0.05</v>
      </c>
      <c r="M223" s="801">
        <v>0.2</v>
      </c>
      <c r="N223" s="785">
        <f t="shared" ref="N223:N256" si="35">SUM(I223:M223)</f>
        <v>1</v>
      </c>
      <c r="O223" s="799"/>
      <c r="R223" s="806">
        <f t="shared" ref="R223:R256" si="36">C223*C$116+D223*D$116+E223*E$116+F223*F$116+G223*G$116</f>
        <v>0.73</v>
      </c>
      <c r="S223" s="807">
        <f t="shared" ref="S223:S256" si="37">I223*$I$116+J223*$J$116+K223*$K$116+L223*L$116+M223*$M$116</f>
        <v>0.71500000000000008</v>
      </c>
    </row>
    <row r="224" spans="1:20">
      <c r="A224" s="413" t="s">
        <v>618</v>
      </c>
      <c r="B224" s="790">
        <f t="shared" ref="B224:B256" si="38">B189</f>
        <v>2018</v>
      </c>
      <c r="C224" s="608">
        <v>0</v>
      </c>
      <c r="D224" s="604">
        <v>0</v>
      </c>
      <c r="E224" s="604">
        <f>($E$236-$E$223)/($B$236-$B$223)+E223</f>
        <v>0.44615384615384618</v>
      </c>
      <c r="F224" s="604">
        <f>($F$236-$F$223)/($B$236-$B$223)+F223</f>
        <v>0.27692307692307694</v>
      </c>
      <c r="G224" s="604">
        <f>($G$236-$G$223)/($B$236-$B$223)+G223</f>
        <v>0.27692307692307694</v>
      </c>
      <c r="H224" s="560">
        <f t="shared" si="32"/>
        <v>1</v>
      </c>
      <c r="I224" s="802">
        <v>0.2</v>
      </c>
      <c r="J224" s="779">
        <v>0.3</v>
      </c>
      <c r="K224" s="779">
        <v>0.25</v>
      </c>
      <c r="L224" s="779">
        <v>0.05</v>
      </c>
      <c r="M224" s="779">
        <v>0.2</v>
      </c>
      <c r="N224" s="786">
        <f t="shared" si="35"/>
        <v>1</v>
      </c>
      <c r="O224" s="780"/>
      <c r="R224" s="117">
        <f t="shared" si="36"/>
        <v>0.75076923076923086</v>
      </c>
      <c r="S224" s="205">
        <f t="shared" si="37"/>
        <v>0.71500000000000008</v>
      </c>
    </row>
    <row r="225" spans="1:19">
      <c r="B225" s="790">
        <f t="shared" si="38"/>
        <v>2019</v>
      </c>
      <c r="C225" s="608">
        <v>0</v>
      </c>
      <c r="D225" s="604">
        <v>0</v>
      </c>
      <c r="E225" s="604">
        <f t="shared" ref="E225:E235" si="39">($E$236-$E$223)/($B$236-$B$223)+E224</f>
        <v>0.49230769230769234</v>
      </c>
      <c r="F225" s="604">
        <f t="shared" ref="F225:F235" si="40">($F$236-$F$223)/($B$236-$B$223)+F224</f>
        <v>0.25384615384615389</v>
      </c>
      <c r="G225" s="604">
        <f t="shared" ref="G225:G235" si="41">($G$236-$G$223)/($B$236-$B$223)+G224</f>
        <v>0.25384615384615389</v>
      </c>
      <c r="H225" s="560">
        <f t="shared" si="32"/>
        <v>1</v>
      </c>
      <c r="I225" s="802">
        <v>0.2</v>
      </c>
      <c r="J225" s="779">
        <v>0.3</v>
      </c>
      <c r="K225" s="779">
        <v>0.25</v>
      </c>
      <c r="L225" s="779">
        <v>0.05</v>
      </c>
      <c r="M225" s="779">
        <v>0.2</v>
      </c>
      <c r="N225" s="786">
        <f t="shared" si="35"/>
        <v>1</v>
      </c>
      <c r="O225" s="780"/>
      <c r="R225" s="117">
        <f t="shared" si="36"/>
        <v>0.77153846153846162</v>
      </c>
      <c r="S225" s="205">
        <f t="shared" si="37"/>
        <v>0.71500000000000008</v>
      </c>
    </row>
    <row r="226" spans="1:19">
      <c r="B226" s="790">
        <f t="shared" si="38"/>
        <v>2020</v>
      </c>
      <c r="C226" s="608">
        <v>0</v>
      </c>
      <c r="D226" s="604">
        <v>0</v>
      </c>
      <c r="E226" s="604">
        <f t="shared" si="39"/>
        <v>0.53846153846153844</v>
      </c>
      <c r="F226" s="604">
        <f t="shared" si="40"/>
        <v>0.23076923076923081</v>
      </c>
      <c r="G226" s="604">
        <f t="shared" si="41"/>
        <v>0.23076923076923081</v>
      </c>
      <c r="H226" s="560">
        <f t="shared" si="32"/>
        <v>1</v>
      </c>
      <c r="I226" s="802">
        <v>0.2</v>
      </c>
      <c r="J226" s="779">
        <v>0.3</v>
      </c>
      <c r="K226" s="779">
        <v>0.25</v>
      </c>
      <c r="L226" s="779">
        <v>0.05</v>
      </c>
      <c r="M226" s="779">
        <v>0.2</v>
      </c>
      <c r="N226" s="786">
        <f t="shared" si="35"/>
        <v>1</v>
      </c>
      <c r="O226" s="780"/>
      <c r="R226" s="117">
        <f t="shared" si="36"/>
        <v>0.79230769230769238</v>
      </c>
      <c r="S226" s="205">
        <f t="shared" si="37"/>
        <v>0.71500000000000008</v>
      </c>
    </row>
    <row r="227" spans="1:19">
      <c r="B227" s="790">
        <f t="shared" si="38"/>
        <v>2021</v>
      </c>
      <c r="C227" s="608">
        <v>0</v>
      </c>
      <c r="D227" s="604">
        <v>0</v>
      </c>
      <c r="E227" s="604">
        <f t="shared" si="39"/>
        <v>0.58461538461538454</v>
      </c>
      <c r="F227" s="604">
        <f t="shared" si="40"/>
        <v>0.20769230769230773</v>
      </c>
      <c r="G227" s="604">
        <f t="shared" si="41"/>
        <v>0.20769230769230773</v>
      </c>
      <c r="H227" s="560">
        <f t="shared" si="32"/>
        <v>1</v>
      </c>
      <c r="I227" s="802">
        <v>0.2</v>
      </c>
      <c r="J227" s="779">
        <v>0.3</v>
      </c>
      <c r="K227" s="779">
        <v>0.25</v>
      </c>
      <c r="L227" s="779">
        <v>0.05</v>
      </c>
      <c r="M227" s="779">
        <v>0.2</v>
      </c>
      <c r="N227" s="786">
        <f t="shared" si="35"/>
        <v>1</v>
      </c>
      <c r="O227" s="780"/>
      <c r="R227" s="117">
        <f t="shared" si="36"/>
        <v>0.81307692307692303</v>
      </c>
      <c r="S227" s="205">
        <f t="shared" si="37"/>
        <v>0.71500000000000008</v>
      </c>
    </row>
    <row r="228" spans="1:19">
      <c r="B228" s="790">
        <f t="shared" si="38"/>
        <v>2022</v>
      </c>
      <c r="C228" s="608">
        <v>0</v>
      </c>
      <c r="D228" s="604">
        <v>0</v>
      </c>
      <c r="E228" s="604">
        <f t="shared" si="39"/>
        <v>0.63076923076923064</v>
      </c>
      <c r="F228" s="604">
        <f t="shared" si="40"/>
        <v>0.18461538461538465</v>
      </c>
      <c r="G228" s="604">
        <f t="shared" si="41"/>
        <v>0.18461538461538465</v>
      </c>
      <c r="H228" s="560">
        <f t="shared" si="32"/>
        <v>0.99999999999999989</v>
      </c>
      <c r="I228" s="802">
        <v>0.2</v>
      </c>
      <c r="J228" s="779">
        <v>0.3</v>
      </c>
      <c r="K228" s="779">
        <v>0.25</v>
      </c>
      <c r="L228" s="779">
        <v>0.05</v>
      </c>
      <c r="M228" s="779">
        <v>0.2</v>
      </c>
      <c r="N228" s="786">
        <f t="shared" si="35"/>
        <v>1</v>
      </c>
      <c r="O228" s="780"/>
      <c r="R228" s="117">
        <f t="shared" si="36"/>
        <v>0.83384615384615368</v>
      </c>
      <c r="S228" s="205">
        <f t="shared" si="37"/>
        <v>0.71500000000000008</v>
      </c>
    </row>
    <row r="229" spans="1:19">
      <c r="B229" s="790">
        <f t="shared" si="38"/>
        <v>2023</v>
      </c>
      <c r="C229" s="608">
        <v>0</v>
      </c>
      <c r="D229" s="604">
        <v>0</v>
      </c>
      <c r="E229" s="604">
        <f t="shared" si="39"/>
        <v>0.67692307692307674</v>
      </c>
      <c r="F229" s="604">
        <f t="shared" si="40"/>
        <v>0.16153846153846158</v>
      </c>
      <c r="G229" s="604">
        <f t="shared" si="41"/>
        <v>0.16153846153846158</v>
      </c>
      <c r="H229" s="560">
        <f t="shared" si="32"/>
        <v>1</v>
      </c>
      <c r="I229" s="802">
        <v>0.2</v>
      </c>
      <c r="J229" s="779">
        <v>0.3</v>
      </c>
      <c r="K229" s="779">
        <v>0.25</v>
      </c>
      <c r="L229" s="779">
        <v>0.05</v>
      </c>
      <c r="M229" s="779">
        <v>0.2</v>
      </c>
      <c r="N229" s="786">
        <f t="shared" si="35"/>
        <v>1</v>
      </c>
      <c r="O229" s="780"/>
      <c r="R229" s="117">
        <f t="shared" si="36"/>
        <v>0.85461538461538455</v>
      </c>
      <c r="S229" s="205">
        <f t="shared" si="37"/>
        <v>0.71500000000000008</v>
      </c>
    </row>
    <row r="230" spans="1:19">
      <c r="B230" s="790">
        <f t="shared" si="38"/>
        <v>2024</v>
      </c>
      <c r="C230" s="608">
        <v>0</v>
      </c>
      <c r="D230" s="604">
        <v>0</v>
      </c>
      <c r="E230" s="604">
        <f t="shared" si="39"/>
        <v>0.72307692307692284</v>
      </c>
      <c r="F230" s="604">
        <f t="shared" si="40"/>
        <v>0.1384615384615385</v>
      </c>
      <c r="G230" s="604">
        <f t="shared" si="41"/>
        <v>0.1384615384615385</v>
      </c>
      <c r="H230" s="560">
        <f t="shared" si="32"/>
        <v>0.99999999999999989</v>
      </c>
      <c r="I230" s="802">
        <v>0.2</v>
      </c>
      <c r="J230" s="779">
        <v>0.3</v>
      </c>
      <c r="K230" s="779">
        <v>0.25</v>
      </c>
      <c r="L230" s="779">
        <v>0.05</v>
      </c>
      <c r="M230" s="779">
        <v>0.2</v>
      </c>
      <c r="N230" s="786">
        <f t="shared" si="35"/>
        <v>1</v>
      </c>
      <c r="O230" s="780"/>
      <c r="R230" s="117">
        <f t="shared" si="36"/>
        <v>0.87538461538461509</v>
      </c>
      <c r="S230" s="205">
        <f t="shared" si="37"/>
        <v>0.71500000000000008</v>
      </c>
    </row>
    <row r="231" spans="1:19">
      <c r="B231" s="790">
        <f t="shared" si="38"/>
        <v>2025</v>
      </c>
      <c r="C231" s="608">
        <v>0</v>
      </c>
      <c r="D231" s="604">
        <v>0</v>
      </c>
      <c r="E231" s="604">
        <f t="shared" si="39"/>
        <v>0.76923076923076894</v>
      </c>
      <c r="F231" s="604">
        <f t="shared" si="40"/>
        <v>0.11538461538461542</v>
      </c>
      <c r="G231" s="604">
        <f t="shared" si="41"/>
        <v>0.11538461538461542</v>
      </c>
      <c r="H231" s="560">
        <f t="shared" si="32"/>
        <v>0.99999999999999978</v>
      </c>
      <c r="I231" s="802">
        <v>0.2</v>
      </c>
      <c r="J231" s="779">
        <v>0.3</v>
      </c>
      <c r="K231" s="779">
        <v>0.25</v>
      </c>
      <c r="L231" s="779">
        <v>0.05</v>
      </c>
      <c r="M231" s="779">
        <v>0.2</v>
      </c>
      <c r="N231" s="786">
        <f t="shared" si="35"/>
        <v>1</v>
      </c>
      <c r="O231" s="780"/>
      <c r="R231" s="117">
        <f t="shared" si="36"/>
        <v>0.89615384615384586</v>
      </c>
      <c r="S231" s="205">
        <f t="shared" si="37"/>
        <v>0.71500000000000008</v>
      </c>
    </row>
    <row r="232" spans="1:19">
      <c r="B232" s="790">
        <f t="shared" si="38"/>
        <v>2026</v>
      </c>
      <c r="C232" s="608">
        <v>0</v>
      </c>
      <c r="D232" s="604">
        <v>0</v>
      </c>
      <c r="E232" s="604">
        <f t="shared" si="39"/>
        <v>0.81538461538461504</v>
      </c>
      <c r="F232" s="604">
        <f t="shared" si="40"/>
        <v>9.2307692307692341E-2</v>
      </c>
      <c r="G232" s="604">
        <f t="shared" si="41"/>
        <v>9.2307692307692341E-2</v>
      </c>
      <c r="H232" s="560">
        <f t="shared" si="32"/>
        <v>0.99999999999999967</v>
      </c>
      <c r="I232" s="802">
        <v>0.2</v>
      </c>
      <c r="J232" s="779">
        <v>0.3</v>
      </c>
      <c r="K232" s="779">
        <v>0.25</v>
      </c>
      <c r="L232" s="779">
        <v>0.05</v>
      </c>
      <c r="M232" s="779">
        <v>0.2</v>
      </c>
      <c r="N232" s="786">
        <f t="shared" si="35"/>
        <v>1</v>
      </c>
      <c r="O232" s="780"/>
      <c r="R232" s="117">
        <f t="shared" si="36"/>
        <v>0.91692307692307662</v>
      </c>
      <c r="S232" s="205">
        <f t="shared" si="37"/>
        <v>0.71500000000000008</v>
      </c>
    </row>
    <row r="233" spans="1:19">
      <c r="B233" s="790">
        <f t="shared" si="38"/>
        <v>2027</v>
      </c>
      <c r="C233" s="608">
        <v>0</v>
      </c>
      <c r="D233" s="604">
        <v>0</v>
      </c>
      <c r="E233" s="604">
        <f t="shared" si="39"/>
        <v>0.86153846153846114</v>
      </c>
      <c r="F233" s="604">
        <f t="shared" si="40"/>
        <v>6.9230769230769262E-2</v>
      </c>
      <c r="G233" s="604">
        <f t="shared" si="41"/>
        <v>6.9230769230769262E-2</v>
      </c>
      <c r="H233" s="560">
        <f t="shared" si="32"/>
        <v>0.99999999999999956</v>
      </c>
      <c r="I233" s="802">
        <v>0.2</v>
      </c>
      <c r="J233" s="779">
        <v>0.3</v>
      </c>
      <c r="K233" s="779">
        <v>0.25</v>
      </c>
      <c r="L233" s="779">
        <v>0.05</v>
      </c>
      <c r="M233" s="779">
        <v>0.2</v>
      </c>
      <c r="N233" s="786">
        <f t="shared" si="35"/>
        <v>1</v>
      </c>
      <c r="O233" s="780"/>
      <c r="R233" s="117">
        <f t="shared" si="36"/>
        <v>0.93769230769230727</v>
      </c>
      <c r="S233" s="205">
        <f t="shared" si="37"/>
        <v>0.71500000000000008</v>
      </c>
    </row>
    <row r="234" spans="1:19">
      <c r="B234" s="790">
        <f t="shared" si="38"/>
        <v>2028</v>
      </c>
      <c r="C234" s="608">
        <v>0</v>
      </c>
      <c r="D234" s="604">
        <v>0</v>
      </c>
      <c r="E234" s="604">
        <f t="shared" si="39"/>
        <v>0.90769230769230724</v>
      </c>
      <c r="F234" s="604">
        <f t="shared" si="40"/>
        <v>4.6153846153846184E-2</v>
      </c>
      <c r="G234" s="604">
        <f t="shared" si="41"/>
        <v>4.6153846153846184E-2</v>
      </c>
      <c r="H234" s="560">
        <f t="shared" si="32"/>
        <v>0.99999999999999967</v>
      </c>
      <c r="I234" s="802">
        <v>0.2</v>
      </c>
      <c r="J234" s="779">
        <v>0.3</v>
      </c>
      <c r="K234" s="779">
        <v>0.25</v>
      </c>
      <c r="L234" s="779">
        <v>0.05</v>
      </c>
      <c r="M234" s="779">
        <v>0.2</v>
      </c>
      <c r="N234" s="786">
        <f t="shared" si="35"/>
        <v>1</v>
      </c>
      <c r="O234" s="780"/>
      <c r="R234" s="117">
        <f t="shared" si="36"/>
        <v>0.95846153846153803</v>
      </c>
      <c r="S234" s="205">
        <f t="shared" si="37"/>
        <v>0.71500000000000008</v>
      </c>
    </row>
    <row r="235" spans="1:19">
      <c r="B235" s="790">
        <f t="shared" si="38"/>
        <v>2029</v>
      </c>
      <c r="C235" s="608">
        <v>0</v>
      </c>
      <c r="D235" s="604">
        <v>0</v>
      </c>
      <c r="E235" s="604">
        <f t="shared" si="39"/>
        <v>0.95384615384615334</v>
      </c>
      <c r="F235" s="604">
        <f t="shared" si="40"/>
        <v>2.3076923076923109E-2</v>
      </c>
      <c r="G235" s="604">
        <f t="shared" si="41"/>
        <v>2.3076923076923109E-2</v>
      </c>
      <c r="H235" s="560">
        <f t="shared" si="32"/>
        <v>0.99999999999999956</v>
      </c>
      <c r="I235" s="802">
        <v>0.2</v>
      </c>
      <c r="J235" s="779">
        <v>0.3</v>
      </c>
      <c r="K235" s="779">
        <v>0.25</v>
      </c>
      <c r="L235" s="779">
        <v>0.05</v>
      </c>
      <c r="M235" s="779">
        <v>0.2</v>
      </c>
      <c r="N235" s="786">
        <f t="shared" si="35"/>
        <v>1</v>
      </c>
      <c r="O235" s="780"/>
      <c r="R235" s="117">
        <f t="shared" si="36"/>
        <v>0.97923076923076879</v>
      </c>
      <c r="S235" s="205">
        <f t="shared" si="37"/>
        <v>0.71500000000000008</v>
      </c>
    </row>
    <row r="236" spans="1:19">
      <c r="A236" s="1"/>
      <c r="B236" s="791">
        <f t="shared" si="38"/>
        <v>2030</v>
      </c>
      <c r="C236" s="795">
        <f>'Recycling - Case 2'!C38</f>
        <v>0</v>
      </c>
      <c r="D236" s="781">
        <f>'Recycling - Case 2'!D38</f>
        <v>0</v>
      </c>
      <c r="E236" s="781">
        <f>'Recycling - Case 2'!E38</f>
        <v>1</v>
      </c>
      <c r="F236" s="781">
        <f>'Recycling - Case 2'!F38</f>
        <v>0</v>
      </c>
      <c r="G236" s="781">
        <f>'Recycling - Case 2'!G38</f>
        <v>0</v>
      </c>
      <c r="H236" s="782">
        <f t="shared" si="32"/>
        <v>1</v>
      </c>
      <c r="I236" s="803">
        <v>0.2</v>
      </c>
      <c r="J236" s="798">
        <v>0.3</v>
      </c>
      <c r="K236" s="798">
        <v>0.25</v>
      </c>
      <c r="L236" s="798">
        <v>0.05</v>
      </c>
      <c r="M236" s="798">
        <v>0.2</v>
      </c>
      <c r="N236" s="788">
        <f t="shared" si="35"/>
        <v>1</v>
      </c>
      <c r="O236" s="799"/>
      <c r="R236" s="117">
        <f t="shared" si="36"/>
        <v>1</v>
      </c>
      <c r="S236" s="205">
        <f t="shared" si="37"/>
        <v>0.71500000000000008</v>
      </c>
    </row>
    <row r="237" spans="1:19">
      <c r="B237" s="790">
        <f t="shared" si="38"/>
        <v>2031</v>
      </c>
      <c r="C237" s="608">
        <f>C236</f>
        <v>0</v>
      </c>
      <c r="D237" s="604">
        <f t="shared" ref="D237:G237" si="42">D236</f>
        <v>0</v>
      </c>
      <c r="E237" s="604">
        <f t="shared" si="42"/>
        <v>1</v>
      </c>
      <c r="F237" s="604">
        <f t="shared" si="42"/>
        <v>0</v>
      </c>
      <c r="G237" s="604">
        <f t="shared" si="42"/>
        <v>0</v>
      </c>
      <c r="H237" s="560">
        <f t="shared" si="32"/>
        <v>1</v>
      </c>
      <c r="I237" s="802">
        <v>0.2</v>
      </c>
      <c r="J237" s="779">
        <v>0.3</v>
      </c>
      <c r="K237" s="779">
        <v>0.25</v>
      </c>
      <c r="L237" s="779">
        <v>0.05</v>
      </c>
      <c r="M237" s="779">
        <v>0.2</v>
      </c>
      <c r="N237" s="786">
        <f t="shared" si="35"/>
        <v>1</v>
      </c>
      <c r="O237" s="780"/>
      <c r="R237" s="117">
        <f t="shared" si="36"/>
        <v>1</v>
      </c>
      <c r="S237" s="205">
        <f t="shared" si="37"/>
        <v>0.71500000000000008</v>
      </c>
    </row>
    <row r="238" spans="1:19">
      <c r="B238" s="790">
        <f t="shared" si="38"/>
        <v>2032</v>
      </c>
      <c r="C238" s="608">
        <f t="shared" ref="C238:C256" si="43">C237</f>
        <v>0</v>
      </c>
      <c r="D238" s="604">
        <f t="shared" ref="D238:D256" si="44">D237</f>
        <v>0</v>
      </c>
      <c r="E238" s="604">
        <f t="shared" ref="E238:E256" si="45">E237</f>
        <v>1</v>
      </c>
      <c r="F238" s="604">
        <f t="shared" ref="F238:F256" si="46">F237</f>
        <v>0</v>
      </c>
      <c r="G238" s="604">
        <f t="shared" ref="G238:G256" si="47">G237</f>
        <v>0</v>
      </c>
      <c r="H238" s="560">
        <f t="shared" si="32"/>
        <v>1</v>
      </c>
      <c r="I238" s="802">
        <v>0.2</v>
      </c>
      <c r="J238" s="779">
        <v>0.3</v>
      </c>
      <c r="K238" s="779">
        <v>0.25</v>
      </c>
      <c r="L238" s="779">
        <v>0.05</v>
      </c>
      <c r="M238" s="779">
        <v>0.2</v>
      </c>
      <c r="N238" s="786">
        <f t="shared" si="35"/>
        <v>1</v>
      </c>
      <c r="O238" s="780"/>
      <c r="R238" s="117">
        <f t="shared" si="36"/>
        <v>1</v>
      </c>
      <c r="S238" s="205">
        <f t="shared" si="37"/>
        <v>0.71500000000000008</v>
      </c>
    </row>
    <row r="239" spans="1:19">
      <c r="B239" s="790">
        <f t="shared" si="38"/>
        <v>2033</v>
      </c>
      <c r="C239" s="608">
        <f t="shared" si="43"/>
        <v>0</v>
      </c>
      <c r="D239" s="604">
        <f t="shared" si="44"/>
        <v>0</v>
      </c>
      <c r="E239" s="604">
        <f t="shared" si="45"/>
        <v>1</v>
      </c>
      <c r="F239" s="604">
        <f t="shared" si="46"/>
        <v>0</v>
      </c>
      <c r="G239" s="604">
        <f t="shared" si="47"/>
        <v>0</v>
      </c>
      <c r="H239" s="560">
        <f t="shared" si="32"/>
        <v>1</v>
      </c>
      <c r="I239" s="802">
        <v>0.2</v>
      </c>
      <c r="J239" s="779">
        <v>0.3</v>
      </c>
      <c r="K239" s="779">
        <v>0.25</v>
      </c>
      <c r="L239" s="779">
        <v>0.05</v>
      </c>
      <c r="M239" s="779">
        <v>0.2</v>
      </c>
      <c r="N239" s="786">
        <f t="shared" si="35"/>
        <v>1</v>
      </c>
      <c r="O239" s="780"/>
      <c r="R239" s="117">
        <f t="shared" si="36"/>
        <v>1</v>
      </c>
      <c r="S239" s="205">
        <f t="shared" si="37"/>
        <v>0.71500000000000008</v>
      </c>
    </row>
    <row r="240" spans="1:19">
      <c r="B240" s="790">
        <f t="shared" si="38"/>
        <v>2034</v>
      </c>
      <c r="C240" s="608">
        <f t="shared" si="43"/>
        <v>0</v>
      </c>
      <c r="D240" s="604">
        <f t="shared" si="44"/>
        <v>0</v>
      </c>
      <c r="E240" s="604">
        <f t="shared" si="45"/>
        <v>1</v>
      </c>
      <c r="F240" s="604">
        <f t="shared" si="46"/>
        <v>0</v>
      </c>
      <c r="G240" s="604">
        <f t="shared" si="47"/>
        <v>0</v>
      </c>
      <c r="H240" s="560">
        <f t="shared" si="32"/>
        <v>1</v>
      </c>
      <c r="I240" s="802">
        <v>0.2</v>
      </c>
      <c r="J240" s="779">
        <v>0.3</v>
      </c>
      <c r="K240" s="779">
        <v>0.25</v>
      </c>
      <c r="L240" s="779">
        <v>0.05</v>
      </c>
      <c r="M240" s="779">
        <v>0.2</v>
      </c>
      <c r="N240" s="786">
        <f t="shared" si="35"/>
        <v>1</v>
      </c>
      <c r="O240" s="780"/>
      <c r="R240" s="117">
        <f t="shared" si="36"/>
        <v>1</v>
      </c>
      <c r="S240" s="205">
        <f t="shared" si="37"/>
        <v>0.71500000000000008</v>
      </c>
    </row>
    <row r="241" spans="2:19">
      <c r="B241" s="790">
        <f t="shared" si="38"/>
        <v>2035</v>
      </c>
      <c r="C241" s="608">
        <f t="shared" si="43"/>
        <v>0</v>
      </c>
      <c r="D241" s="604">
        <f t="shared" si="44"/>
        <v>0</v>
      </c>
      <c r="E241" s="604">
        <f t="shared" si="45"/>
        <v>1</v>
      </c>
      <c r="F241" s="604">
        <f t="shared" si="46"/>
        <v>0</v>
      </c>
      <c r="G241" s="604">
        <f t="shared" si="47"/>
        <v>0</v>
      </c>
      <c r="H241" s="560">
        <f t="shared" si="32"/>
        <v>1</v>
      </c>
      <c r="I241" s="802">
        <v>0.2</v>
      </c>
      <c r="J241" s="779">
        <v>0.3</v>
      </c>
      <c r="K241" s="779">
        <v>0.25</v>
      </c>
      <c r="L241" s="779">
        <v>0.05</v>
      </c>
      <c r="M241" s="779">
        <v>0.2</v>
      </c>
      <c r="N241" s="786">
        <f t="shared" si="35"/>
        <v>1</v>
      </c>
      <c r="O241" s="780"/>
      <c r="R241" s="117">
        <f t="shared" si="36"/>
        <v>1</v>
      </c>
      <c r="S241" s="205">
        <f t="shared" si="37"/>
        <v>0.71500000000000008</v>
      </c>
    </row>
    <row r="242" spans="2:19">
      <c r="B242" s="790">
        <f t="shared" si="38"/>
        <v>2036</v>
      </c>
      <c r="C242" s="608">
        <f t="shared" si="43"/>
        <v>0</v>
      </c>
      <c r="D242" s="604">
        <f t="shared" si="44"/>
        <v>0</v>
      </c>
      <c r="E242" s="604">
        <f t="shared" si="45"/>
        <v>1</v>
      </c>
      <c r="F242" s="604">
        <f t="shared" si="46"/>
        <v>0</v>
      </c>
      <c r="G242" s="604">
        <f t="shared" si="47"/>
        <v>0</v>
      </c>
      <c r="H242" s="560">
        <f t="shared" si="32"/>
        <v>1</v>
      </c>
      <c r="I242" s="802">
        <v>0.2</v>
      </c>
      <c r="J242" s="779">
        <v>0.3</v>
      </c>
      <c r="K242" s="779">
        <v>0.25</v>
      </c>
      <c r="L242" s="779">
        <v>0.05</v>
      </c>
      <c r="M242" s="779">
        <v>0.2</v>
      </c>
      <c r="N242" s="786">
        <f t="shared" si="35"/>
        <v>1</v>
      </c>
      <c r="O242" s="780"/>
      <c r="R242" s="117">
        <f t="shared" si="36"/>
        <v>1</v>
      </c>
      <c r="S242" s="205">
        <f t="shared" si="37"/>
        <v>0.71500000000000008</v>
      </c>
    </row>
    <row r="243" spans="2:19">
      <c r="B243" s="790">
        <f t="shared" si="38"/>
        <v>2037</v>
      </c>
      <c r="C243" s="608">
        <f t="shared" si="43"/>
        <v>0</v>
      </c>
      <c r="D243" s="604">
        <f t="shared" si="44"/>
        <v>0</v>
      </c>
      <c r="E243" s="604">
        <f t="shared" si="45"/>
        <v>1</v>
      </c>
      <c r="F243" s="604">
        <f t="shared" si="46"/>
        <v>0</v>
      </c>
      <c r="G243" s="604">
        <f t="shared" si="47"/>
        <v>0</v>
      </c>
      <c r="H243" s="560">
        <f t="shared" si="32"/>
        <v>1</v>
      </c>
      <c r="I243" s="802">
        <v>0.2</v>
      </c>
      <c r="J243" s="779">
        <v>0.3</v>
      </c>
      <c r="K243" s="779">
        <v>0.25</v>
      </c>
      <c r="L243" s="779">
        <v>0.05</v>
      </c>
      <c r="M243" s="779">
        <v>0.2</v>
      </c>
      <c r="N243" s="786">
        <f t="shared" si="35"/>
        <v>1</v>
      </c>
      <c r="O243" s="780"/>
      <c r="R243" s="117">
        <f t="shared" si="36"/>
        <v>1</v>
      </c>
      <c r="S243" s="205">
        <f t="shared" si="37"/>
        <v>0.71500000000000008</v>
      </c>
    </row>
    <row r="244" spans="2:19">
      <c r="B244" s="790">
        <f t="shared" si="38"/>
        <v>2038</v>
      </c>
      <c r="C244" s="608">
        <f>C243</f>
        <v>0</v>
      </c>
      <c r="D244" s="604">
        <f t="shared" si="44"/>
        <v>0</v>
      </c>
      <c r="E244" s="604">
        <f t="shared" si="45"/>
        <v>1</v>
      </c>
      <c r="F244" s="604">
        <f t="shared" si="46"/>
        <v>0</v>
      </c>
      <c r="G244" s="604">
        <f t="shared" si="47"/>
        <v>0</v>
      </c>
      <c r="H244" s="560">
        <f t="shared" si="32"/>
        <v>1</v>
      </c>
      <c r="I244" s="802">
        <v>0.2</v>
      </c>
      <c r="J244" s="779">
        <v>0.3</v>
      </c>
      <c r="K244" s="779">
        <v>0.25</v>
      </c>
      <c r="L244" s="779">
        <v>0.05</v>
      </c>
      <c r="M244" s="779">
        <v>0.2</v>
      </c>
      <c r="N244" s="786">
        <f t="shared" si="35"/>
        <v>1</v>
      </c>
      <c r="O244" s="780"/>
      <c r="R244" s="117">
        <f t="shared" si="36"/>
        <v>1</v>
      </c>
      <c r="S244" s="205">
        <f t="shared" si="37"/>
        <v>0.71500000000000008</v>
      </c>
    </row>
    <row r="245" spans="2:19">
      <c r="B245" s="790">
        <f t="shared" si="38"/>
        <v>2039</v>
      </c>
      <c r="C245" s="608">
        <f t="shared" si="43"/>
        <v>0</v>
      </c>
      <c r="D245" s="604">
        <f t="shared" si="44"/>
        <v>0</v>
      </c>
      <c r="E245" s="604">
        <f t="shared" si="45"/>
        <v>1</v>
      </c>
      <c r="F245" s="604">
        <f t="shared" si="46"/>
        <v>0</v>
      </c>
      <c r="G245" s="604">
        <f t="shared" si="47"/>
        <v>0</v>
      </c>
      <c r="H245" s="560">
        <f t="shared" si="32"/>
        <v>1</v>
      </c>
      <c r="I245" s="802">
        <v>0.2</v>
      </c>
      <c r="J245" s="779">
        <v>0.3</v>
      </c>
      <c r="K245" s="779">
        <v>0.25</v>
      </c>
      <c r="L245" s="779">
        <v>0.05</v>
      </c>
      <c r="M245" s="779">
        <v>0.2</v>
      </c>
      <c r="N245" s="786">
        <f t="shared" si="35"/>
        <v>1</v>
      </c>
      <c r="O245" s="780"/>
      <c r="R245" s="117">
        <f t="shared" si="36"/>
        <v>1</v>
      </c>
      <c r="S245" s="205">
        <f t="shared" si="37"/>
        <v>0.71500000000000008</v>
      </c>
    </row>
    <row r="246" spans="2:19">
      <c r="B246" s="790">
        <f t="shared" si="38"/>
        <v>2040</v>
      </c>
      <c r="C246" s="608">
        <f t="shared" si="43"/>
        <v>0</v>
      </c>
      <c r="D246" s="604">
        <f t="shared" si="44"/>
        <v>0</v>
      </c>
      <c r="E246" s="604">
        <f t="shared" si="45"/>
        <v>1</v>
      </c>
      <c r="F246" s="604">
        <f t="shared" si="46"/>
        <v>0</v>
      </c>
      <c r="G246" s="604">
        <f t="shared" si="47"/>
        <v>0</v>
      </c>
      <c r="H246" s="560">
        <f t="shared" si="32"/>
        <v>1</v>
      </c>
      <c r="I246" s="802">
        <v>0.2</v>
      </c>
      <c r="J246" s="779">
        <v>0.3</v>
      </c>
      <c r="K246" s="779">
        <v>0.25</v>
      </c>
      <c r="L246" s="779">
        <v>0.05</v>
      </c>
      <c r="M246" s="779">
        <v>0.2</v>
      </c>
      <c r="N246" s="786">
        <f t="shared" si="35"/>
        <v>1</v>
      </c>
      <c r="O246" s="780"/>
      <c r="R246" s="117">
        <f t="shared" si="36"/>
        <v>1</v>
      </c>
      <c r="S246" s="205">
        <f t="shared" si="37"/>
        <v>0.71500000000000008</v>
      </c>
    </row>
    <row r="247" spans="2:19">
      <c r="B247" s="790">
        <f t="shared" si="38"/>
        <v>2041</v>
      </c>
      <c r="C247" s="608">
        <f t="shared" si="43"/>
        <v>0</v>
      </c>
      <c r="D247" s="604">
        <f t="shared" si="44"/>
        <v>0</v>
      </c>
      <c r="E247" s="604">
        <f t="shared" si="45"/>
        <v>1</v>
      </c>
      <c r="F247" s="604">
        <f t="shared" si="46"/>
        <v>0</v>
      </c>
      <c r="G247" s="604">
        <f t="shared" si="47"/>
        <v>0</v>
      </c>
      <c r="H247" s="560">
        <f t="shared" si="32"/>
        <v>1</v>
      </c>
      <c r="I247" s="802">
        <v>0.2</v>
      </c>
      <c r="J247" s="779">
        <v>0.3</v>
      </c>
      <c r="K247" s="779">
        <v>0.25</v>
      </c>
      <c r="L247" s="779">
        <v>0.05</v>
      </c>
      <c r="M247" s="779">
        <v>0.2</v>
      </c>
      <c r="N247" s="786">
        <f t="shared" si="35"/>
        <v>1</v>
      </c>
      <c r="O247" s="780"/>
      <c r="R247" s="117">
        <f t="shared" si="36"/>
        <v>1</v>
      </c>
      <c r="S247" s="205">
        <f t="shared" si="37"/>
        <v>0.71500000000000008</v>
      </c>
    </row>
    <row r="248" spans="2:19">
      <c r="B248" s="790">
        <f t="shared" si="38"/>
        <v>2042</v>
      </c>
      <c r="C248" s="608">
        <f t="shared" si="43"/>
        <v>0</v>
      </c>
      <c r="D248" s="604">
        <f t="shared" si="44"/>
        <v>0</v>
      </c>
      <c r="E248" s="604">
        <f t="shared" si="45"/>
        <v>1</v>
      </c>
      <c r="F248" s="604">
        <f t="shared" si="46"/>
        <v>0</v>
      </c>
      <c r="G248" s="604">
        <f t="shared" si="47"/>
        <v>0</v>
      </c>
      <c r="H248" s="560">
        <f t="shared" si="32"/>
        <v>1</v>
      </c>
      <c r="I248" s="802">
        <v>0.2</v>
      </c>
      <c r="J248" s="779">
        <v>0.3</v>
      </c>
      <c r="K248" s="779">
        <v>0.25</v>
      </c>
      <c r="L248" s="779">
        <v>0.05</v>
      </c>
      <c r="M248" s="779">
        <v>0.2</v>
      </c>
      <c r="N248" s="786">
        <f t="shared" si="35"/>
        <v>1</v>
      </c>
      <c r="O248" s="780"/>
      <c r="R248" s="117">
        <f t="shared" si="36"/>
        <v>1</v>
      </c>
      <c r="S248" s="205">
        <f t="shared" si="37"/>
        <v>0.71500000000000008</v>
      </c>
    </row>
    <row r="249" spans="2:19">
      <c r="B249" s="790">
        <f t="shared" si="38"/>
        <v>2043</v>
      </c>
      <c r="C249" s="608">
        <f t="shared" si="43"/>
        <v>0</v>
      </c>
      <c r="D249" s="604">
        <f t="shared" si="44"/>
        <v>0</v>
      </c>
      <c r="E249" s="604">
        <f t="shared" si="45"/>
        <v>1</v>
      </c>
      <c r="F249" s="604">
        <f t="shared" si="46"/>
        <v>0</v>
      </c>
      <c r="G249" s="604">
        <f t="shared" si="47"/>
        <v>0</v>
      </c>
      <c r="H249" s="560">
        <f t="shared" si="32"/>
        <v>1</v>
      </c>
      <c r="I249" s="802">
        <v>0.2</v>
      </c>
      <c r="J249" s="779">
        <v>0.3</v>
      </c>
      <c r="K249" s="779">
        <v>0.25</v>
      </c>
      <c r="L249" s="779">
        <v>0.05</v>
      </c>
      <c r="M249" s="779">
        <v>0.2</v>
      </c>
      <c r="N249" s="786">
        <f t="shared" si="35"/>
        <v>1</v>
      </c>
      <c r="O249" s="780"/>
      <c r="R249" s="117">
        <f t="shared" si="36"/>
        <v>1</v>
      </c>
      <c r="S249" s="205">
        <f t="shared" si="37"/>
        <v>0.71500000000000008</v>
      </c>
    </row>
    <row r="250" spans="2:19">
      <c r="B250" s="790">
        <f t="shared" si="38"/>
        <v>2044</v>
      </c>
      <c r="C250" s="608">
        <f t="shared" si="43"/>
        <v>0</v>
      </c>
      <c r="D250" s="604">
        <f t="shared" si="44"/>
        <v>0</v>
      </c>
      <c r="E250" s="604">
        <f t="shared" si="45"/>
        <v>1</v>
      </c>
      <c r="F250" s="604">
        <f t="shared" si="46"/>
        <v>0</v>
      </c>
      <c r="G250" s="604">
        <f t="shared" si="47"/>
        <v>0</v>
      </c>
      <c r="H250" s="560">
        <f t="shared" si="32"/>
        <v>1</v>
      </c>
      <c r="I250" s="802">
        <v>0.2</v>
      </c>
      <c r="J250" s="779">
        <v>0.3</v>
      </c>
      <c r="K250" s="779">
        <v>0.25</v>
      </c>
      <c r="L250" s="779">
        <v>0.05</v>
      </c>
      <c r="M250" s="779">
        <v>0.2</v>
      </c>
      <c r="N250" s="786">
        <f t="shared" si="35"/>
        <v>1</v>
      </c>
      <c r="O250" s="780"/>
      <c r="R250" s="117">
        <f t="shared" si="36"/>
        <v>1</v>
      </c>
      <c r="S250" s="205">
        <f t="shared" si="37"/>
        <v>0.71500000000000008</v>
      </c>
    </row>
    <row r="251" spans="2:19">
      <c r="B251" s="790">
        <f t="shared" si="38"/>
        <v>2045</v>
      </c>
      <c r="C251" s="608">
        <f t="shared" si="43"/>
        <v>0</v>
      </c>
      <c r="D251" s="604">
        <f t="shared" si="44"/>
        <v>0</v>
      </c>
      <c r="E251" s="604">
        <f t="shared" si="45"/>
        <v>1</v>
      </c>
      <c r="F251" s="604">
        <f t="shared" si="46"/>
        <v>0</v>
      </c>
      <c r="G251" s="604">
        <f t="shared" si="47"/>
        <v>0</v>
      </c>
      <c r="H251" s="560">
        <f t="shared" si="32"/>
        <v>1</v>
      </c>
      <c r="I251" s="802">
        <v>0.2</v>
      </c>
      <c r="J251" s="779">
        <v>0.3</v>
      </c>
      <c r="K251" s="779">
        <v>0.25</v>
      </c>
      <c r="L251" s="779">
        <v>0.05</v>
      </c>
      <c r="M251" s="779">
        <v>0.2</v>
      </c>
      <c r="N251" s="786">
        <f t="shared" si="35"/>
        <v>1</v>
      </c>
      <c r="O251" s="780"/>
      <c r="R251" s="117">
        <f t="shared" si="36"/>
        <v>1</v>
      </c>
      <c r="S251" s="205">
        <f t="shared" si="37"/>
        <v>0.71500000000000008</v>
      </c>
    </row>
    <row r="252" spans="2:19">
      <c r="B252" s="790">
        <f t="shared" si="38"/>
        <v>2046</v>
      </c>
      <c r="C252" s="608">
        <f t="shared" si="43"/>
        <v>0</v>
      </c>
      <c r="D252" s="604">
        <f t="shared" si="44"/>
        <v>0</v>
      </c>
      <c r="E252" s="604">
        <f t="shared" si="45"/>
        <v>1</v>
      </c>
      <c r="F252" s="604">
        <f t="shared" si="46"/>
        <v>0</v>
      </c>
      <c r="G252" s="604">
        <f t="shared" si="47"/>
        <v>0</v>
      </c>
      <c r="H252" s="560">
        <f t="shared" ref="H252:H256" si="48">SUM(C252:G252)</f>
        <v>1</v>
      </c>
      <c r="I252" s="802">
        <v>0.2</v>
      </c>
      <c r="J252" s="779">
        <v>0.3</v>
      </c>
      <c r="K252" s="779">
        <v>0.25</v>
      </c>
      <c r="L252" s="779">
        <v>0.05</v>
      </c>
      <c r="M252" s="779">
        <v>0.2</v>
      </c>
      <c r="N252" s="786">
        <f t="shared" si="35"/>
        <v>1</v>
      </c>
      <c r="O252" s="780"/>
      <c r="R252" s="117">
        <f t="shared" si="36"/>
        <v>1</v>
      </c>
      <c r="S252" s="205">
        <f t="shared" si="37"/>
        <v>0.71500000000000008</v>
      </c>
    </row>
    <row r="253" spans="2:19">
      <c r="B253" s="790">
        <f t="shared" si="38"/>
        <v>2047</v>
      </c>
      <c r="C253" s="608">
        <f t="shared" si="43"/>
        <v>0</v>
      </c>
      <c r="D253" s="604">
        <f t="shared" si="44"/>
        <v>0</v>
      </c>
      <c r="E253" s="604">
        <f t="shared" si="45"/>
        <v>1</v>
      </c>
      <c r="F253" s="604">
        <f t="shared" si="46"/>
        <v>0</v>
      </c>
      <c r="G253" s="604">
        <f t="shared" si="47"/>
        <v>0</v>
      </c>
      <c r="H253" s="560">
        <f t="shared" si="48"/>
        <v>1</v>
      </c>
      <c r="I253" s="802">
        <v>0.2</v>
      </c>
      <c r="J253" s="779">
        <v>0.3</v>
      </c>
      <c r="K253" s="779">
        <v>0.25</v>
      </c>
      <c r="L253" s="779">
        <v>0.05</v>
      </c>
      <c r="M253" s="779">
        <v>0.2</v>
      </c>
      <c r="N253" s="786">
        <f t="shared" si="35"/>
        <v>1</v>
      </c>
      <c r="O253" s="780"/>
      <c r="R253" s="117">
        <f t="shared" si="36"/>
        <v>1</v>
      </c>
      <c r="S253" s="205">
        <f t="shared" si="37"/>
        <v>0.71500000000000008</v>
      </c>
    </row>
    <row r="254" spans="2:19">
      <c r="B254" s="790">
        <f t="shared" si="38"/>
        <v>2048</v>
      </c>
      <c r="C254" s="608">
        <f t="shared" si="43"/>
        <v>0</v>
      </c>
      <c r="D254" s="604">
        <f t="shared" si="44"/>
        <v>0</v>
      </c>
      <c r="E254" s="604">
        <f t="shared" si="45"/>
        <v>1</v>
      </c>
      <c r="F254" s="604">
        <f t="shared" si="46"/>
        <v>0</v>
      </c>
      <c r="G254" s="604">
        <f t="shared" si="47"/>
        <v>0</v>
      </c>
      <c r="H254" s="560">
        <f t="shared" si="48"/>
        <v>1</v>
      </c>
      <c r="I254" s="802">
        <v>0.2</v>
      </c>
      <c r="J254" s="779">
        <v>0.3</v>
      </c>
      <c r="K254" s="779">
        <v>0.25</v>
      </c>
      <c r="L254" s="779">
        <v>0.05</v>
      </c>
      <c r="M254" s="779">
        <v>0.2</v>
      </c>
      <c r="N254" s="786">
        <f t="shared" si="35"/>
        <v>1</v>
      </c>
      <c r="O254" s="780"/>
      <c r="R254" s="117">
        <f t="shared" si="36"/>
        <v>1</v>
      </c>
      <c r="S254" s="205">
        <f t="shared" si="37"/>
        <v>0.71500000000000008</v>
      </c>
    </row>
    <row r="255" spans="2:19">
      <c r="B255" s="790">
        <f t="shared" si="38"/>
        <v>2049</v>
      </c>
      <c r="C255" s="608">
        <f t="shared" si="43"/>
        <v>0</v>
      </c>
      <c r="D255" s="604">
        <f t="shared" si="44"/>
        <v>0</v>
      </c>
      <c r="E255" s="604">
        <f t="shared" si="45"/>
        <v>1</v>
      </c>
      <c r="F255" s="604">
        <f t="shared" si="46"/>
        <v>0</v>
      </c>
      <c r="G255" s="604">
        <f t="shared" si="47"/>
        <v>0</v>
      </c>
      <c r="H255" s="560">
        <f t="shared" si="48"/>
        <v>1</v>
      </c>
      <c r="I255" s="802">
        <v>0.2</v>
      </c>
      <c r="J255" s="779">
        <v>0.3</v>
      </c>
      <c r="K255" s="779">
        <v>0.25</v>
      </c>
      <c r="L255" s="779">
        <v>0.05</v>
      </c>
      <c r="M255" s="779">
        <v>0.2</v>
      </c>
      <c r="N255" s="786">
        <f t="shared" si="35"/>
        <v>1</v>
      </c>
      <c r="O255" s="780"/>
      <c r="R255" s="117">
        <f t="shared" si="36"/>
        <v>1</v>
      </c>
      <c r="S255" s="205">
        <f t="shared" si="37"/>
        <v>0.71500000000000008</v>
      </c>
    </row>
    <row r="256" spans="2:19" ht="15.75" thickBot="1">
      <c r="B256" s="792">
        <f t="shared" si="38"/>
        <v>2050</v>
      </c>
      <c r="C256" s="609">
        <f t="shared" si="43"/>
        <v>0</v>
      </c>
      <c r="D256" s="606">
        <f t="shared" si="44"/>
        <v>0</v>
      </c>
      <c r="E256" s="606">
        <f t="shared" si="45"/>
        <v>1</v>
      </c>
      <c r="F256" s="606">
        <f t="shared" si="46"/>
        <v>0</v>
      </c>
      <c r="G256" s="606">
        <f t="shared" si="47"/>
        <v>0</v>
      </c>
      <c r="H256" s="797">
        <f t="shared" si="48"/>
        <v>1</v>
      </c>
      <c r="I256" s="804">
        <v>0.2</v>
      </c>
      <c r="J256" s="805">
        <v>0.3</v>
      </c>
      <c r="K256" s="805">
        <v>0.25</v>
      </c>
      <c r="L256" s="805">
        <v>0.05</v>
      </c>
      <c r="M256" s="805">
        <v>0.2</v>
      </c>
      <c r="N256" s="789">
        <f t="shared" si="35"/>
        <v>1</v>
      </c>
      <c r="O256" s="780"/>
      <c r="R256" s="120">
        <f t="shared" si="36"/>
        <v>1</v>
      </c>
      <c r="S256" s="206">
        <f t="shared" si="37"/>
        <v>0.71500000000000008</v>
      </c>
    </row>
    <row r="257" spans="1:19" ht="15.75" thickBot="1"/>
    <row r="258" spans="1:19">
      <c r="A258" s="1"/>
      <c r="B258" s="793">
        <f>B223</f>
        <v>2017</v>
      </c>
      <c r="C258" s="794">
        <f>C223</f>
        <v>0</v>
      </c>
      <c r="D258" s="784">
        <f t="shared" ref="D258:G258" si="49">D223</f>
        <v>0</v>
      </c>
      <c r="E258" s="784">
        <f t="shared" si="49"/>
        <v>0.4</v>
      </c>
      <c r="F258" s="784">
        <f t="shared" si="49"/>
        <v>0.3</v>
      </c>
      <c r="G258" s="784">
        <f t="shared" si="49"/>
        <v>0.3</v>
      </c>
      <c r="H258" s="796">
        <f t="shared" ref="H258:H286" si="50">SUM(C258:G258)</f>
        <v>1</v>
      </c>
      <c r="I258" s="800">
        <v>0.2</v>
      </c>
      <c r="J258" s="801">
        <v>0.3</v>
      </c>
      <c r="K258" s="801">
        <v>0.25</v>
      </c>
      <c r="L258" s="801">
        <v>0.05</v>
      </c>
      <c r="M258" s="801">
        <v>0.2</v>
      </c>
      <c r="N258" s="785">
        <f t="shared" ref="N258:N291" si="51">SUM(I258:M258)</f>
        <v>1</v>
      </c>
      <c r="O258" s="799"/>
      <c r="R258" s="806">
        <f t="shared" ref="R258:R291" si="52">C258*C$116+D258*D$116+E258*E$116+F258*F$116+G258*G$116</f>
        <v>0.73</v>
      </c>
      <c r="S258" s="807">
        <f t="shared" ref="S258:S291" si="53">I258*$I$116+J258*$J$116+K258*$K$116+L258*L$116+M258*$M$116</f>
        <v>0.71500000000000008</v>
      </c>
    </row>
    <row r="259" spans="1:19">
      <c r="A259" s="413" t="s">
        <v>620</v>
      </c>
      <c r="B259" s="790">
        <f t="shared" ref="B259:B291" si="54">B224</f>
        <v>2018</v>
      </c>
      <c r="C259" s="608">
        <f>($C$271-$C$258)/($B$271-$B$258)+C258</f>
        <v>0</v>
      </c>
      <c r="D259" s="604">
        <f>($D$271-$D$258)/($B$271-$B$258)+D258</f>
        <v>0</v>
      </c>
      <c r="E259" s="604">
        <f>($E$271-$E$258)/($B$271-$B$258)+E258</f>
        <v>0.44615384615384618</v>
      </c>
      <c r="F259" s="604">
        <f>($F$271-$F$258)/($B$271-$B$258)+F258</f>
        <v>0.27692307692307694</v>
      </c>
      <c r="G259" s="604">
        <f>($G$271-$G$258)/($B$271-$B$258)+G258</f>
        <v>0.27692307692307694</v>
      </c>
      <c r="H259" s="560">
        <f>SUM(C259:G259)</f>
        <v>1</v>
      </c>
      <c r="I259" s="802">
        <v>0.2</v>
      </c>
      <c r="J259" s="779">
        <v>0.3</v>
      </c>
      <c r="K259" s="779">
        <v>0.25</v>
      </c>
      <c r="L259" s="779">
        <v>0.05</v>
      </c>
      <c r="M259" s="779">
        <v>0.2</v>
      </c>
      <c r="N259" s="786">
        <f t="shared" si="51"/>
        <v>1</v>
      </c>
      <c r="O259" s="780"/>
      <c r="R259" s="117">
        <f t="shared" si="52"/>
        <v>0.75076923076923086</v>
      </c>
      <c r="S259" s="205">
        <f t="shared" si="53"/>
        <v>0.71500000000000008</v>
      </c>
    </row>
    <row r="260" spans="1:19">
      <c r="B260" s="790">
        <f t="shared" si="54"/>
        <v>2019</v>
      </c>
      <c r="C260" s="608">
        <f t="shared" ref="C260:C270" si="55">($C$271-$C$258)/($B$271-$B$258)+C259</f>
        <v>0</v>
      </c>
      <c r="D260" s="604">
        <f t="shared" ref="D260:D270" si="56">($D$271-$D$258)/($B$271-$B$258)+D259</f>
        <v>0</v>
      </c>
      <c r="E260" s="604">
        <f t="shared" ref="E260:E270" si="57">($E$271-$E$258)/($B$271-$B$258)+E259</f>
        <v>0.49230769230769234</v>
      </c>
      <c r="F260" s="604">
        <f t="shared" ref="F260:F270" si="58">($F$271-$F$258)/($B$271-$B$258)+F259</f>
        <v>0.25384615384615389</v>
      </c>
      <c r="G260" s="604">
        <f t="shared" ref="G260:G270" si="59">($G$271-$G$258)/($B$271-$B$258)+G259</f>
        <v>0.25384615384615389</v>
      </c>
      <c r="H260" s="560">
        <f t="shared" si="50"/>
        <v>1</v>
      </c>
      <c r="I260" s="802">
        <v>0.2</v>
      </c>
      <c r="J260" s="779">
        <v>0.3</v>
      </c>
      <c r="K260" s="779">
        <v>0.25</v>
      </c>
      <c r="L260" s="779">
        <v>0.05</v>
      </c>
      <c r="M260" s="779">
        <v>0.2</v>
      </c>
      <c r="N260" s="786">
        <f t="shared" si="51"/>
        <v>1</v>
      </c>
      <c r="O260" s="780"/>
      <c r="R260" s="117">
        <f t="shared" si="52"/>
        <v>0.77153846153846162</v>
      </c>
      <c r="S260" s="205">
        <f t="shared" si="53"/>
        <v>0.71500000000000008</v>
      </c>
    </row>
    <row r="261" spans="1:19">
      <c r="B261" s="790">
        <f t="shared" si="54"/>
        <v>2020</v>
      </c>
      <c r="C261" s="608">
        <f t="shared" si="55"/>
        <v>0</v>
      </c>
      <c r="D261" s="604">
        <f t="shared" si="56"/>
        <v>0</v>
      </c>
      <c r="E261" s="604">
        <f t="shared" si="57"/>
        <v>0.53846153846153844</v>
      </c>
      <c r="F261" s="604">
        <f t="shared" si="58"/>
        <v>0.23076923076923081</v>
      </c>
      <c r="G261" s="604">
        <f t="shared" si="59"/>
        <v>0.23076923076923081</v>
      </c>
      <c r="H261" s="560">
        <f t="shared" si="50"/>
        <v>1</v>
      </c>
      <c r="I261" s="802">
        <v>0.2</v>
      </c>
      <c r="J261" s="779">
        <v>0.3</v>
      </c>
      <c r="K261" s="779">
        <v>0.25</v>
      </c>
      <c r="L261" s="779">
        <v>0.05</v>
      </c>
      <c r="M261" s="779">
        <v>0.2</v>
      </c>
      <c r="N261" s="786">
        <f t="shared" si="51"/>
        <v>1</v>
      </c>
      <c r="O261" s="780"/>
      <c r="R261" s="117">
        <f t="shared" si="52"/>
        <v>0.79230769230769238</v>
      </c>
      <c r="S261" s="205">
        <f t="shared" si="53"/>
        <v>0.71500000000000008</v>
      </c>
    </row>
    <row r="262" spans="1:19">
      <c r="B262" s="790">
        <f t="shared" si="54"/>
        <v>2021</v>
      </c>
      <c r="C262" s="608">
        <f t="shared" si="55"/>
        <v>0</v>
      </c>
      <c r="D262" s="604">
        <f t="shared" si="56"/>
        <v>0</v>
      </c>
      <c r="E262" s="604">
        <f t="shared" si="57"/>
        <v>0.58461538461538454</v>
      </c>
      <c r="F262" s="604">
        <f t="shared" si="58"/>
        <v>0.20769230769230773</v>
      </c>
      <c r="G262" s="604">
        <f t="shared" si="59"/>
        <v>0.20769230769230773</v>
      </c>
      <c r="H262" s="560">
        <f t="shared" si="50"/>
        <v>1</v>
      </c>
      <c r="I262" s="802">
        <v>0.2</v>
      </c>
      <c r="J262" s="779">
        <v>0.3</v>
      </c>
      <c r="K262" s="779">
        <v>0.25</v>
      </c>
      <c r="L262" s="779">
        <v>0.05</v>
      </c>
      <c r="M262" s="779">
        <v>0.2</v>
      </c>
      <c r="N262" s="786">
        <f t="shared" si="51"/>
        <v>1</v>
      </c>
      <c r="O262" s="780"/>
      <c r="R262" s="117">
        <f t="shared" si="52"/>
        <v>0.81307692307692303</v>
      </c>
      <c r="S262" s="205">
        <f t="shared" si="53"/>
        <v>0.71500000000000008</v>
      </c>
    </row>
    <row r="263" spans="1:19">
      <c r="B263" s="790">
        <f t="shared" si="54"/>
        <v>2022</v>
      </c>
      <c r="C263" s="608">
        <f t="shared" si="55"/>
        <v>0</v>
      </c>
      <c r="D263" s="604">
        <f t="shared" si="56"/>
        <v>0</v>
      </c>
      <c r="E263" s="604">
        <f t="shared" si="57"/>
        <v>0.63076923076923064</v>
      </c>
      <c r="F263" s="604">
        <f t="shared" si="58"/>
        <v>0.18461538461538465</v>
      </c>
      <c r="G263" s="604">
        <f t="shared" si="59"/>
        <v>0.18461538461538465</v>
      </c>
      <c r="H263" s="560">
        <f t="shared" si="50"/>
        <v>0.99999999999999989</v>
      </c>
      <c r="I263" s="802">
        <v>0.2</v>
      </c>
      <c r="J263" s="779">
        <v>0.3</v>
      </c>
      <c r="K263" s="779">
        <v>0.25</v>
      </c>
      <c r="L263" s="779">
        <v>0.05</v>
      </c>
      <c r="M263" s="779">
        <v>0.2</v>
      </c>
      <c r="N263" s="786">
        <f t="shared" si="51"/>
        <v>1</v>
      </c>
      <c r="O263" s="780"/>
      <c r="R263" s="117">
        <f t="shared" si="52"/>
        <v>0.83384615384615368</v>
      </c>
      <c r="S263" s="205">
        <f t="shared" si="53"/>
        <v>0.71500000000000008</v>
      </c>
    </row>
    <row r="264" spans="1:19">
      <c r="B264" s="790">
        <f t="shared" si="54"/>
        <v>2023</v>
      </c>
      <c r="C264" s="608">
        <f t="shared" si="55"/>
        <v>0</v>
      </c>
      <c r="D264" s="604">
        <f t="shared" si="56"/>
        <v>0</v>
      </c>
      <c r="E264" s="604">
        <f t="shared" si="57"/>
        <v>0.67692307692307674</v>
      </c>
      <c r="F264" s="604">
        <f t="shared" si="58"/>
        <v>0.16153846153846158</v>
      </c>
      <c r="G264" s="604">
        <f t="shared" si="59"/>
        <v>0.16153846153846158</v>
      </c>
      <c r="H264" s="560">
        <f t="shared" si="50"/>
        <v>1</v>
      </c>
      <c r="I264" s="802">
        <v>0.2</v>
      </c>
      <c r="J264" s="779">
        <v>0.3</v>
      </c>
      <c r="K264" s="779">
        <v>0.25</v>
      </c>
      <c r="L264" s="779">
        <v>0.05</v>
      </c>
      <c r="M264" s="779">
        <v>0.2</v>
      </c>
      <c r="N264" s="786">
        <f t="shared" si="51"/>
        <v>1</v>
      </c>
      <c r="O264" s="780"/>
      <c r="R264" s="117">
        <f t="shared" si="52"/>
        <v>0.85461538461538455</v>
      </c>
      <c r="S264" s="205">
        <f t="shared" si="53"/>
        <v>0.71500000000000008</v>
      </c>
    </row>
    <row r="265" spans="1:19">
      <c r="B265" s="790">
        <f t="shared" si="54"/>
        <v>2024</v>
      </c>
      <c r="C265" s="608">
        <f t="shared" si="55"/>
        <v>0</v>
      </c>
      <c r="D265" s="604">
        <f t="shared" si="56"/>
        <v>0</v>
      </c>
      <c r="E265" s="604">
        <f t="shared" si="57"/>
        <v>0.72307692307692284</v>
      </c>
      <c r="F265" s="604">
        <f t="shared" si="58"/>
        <v>0.1384615384615385</v>
      </c>
      <c r="G265" s="604">
        <f t="shared" si="59"/>
        <v>0.1384615384615385</v>
      </c>
      <c r="H265" s="560">
        <f t="shared" si="50"/>
        <v>0.99999999999999989</v>
      </c>
      <c r="I265" s="802">
        <v>0.2</v>
      </c>
      <c r="J265" s="779">
        <v>0.3</v>
      </c>
      <c r="K265" s="779">
        <v>0.25</v>
      </c>
      <c r="L265" s="779">
        <v>0.05</v>
      </c>
      <c r="M265" s="779">
        <v>0.2</v>
      </c>
      <c r="N265" s="786">
        <f t="shared" si="51"/>
        <v>1</v>
      </c>
      <c r="O265" s="780"/>
      <c r="R265" s="117">
        <f t="shared" si="52"/>
        <v>0.87538461538461509</v>
      </c>
      <c r="S265" s="205">
        <f t="shared" si="53"/>
        <v>0.71500000000000008</v>
      </c>
    </row>
    <row r="266" spans="1:19">
      <c r="B266" s="790">
        <f t="shared" si="54"/>
        <v>2025</v>
      </c>
      <c r="C266" s="608">
        <f t="shared" si="55"/>
        <v>0</v>
      </c>
      <c r="D266" s="604">
        <f t="shared" si="56"/>
        <v>0</v>
      </c>
      <c r="E266" s="604">
        <f t="shared" si="57"/>
        <v>0.76923076923076894</v>
      </c>
      <c r="F266" s="604">
        <f t="shared" si="58"/>
        <v>0.11538461538461542</v>
      </c>
      <c r="G266" s="604">
        <f t="shared" si="59"/>
        <v>0.11538461538461542</v>
      </c>
      <c r="H266" s="560">
        <f t="shared" si="50"/>
        <v>0.99999999999999978</v>
      </c>
      <c r="I266" s="802">
        <v>0.2</v>
      </c>
      <c r="J266" s="779">
        <v>0.3</v>
      </c>
      <c r="K266" s="779">
        <v>0.25</v>
      </c>
      <c r="L266" s="779">
        <v>0.05</v>
      </c>
      <c r="M266" s="779">
        <v>0.2</v>
      </c>
      <c r="N266" s="786">
        <f t="shared" si="51"/>
        <v>1</v>
      </c>
      <c r="O266" s="780"/>
      <c r="R266" s="117">
        <f t="shared" si="52"/>
        <v>0.89615384615384586</v>
      </c>
      <c r="S266" s="205">
        <f t="shared" si="53"/>
        <v>0.71500000000000008</v>
      </c>
    </row>
    <row r="267" spans="1:19">
      <c r="B267" s="790">
        <f t="shared" si="54"/>
        <v>2026</v>
      </c>
      <c r="C267" s="608">
        <f t="shared" si="55"/>
        <v>0</v>
      </c>
      <c r="D267" s="604">
        <f t="shared" si="56"/>
        <v>0</v>
      </c>
      <c r="E267" s="604">
        <f t="shared" si="57"/>
        <v>0.81538461538461504</v>
      </c>
      <c r="F267" s="604">
        <f t="shared" si="58"/>
        <v>9.2307692307692341E-2</v>
      </c>
      <c r="G267" s="604">
        <f t="shared" si="59"/>
        <v>9.2307692307692341E-2</v>
      </c>
      <c r="H267" s="560">
        <f t="shared" si="50"/>
        <v>0.99999999999999967</v>
      </c>
      <c r="I267" s="802">
        <v>0.2</v>
      </c>
      <c r="J267" s="779">
        <v>0.3</v>
      </c>
      <c r="K267" s="779">
        <v>0.25</v>
      </c>
      <c r="L267" s="779">
        <v>0.05</v>
      </c>
      <c r="M267" s="779">
        <v>0.2</v>
      </c>
      <c r="N267" s="786">
        <f t="shared" si="51"/>
        <v>1</v>
      </c>
      <c r="O267" s="780"/>
      <c r="R267" s="117">
        <f t="shared" si="52"/>
        <v>0.91692307692307662</v>
      </c>
      <c r="S267" s="205">
        <f t="shared" si="53"/>
        <v>0.71500000000000008</v>
      </c>
    </row>
    <row r="268" spans="1:19">
      <c r="B268" s="790">
        <f t="shared" si="54"/>
        <v>2027</v>
      </c>
      <c r="C268" s="608">
        <f t="shared" si="55"/>
        <v>0</v>
      </c>
      <c r="D268" s="604">
        <f t="shared" si="56"/>
        <v>0</v>
      </c>
      <c r="E268" s="604">
        <f t="shared" si="57"/>
        <v>0.86153846153846114</v>
      </c>
      <c r="F268" s="604">
        <f t="shared" si="58"/>
        <v>6.9230769230769262E-2</v>
      </c>
      <c r="G268" s="604">
        <f t="shared" si="59"/>
        <v>6.9230769230769262E-2</v>
      </c>
      <c r="H268" s="560">
        <f t="shared" si="50"/>
        <v>0.99999999999999956</v>
      </c>
      <c r="I268" s="802">
        <v>0.2</v>
      </c>
      <c r="J268" s="779">
        <v>0.3</v>
      </c>
      <c r="K268" s="779">
        <v>0.25</v>
      </c>
      <c r="L268" s="779">
        <v>0.05</v>
      </c>
      <c r="M268" s="779">
        <v>0.2</v>
      </c>
      <c r="N268" s="786">
        <f t="shared" si="51"/>
        <v>1</v>
      </c>
      <c r="O268" s="780"/>
      <c r="R268" s="117">
        <f t="shared" si="52"/>
        <v>0.93769230769230727</v>
      </c>
      <c r="S268" s="205">
        <f t="shared" si="53"/>
        <v>0.71500000000000008</v>
      </c>
    </row>
    <row r="269" spans="1:19">
      <c r="B269" s="790">
        <f t="shared" si="54"/>
        <v>2028</v>
      </c>
      <c r="C269" s="608">
        <f t="shared" si="55"/>
        <v>0</v>
      </c>
      <c r="D269" s="604">
        <f t="shared" si="56"/>
        <v>0</v>
      </c>
      <c r="E269" s="604">
        <f t="shared" si="57"/>
        <v>0.90769230769230724</v>
      </c>
      <c r="F269" s="604">
        <f t="shared" si="58"/>
        <v>4.6153846153846184E-2</v>
      </c>
      <c r="G269" s="604">
        <f t="shared" si="59"/>
        <v>4.6153846153846184E-2</v>
      </c>
      <c r="H269" s="560">
        <f t="shared" si="50"/>
        <v>0.99999999999999967</v>
      </c>
      <c r="I269" s="802">
        <v>0.2</v>
      </c>
      <c r="J269" s="779">
        <v>0.3</v>
      </c>
      <c r="K269" s="779">
        <v>0.25</v>
      </c>
      <c r="L269" s="779">
        <v>0.05</v>
      </c>
      <c r="M269" s="779">
        <v>0.2</v>
      </c>
      <c r="N269" s="786">
        <f t="shared" si="51"/>
        <v>1</v>
      </c>
      <c r="O269" s="780"/>
      <c r="R269" s="117">
        <f t="shared" si="52"/>
        <v>0.95846153846153803</v>
      </c>
      <c r="S269" s="205">
        <f t="shared" si="53"/>
        <v>0.71500000000000008</v>
      </c>
    </row>
    <row r="270" spans="1:19">
      <c r="B270" s="790">
        <f t="shared" si="54"/>
        <v>2029</v>
      </c>
      <c r="C270" s="608">
        <f t="shared" si="55"/>
        <v>0</v>
      </c>
      <c r="D270" s="604">
        <f t="shared" si="56"/>
        <v>0</v>
      </c>
      <c r="E270" s="604">
        <f t="shared" si="57"/>
        <v>0.95384615384615334</v>
      </c>
      <c r="F270" s="604">
        <f t="shared" si="58"/>
        <v>2.3076923076923109E-2</v>
      </c>
      <c r="G270" s="604">
        <f t="shared" si="59"/>
        <v>2.3076923076923109E-2</v>
      </c>
      <c r="H270" s="560">
        <f t="shared" si="50"/>
        <v>0.99999999999999956</v>
      </c>
      <c r="I270" s="802">
        <v>0.2</v>
      </c>
      <c r="J270" s="779">
        <v>0.3</v>
      </c>
      <c r="K270" s="779">
        <v>0.25</v>
      </c>
      <c r="L270" s="779">
        <v>0.05</v>
      </c>
      <c r="M270" s="779">
        <v>0.2</v>
      </c>
      <c r="N270" s="786">
        <f t="shared" si="51"/>
        <v>1</v>
      </c>
      <c r="O270" s="780"/>
      <c r="R270" s="117">
        <f t="shared" si="52"/>
        <v>0.97923076923076879</v>
      </c>
      <c r="S270" s="205">
        <f t="shared" si="53"/>
        <v>0.71500000000000008</v>
      </c>
    </row>
    <row r="271" spans="1:19">
      <c r="A271" s="1"/>
      <c r="B271" s="791">
        <f t="shared" si="54"/>
        <v>2030</v>
      </c>
      <c r="C271" s="795">
        <f>'Recycling - Case 3'!C39</f>
        <v>0</v>
      </c>
      <c r="D271" s="781">
        <f>'Recycling - Case 3'!D39</f>
        <v>0</v>
      </c>
      <c r="E271" s="781">
        <f>'Recycling - Case 3'!E39</f>
        <v>1</v>
      </c>
      <c r="F271" s="781">
        <f>'Recycling - Case 3'!F39</f>
        <v>0</v>
      </c>
      <c r="G271" s="781">
        <f>'Recycling - Case 3'!G39</f>
        <v>0</v>
      </c>
      <c r="H271" s="782">
        <f>'Recycling - Case 3'!H39</f>
        <v>0</v>
      </c>
      <c r="I271" s="803">
        <v>0.2</v>
      </c>
      <c r="J271" s="798">
        <v>0.3</v>
      </c>
      <c r="K271" s="798">
        <v>0.25</v>
      </c>
      <c r="L271" s="798">
        <v>0.05</v>
      </c>
      <c r="M271" s="798">
        <v>0.2</v>
      </c>
      <c r="N271" s="788">
        <f t="shared" si="51"/>
        <v>1</v>
      </c>
      <c r="O271" s="799"/>
      <c r="R271" s="117">
        <f t="shared" si="52"/>
        <v>1</v>
      </c>
      <c r="S271" s="205">
        <f t="shared" si="53"/>
        <v>0.71500000000000008</v>
      </c>
    </row>
    <row r="272" spans="1:19">
      <c r="B272" s="790">
        <f t="shared" si="54"/>
        <v>2031</v>
      </c>
      <c r="C272" s="608">
        <f>C271</f>
        <v>0</v>
      </c>
      <c r="D272" s="604">
        <f t="shared" ref="D272:G287" si="60">D271</f>
        <v>0</v>
      </c>
      <c r="E272" s="604">
        <f t="shared" si="60"/>
        <v>1</v>
      </c>
      <c r="F272" s="604">
        <f t="shared" si="60"/>
        <v>0</v>
      </c>
      <c r="G272" s="604">
        <f t="shared" si="60"/>
        <v>0</v>
      </c>
      <c r="H272" s="560">
        <f t="shared" si="50"/>
        <v>1</v>
      </c>
      <c r="I272" s="802">
        <v>0.2</v>
      </c>
      <c r="J272" s="779">
        <v>0.3</v>
      </c>
      <c r="K272" s="779">
        <v>0.25</v>
      </c>
      <c r="L272" s="779">
        <v>0.05</v>
      </c>
      <c r="M272" s="779">
        <v>0.2</v>
      </c>
      <c r="N272" s="786">
        <f t="shared" si="51"/>
        <v>1</v>
      </c>
      <c r="O272" s="780"/>
      <c r="R272" s="117">
        <f t="shared" si="52"/>
        <v>1</v>
      </c>
      <c r="S272" s="205">
        <f t="shared" si="53"/>
        <v>0.71500000000000008</v>
      </c>
    </row>
    <row r="273" spans="2:19">
      <c r="B273" s="790">
        <f t="shared" si="54"/>
        <v>2032</v>
      </c>
      <c r="C273" s="608">
        <f t="shared" ref="C273:G288" si="61">C272</f>
        <v>0</v>
      </c>
      <c r="D273" s="604">
        <f t="shared" si="60"/>
        <v>0</v>
      </c>
      <c r="E273" s="604">
        <f t="shared" si="60"/>
        <v>1</v>
      </c>
      <c r="F273" s="604">
        <f t="shared" si="60"/>
        <v>0</v>
      </c>
      <c r="G273" s="604">
        <f t="shared" si="60"/>
        <v>0</v>
      </c>
      <c r="H273" s="560">
        <f t="shared" si="50"/>
        <v>1</v>
      </c>
      <c r="I273" s="802">
        <v>0.2</v>
      </c>
      <c r="J273" s="779">
        <v>0.3</v>
      </c>
      <c r="K273" s="779">
        <v>0.25</v>
      </c>
      <c r="L273" s="779">
        <v>0.05</v>
      </c>
      <c r="M273" s="779">
        <v>0.2</v>
      </c>
      <c r="N273" s="786">
        <f t="shared" si="51"/>
        <v>1</v>
      </c>
      <c r="O273" s="780"/>
      <c r="R273" s="117">
        <f t="shared" si="52"/>
        <v>1</v>
      </c>
      <c r="S273" s="205">
        <f t="shared" si="53"/>
        <v>0.71500000000000008</v>
      </c>
    </row>
    <row r="274" spans="2:19">
      <c r="B274" s="790">
        <f t="shared" si="54"/>
        <v>2033</v>
      </c>
      <c r="C274" s="608">
        <f t="shared" si="61"/>
        <v>0</v>
      </c>
      <c r="D274" s="604">
        <f t="shared" si="60"/>
        <v>0</v>
      </c>
      <c r="E274" s="604">
        <f t="shared" si="60"/>
        <v>1</v>
      </c>
      <c r="F274" s="604">
        <f t="shared" si="60"/>
        <v>0</v>
      </c>
      <c r="G274" s="604">
        <f t="shared" si="60"/>
        <v>0</v>
      </c>
      <c r="H274" s="560">
        <f t="shared" si="50"/>
        <v>1</v>
      </c>
      <c r="I274" s="802">
        <v>0.2</v>
      </c>
      <c r="J274" s="779">
        <v>0.3</v>
      </c>
      <c r="K274" s="779">
        <v>0.25</v>
      </c>
      <c r="L274" s="779">
        <v>0.05</v>
      </c>
      <c r="M274" s="779">
        <v>0.2</v>
      </c>
      <c r="N274" s="786">
        <f t="shared" si="51"/>
        <v>1</v>
      </c>
      <c r="O274" s="780"/>
      <c r="R274" s="117">
        <f t="shared" si="52"/>
        <v>1</v>
      </c>
      <c r="S274" s="205">
        <f t="shared" si="53"/>
        <v>0.71500000000000008</v>
      </c>
    </row>
    <row r="275" spans="2:19">
      <c r="B275" s="790">
        <f t="shared" si="54"/>
        <v>2034</v>
      </c>
      <c r="C275" s="608">
        <f t="shared" si="61"/>
        <v>0</v>
      </c>
      <c r="D275" s="604">
        <f t="shared" si="60"/>
        <v>0</v>
      </c>
      <c r="E275" s="604">
        <f t="shared" si="60"/>
        <v>1</v>
      </c>
      <c r="F275" s="604">
        <f t="shared" si="60"/>
        <v>0</v>
      </c>
      <c r="G275" s="604">
        <f t="shared" si="60"/>
        <v>0</v>
      </c>
      <c r="H275" s="560">
        <f t="shared" si="50"/>
        <v>1</v>
      </c>
      <c r="I275" s="802">
        <v>0.2</v>
      </c>
      <c r="J275" s="779">
        <v>0.3</v>
      </c>
      <c r="K275" s="779">
        <v>0.25</v>
      </c>
      <c r="L275" s="779">
        <v>0.05</v>
      </c>
      <c r="M275" s="779">
        <v>0.2</v>
      </c>
      <c r="N275" s="786">
        <f t="shared" si="51"/>
        <v>1</v>
      </c>
      <c r="O275" s="780"/>
      <c r="R275" s="117">
        <f t="shared" si="52"/>
        <v>1</v>
      </c>
      <c r="S275" s="205">
        <f t="shared" si="53"/>
        <v>0.71500000000000008</v>
      </c>
    </row>
    <row r="276" spans="2:19">
      <c r="B276" s="790">
        <f t="shared" si="54"/>
        <v>2035</v>
      </c>
      <c r="C276" s="608">
        <f t="shared" si="61"/>
        <v>0</v>
      </c>
      <c r="D276" s="604">
        <f t="shared" si="60"/>
        <v>0</v>
      </c>
      <c r="E276" s="604">
        <f t="shared" si="60"/>
        <v>1</v>
      </c>
      <c r="F276" s="604">
        <f t="shared" si="60"/>
        <v>0</v>
      </c>
      <c r="G276" s="604">
        <f t="shared" si="60"/>
        <v>0</v>
      </c>
      <c r="H276" s="560">
        <f t="shared" si="50"/>
        <v>1</v>
      </c>
      <c r="I276" s="802">
        <v>0.2</v>
      </c>
      <c r="J276" s="779">
        <v>0.3</v>
      </c>
      <c r="K276" s="779">
        <v>0.25</v>
      </c>
      <c r="L276" s="779">
        <v>0.05</v>
      </c>
      <c r="M276" s="779">
        <v>0.2</v>
      </c>
      <c r="N276" s="786">
        <f t="shared" si="51"/>
        <v>1</v>
      </c>
      <c r="O276" s="780"/>
      <c r="R276" s="117">
        <f t="shared" si="52"/>
        <v>1</v>
      </c>
      <c r="S276" s="205">
        <f t="shared" si="53"/>
        <v>0.71500000000000008</v>
      </c>
    </row>
    <row r="277" spans="2:19">
      <c r="B277" s="790">
        <f t="shared" si="54"/>
        <v>2036</v>
      </c>
      <c r="C277" s="608">
        <f t="shared" si="61"/>
        <v>0</v>
      </c>
      <c r="D277" s="604">
        <f t="shared" si="60"/>
        <v>0</v>
      </c>
      <c r="E277" s="604">
        <f t="shared" si="60"/>
        <v>1</v>
      </c>
      <c r="F277" s="604">
        <f t="shared" si="60"/>
        <v>0</v>
      </c>
      <c r="G277" s="604">
        <f t="shared" si="60"/>
        <v>0</v>
      </c>
      <c r="H277" s="560">
        <f t="shared" si="50"/>
        <v>1</v>
      </c>
      <c r="I277" s="802">
        <v>0.2</v>
      </c>
      <c r="J277" s="779">
        <v>0.3</v>
      </c>
      <c r="K277" s="779">
        <v>0.25</v>
      </c>
      <c r="L277" s="779">
        <v>0.05</v>
      </c>
      <c r="M277" s="779">
        <v>0.2</v>
      </c>
      <c r="N277" s="786">
        <f t="shared" si="51"/>
        <v>1</v>
      </c>
      <c r="O277" s="780"/>
      <c r="R277" s="117">
        <f t="shared" si="52"/>
        <v>1</v>
      </c>
      <c r="S277" s="205">
        <f t="shared" si="53"/>
        <v>0.71500000000000008</v>
      </c>
    </row>
    <row r="278" spans="2:19">
      <c r="B278" s="790">
        <f t="shared" si="54"/>
        <v>2037</v>
      </c>
      <c r="C278" s="608">
        <f t="shared" si="61"/>
        <v>0</v>
      </c>
      <c r="D278" s="604">
        <f t="shared" si="60"/>
        <v>0</v>
      </c>
      <c r="E278" s="604">
        <f t="shared" si="60"/>
        <v>1</v>
      </c>
      <c r="F278" s="604">
        <f t="shared" si="60"/>
        <v>0</v>
      </c>
      <c r="G278" s="604">
        <f t="shared" si="60"/>
        <v>0</v>
      </c>
      <c r="H278" s="560">
        <f t="shared" si="50"/>
        <v>1</v>
      </c>
      <c r="I278" s="802">
        <v>0.2</v>
      </c>
      <c r="J278" s="779">
        <v>0.3</v>
      </c>
      <c r="K278" s="779">
        <v>0.25</v>
      </c>
      <c r="L278" s="779">
        <v>0.05</v>
      </c>
      <c r="M278" s="779">
        <v>0.2</v>
      </c>
      <c r="N278" s="786">
        <f t="shared" si="51"/>
        <v>1</v>
      </c>
      <c r="O278" s="780"/>
      <c r="R278" s="117">
        <f t="shared" si="52"/>
        <v>1</v>
      </c>
      <c r="S278" s="205">
        <f t="shared" si="53"/>
        <v>0.71500000000000008</v>
      </c>
    </row>
    <row r="279" spans="2:19">
      <c r="B279" s="790">
        <f t="shared" si="54"/>
        <v>2038</v>
      </c>
      <c r="C279" s="608">
        <f t="shared" si="61"/>
        <v>0</v>
      </c>
      <c r="D279" s="604">
        <f t="shared" si="60"/>
        <v>0</v>
      </c>
      <c r="E279" s="604">
        <f t="shared" si="60"/>
        <v>1</v>
      </c>
      <c r="F279" s="604">
        <f t="shared" si="60"/>
        <v>0</v>
      </c>
      <c r="G279" s="604">
        <f t="shared" si="60"/>
        <v>0</v>
      </c>
      <c r="H279" s="560">
        <f t="shared" si="50"/>
        <v>1</v>
      </c>
      <c r="I279" s="802">
        <v>0.2</v>
      </c>
      <c r="J279" s="779">
        <v>0.3</v>
      </c>
      <c r="K279" s="779">
        <v>0.25</v>
      </c>
      <c r="L279" s="779">
        <v>0.05</v>
      </c>
      <c r="M279" s="779">
        <v>0.2</v>
      </c>
      <c r="N279" s="786">
        <f t="shared" si="51"/>
        <v>1</v>
      </c>
      <c r="O279" s="780"/>
      <c r="R279" s="117">
        <f t="shared" si="52"/>
        <v>1</v>
      </c>
      <c r="S279" s="205">
        <f t="shared" si="53"/>
        <v>0.71500000000000008</v>
      </c>
    </row>
    <row r="280" spans="2:19">
      <c r="B280" s="790">
        <f t="shared" si="54"/>
        <v>2039</v>
      </c>
      <c r="C280" s="608">
        <f t="shared" si="61"/>
        <v>0</v>
      </c>
      <c r="D280" s="604">
        <f t="shared" si="60"/>
        <v>0</v>
      </c>
      <c r="E280" s="604">
        <f t="shared" si="60"/>
        <v>1</v>
      </c>
      <c r="F280" s="604">
        <f t="shared" si="60"/>
        <v>0</v>
      </c>
      <c r="G280" s="604">
        <f t="shared" si="60"/>
        <v>0</v>
      </c>
      <c r="H280" s="560">
        <f t="shared" si="50"/>
        <v>1</v>
      </c>
      <c r="I280" s="802">
        <v>0.2</v>
      </c>
      <c r="J280" s="779">
        <v>0.3</v>
      </c>
      <c r="K280" s="779">
        <v>0.25</v>
      </c>
      <c r="L280" s="779">
        <v>0.05</v>
      </c>
      <c r="M280" s="779">
        <v>0.2</v>
      </c>
      <c r="N280" s="786">
        <f t="shared" si="51"/>
        <v>1</v>
      </c>
      <c r="O280" s="780"/>
      <c r="R280" s="117">
        <f t="shared" si="52"/>
        <v>1</v>
      </c>
      <c r="S280" s="205">
        <f t="shared" si="53"/>
        <v>0.71500000000000008</v>
      </c>
    </row>
    <row r="281" spans="2:19">
      <c r="B281" s="790">
        <f t="shared" si="54"/>
        <v>2040</v>
      </c>
      <c r="C281" s="608">
        <f t="shared" si="61"/>
        <v>0</v>
      </c>
      <c r="D281" s="604">
        <f t="shared" si="60"/>
        <v>0</v>
      </c>
      <c r="E281" s="604">
        <f t="shared" si="60"/>
        <v>1</v>
      </c>
      <c r="F281" s="604">
        <f t="shared" si="60"/>
        <v>0</v>
      </c>
      <c r="G281" s="604">
        <f t="shared" si="60"/>
        <v>0</v>
      </c>
      <c r="H281" s="560">
        <f t="shared" si="50"/>
        <v>1</v>
      </c>
      <c r="I281" s="802">
        <v>0.2</v>
      </c>
      <c r="J281" s="779">
        <v>0.3</v>
      </c>
      <c r="K281" s="779">
        <v>0.25</v>
      </c>
      <c r="L281" s="779">
        <v>0.05</v>
      </c>
      <c r="M281" s="779">
        <v>0.2</v>
      </c>
      <c r="N281" s="786">
        <f t="shared" si="51"/>
        <v>1</v>
      </c>
      <c r="O281" s="780"/>
      <c r="R281" s="117">
        <f t="shared" si="52"/>
        <v>1</v>
      </c>
      <c r="S281" s="205">
        <f t="shared" si="53"/>
        <v>0.71500000000000008</v>
      </c>
    </row>
    <row r="282" spans="2:19">
      <c r="B282" s="790">
        <f t="shared" si="54"/>
        <v>2041</v>
      </c>
      <c r="C282" s="608">
        <f t="shared" si="61"/>
        <v>0</v>
      </c>
      <c r="D282" s="604">
        <f t="shared" si="60"/>
        <v>0</v>
      </c>
      <c r="E282" s="604">
        <f t="shared" si="60"/>
        <v>1</v>
      </c>
      <c r="F282" s="604">
        <f t="shared" si="60"/>
        <v>0</v>
      </c>
      <c r="G282" s="604">
        <f t="shared" si="60"/>
        <v>0</v>
      </c>
      <c r="H282" s="560">
        <f t="shared" si="50"/>
        <v>1</v>
      </c>
      <c r="I282" s="802">
        <v>0.2</v>
      </c>
      <c r="J282" s="779">
        <v>0.3</v>
      </c>
      <c r="K282" s="779">
        <v>0.25</v>
      </c>
      <c r="L282" s="779">
        <v>0.05</v>
      </c>
      <c r="M282" s="779">
        <v>0.2</v>
      </c>
      <c r="N282" s="786">
        <f t="shared" si="51"/>
        <v>1</v>
      </c>
      <c r="O282" s="780"/>
      <c r="R282" s="117">
        <f t="shared" si="52"/>
        <v>1</v>
      </c>
      <c r="S282" s="205">
        <f t="shared" si="53"/>
        <v>0.71500000000000008</v>
      </c>
    </row>
    <row r="283" spans="2:19">
      <c r="B283" s="790">
        <f t="shared" si="54"/>
        <v>2042</v>
      </c>
      <c r="C283" s="608">
        <f t="shared" si="61"/>
        <v>0</v>
      </c>
      <c r="D283" s="604">
        <f t="shared" si="60"/>
        <v>0</v>
      </c>
      <c r="E283" s="604">
        <f t="shared" si="60"/>
        <v>1</v>
      </c>
      <c r="F283" s="604">
        <f t="shared" si="60"/>
        <v>0</v>
      </c>
      <c r="G283" s="604">
        <f t="shared" si="60"/>
        <v>0</v>
      </c>
      <c r="H283" s="560">
        <f t="shared" si="50"/>
        <v>1</v>
      </c>
      <c r="I283" s="802">
        <v>0.2</v>
      </c>
      <c r="J283" s="779">
        <v>0.3</v>
      </c>
      <c r="K283" s="779">
        <v>0.25</v>
      </c>
      <c r="L283" s="779">
        <v>0.05</v>
      </c>
      <c r="M283" s="779">
        <v>0.2</v>
      </c>
      <c r="N283" s="786">
        <f t="shared" si="51"/>
        <v>1</v>
      </c>
      <c r="O283" s="780"/>
      <c r="R283" s="117">
        <f t="shared" si="52"/>
        <v>1</v>
      </c>
      <c r="S283" s="205">
        <f t="shared" si="53"/>
        <v>0.71500000000000008</v>
      </c>
    </row>
    <row r="284" spans="2:19">
      <c r="B284" s="790">
        <f t="shared" si="54"/>
        <v>2043</v>
      </c>
      <c r="C284" s="608">
        <f t="shared" si="61"/>
        <v>0</v>
      </c>
      <c r="D284" s="604">
        <f t="shared" si="60"/>
        <v>0</v>
      </c>
      <c r="E284" s="604">
        <f t="shared" si="60"/>
        <v>1</v>
      </c>
      <c r="F284" s="604">
        <f t="shared" si="60"/>
        <v>0</v>
      </c>
      <c r="G284" s="604">
        <f t="shared" si="60"/>
        <v>0</v>
      </c>
      <c r="H284" s="560">
        <f t="shared" si="50"/>
        <v>1</v>
      </c>
      <c r="I284" s="802">
        <v>0.2</v>
      </c>
      <c r="J284" s="779">
        <v>0.3</v>
      </c>
      <c r="K284" s="779">
        <v>0.25</v>
      </c>
      <c r="L284" s="779">
        <v>0.05</v>
      </c>
      <c r="M284" s="779">
        <v>0.2</v>
      </c>
      <c r="N284" s="786">
        <f t="shared" si="51"/>
        <v>1</v>
      </c>
      <c r="O284" s="780"/>
      <c r="R284" s="117">
        <f t="shared" si="52"/>
        <v>1</v>
      </c>
      <c r="S284" s="205">
        <f t="shared" si="53"/>
        <v>0.71500000000000008</v>
      </c>
    </row>
    <row r="285" spans="2:19">
      <c r="B285" s="790">
        <f t="shared" si="54"/>
        <v>2044</v>
      </c>
      <c r="C285" s="608">
        <f t="shared" si="61"/>
        <v>0</v>
      </c>
      <c r="D285" s="604">
        <f t="shared" si="60"/>
        <v>0</v>
      </c>
      <c r="E285" s="604">
        <f t="shared" si="60"/>
        <v>1</v>
      </c>
      <c r="F285" s="604">
        <f t="shared" si="60"/>
        <v>0</v>
      </c>
      <c r="G285" s="604">
        <f t="shared" si="60"/>
        <v>0</v>
      </c>
      <c r="H285" s="560">
        <f t="shared" si="50"/>
        <v>1</v>
      </c>
      <c r="I285" s="802">
        <v>0.2</v>
      </c>
      <c r="J285" s="779">
        <v>0.3</v>
      </c>
      <c r="K285" s="779">
        <v>0.25</v>
      </c>
      <c r="L285" s="779">
        <v>0.05</v>
      </c>
      <c r="M285" s="779">
        <v>0.2</v>
      </c>
      <c r="N285" s="786">
        <f t="shared" si="51"/>
        <v>1</v>
      </c>
      <c r="O285" s="780"/>
      <c r="R285" s="117">
        <f t="shared" si="52"/>
        <v>1</v>
      </c>
      <c r="S285" s="205">
        <f t="shared" si="53"/>
        <v>0.71500000000000008</v>
      </c>
    </row>
    <row r="286" spans="2:19">
      <c r="B286" s="790">
        <f t="shared" si="54"/>
        <v>2045</v>
      </c>
      <c r="C286" s="608">
        <f t="shared" si="61"/>
        <v>0</v>
      </c>
      <c r="D286" s="604">
        <f t="shared" si="60"/>
        <v>0</v>
      </c>
      <c r="E286" s="604">
        <f t="shared" si="60"/>
        <v>1</v>
      </c>
      <c r="F286" s="604">
        <f t="shared" si="60"/>
        <v>0</v>
      </c>
      <c r="G286" s="604">
        <f t="shared" si="60"/>
        <v>0</v>
      </c>
      <c r="H286" s="560">
        <f t="shared" si="50"/>
        <v>1</v>
      </c>
      <c r="I286" s="802">
        <v>0.2</v>
      </c>
      <c r="J286" s="779">
        <v>0.3</v>
      </c>
      <c r="K286" s="779">
        <v>0.25</v>
      </c>
      <c r="L286" s="779">
        <v>0.05</v>
      </c>
      <c r="M286" s="779">
        <v>0.2</v>
      </c>
      <c r="N286" s="786">
        <f t="shared" si="51"/>
        <v>1</v>
      </c>
      <c r="O286" s="780"/>
      <c r="R286" s="117">
        <f t="shared" si="52"/>
        <v>1</v>
      </c>
      <c r="S286" s="205">
        <f t="shared" si="53"/>
        <v>0.71500000000000008</v>
      </c>
    </row>
    <row r="287" spans="2:19">
      <c r="B287" s="790">
        <f t="shared" si="54"/>
        <v>2046</v>
      </c>
      <c r="C287" s="608">
        <f t="shared" si="61"/>
        <v>0</v>
      </c>
      <c r="D287" s="604">
        <f t="shared" si="60"/>
        <v>0</v>
      </c>
      <c r="E287" s="604">
        <f t="shared" si="60"/>
        <v>1</v>
      </c>
      <c r="F287" s="604">
        <f t="shared" si="60"/>
        <v>0</v>
      </c>
      <c r="G287" s="604">
        <f t="shared" si="60"/>
        <v>0</v>
      </c>
      <c r="H287" s="560">
        <f t="shared" ref="H287:H291" si="62">SUM(C287:G287)</f>
        <v>1</v>
      </c>
      <c r="I287" s="802">
        <v>0.2</v>
      </c>
      <c r="J287" s="779">
        <v>0.3</v>
      </c>
      <c r="K287" s="779">
        <v>0.25</v>
      </c>
      <c r="L287" s="779">
        <v>0.05</v>
      </c>
      <c r="M287" s="779">
        <v>0.2</v>
      </c>
      <c r="N287" s="786">
        <f t="shared" si="51"/>
        <v>1</v>
      </c>
      <c r="O287" s="780"/>
      <c r="R287" s="117">
        <f t="shared" si="52"/>
        <v>1</v>
      </c>
      <c r="S287" s="205">
        <f t="shared" si="53"/>
        <v>0.71500000000000008</v>
      </c>
    </row>
    <row r="288" spans="2:19">
      <c r="B288" s="790">
        <f t="shared" si="54"/>
        <v>2047</v>
      </c>
      <c r="C288" s="608">
        <f t="shared" si="61"/>
        <v>0</v>
      </c>
      <c r="D288" s="604">
        <f t="shared" si="61"/>
        <v>0</v>
      </c>
      <c r="E288" s="604">
        <f t="shared" si="61"/>
        <v>1</v>
      </c>
      <c r="F288" s="604">
        <f t="shared" si="61"/>
        <v>0</v>
      </c>
      <c r="G288" s="604">
        <f t="shared" si="61"/>
        <v>0</v>
      </c>
      <c r="H288" s="560">
        <f t="shared" si="62"/>
        <v>1</v>
      </c>
      <c r="I288" s="802">
        <v>0.2</v>
      </c>
      <c r="J288" s="779">
        <v>0.3</v>
      </c>
      <c r="K288" s="779">
        <v>0.25</v>
      </c>
      <c r="L288" s="779">
        <v>0.05</v>
      </c>
      <c r="M288" s="779">
        <v>0.2</v>
      </c>
      <c r="N288" s="786">
        <f t="shared" si="51"/>
        <v>1</v>
      </c>
      <c r="O288" s="780"/>
      <c r="R288" s="117">
        <f t="shared" si="52"/>
        <v>1</v>
      </c>
      <c r="S288" s="205">
        <f t="shared" si="53"/>
        <v>0.71500000000000008</v>
      </c>
    </row>
    <row r="289" spans="2:19">
      <c r="B289" s="790">
        <f t="shared" si="54"/>
        <v>2048</v>
      </c>
      <c r="C289" s="608">
        <f t="shared" ref="C289:G291" si="63">C288</f>
        <v>0</v>
      </c>
      <c r="D289" s="604">
        <f t="shared" si="63"/>
        <v>0</v>
      </c>
      <c r="E289" s="604">
        <f t="shared" si="63"/>
        <v>1</v>
      </c>
      <c r="F289" s="604">
        <f t="shared" si="63"/>
        <v>0</v>
      </c>
      <c r="G289" s="604">
        <f t="shared" si="63"/>
        <v>0</v>
      </c>
      <c r="H289" s="560">
        <f t="shared" si="62"/>
        <v>1</v>
      </c>
      <c r="I289" s="802">
        <v>0.2</v>
      </c>
      <c r="J289" s="779">
        <v>0.3</v>
      </c>
      <c r="K289" s="779">
        <v>0.25</v>
      </c>
      <c r="L289" s="779">
        <v>0.05</v>
      </c>
      <c r="M289" s="779">
        <v>0.2</v>
      </c>
      <c r="N289" s="786">
        <f t="shared" si="51"/>
        <v>1</v>
      </c>
      <c r="O289" s="780"/>
      <c r="R289" s="117">
        <f t="shared" si="52"/>
        <v>1</v>
      </c>
      <c r="S289" s="205">
        <f t="shared" si="53"/>
        <v>0.71500000000000008</v>
      </c>
    </row>
    <row r="290" spans="2:19">
      <c r="B290" s="790">
        <f t="shared" si="54"/>
        <v>2049</v>
      </c>
      <c r="C290" s="608">
        <f t="shared" si="63"/>
        <v>0</v>
      </c>
      <c r="D290" s="604">
        <f t="shared" si="63"/>
        <v>0</v>
      </c>
      <c r="E290" s="604">
        <f t="shared" si="63"/>
        <v>1</v>
      </c>
      <c r="F290" s="604">
        <f t="shared" si="63"/>
        <v>0</v>
      </c>
      <c r="G290" s="604">
        <f t="shared" si="63"/>
        <v>0</v>
      </c>
      <c r="H290" s="560">
        <f t="shared" si="62"/>
        <v>1</v>
      </c>
      <c r="I290" s="802">
        <v>0.2</v>
      </c>
      <c r="J290" s="779">
        <v>0.3</v>
      </c>
      <c r="K290" s="779">
        <v>0.25</v>
      </c>
      <c r="L290" s="779">
        <v>0.05</v>
      </c>
      <c r="M290" s="779">
        <v>0.2</v>
      </c>
      <c r="N290" s="786">
        <f t="shared" si="51"/>
        <v>1</v>
      </c>
      <c r="O290" s="780"/>
      <c r="R290" s="117">
        <f t="shared" si="52"/>
        <v>1</v>
      </c>
      <c r="S290" s="205">
        <f t="shared" si="53"/>
        <v>0.71500000000000008</v>
      </c>
    </row>
    <row r="291" spans="2:19" ht="15.75" thickBot="1">
      <c r="B291" s="792">
        <f t="shared" si="54"/>
        <v>2050</v>
      </c>
      <c r="C291" s="609">
        <f t="shared" si="63"/>
        <v>0</v>
      </c>
      <c r="D291" s="606">
        <f t="shared" si="63"/>
        <v>0</v>
      </c>
      <c r="E291" s="606">
        <f t="shared" si="63"/>
        <v>1</v>
      </c>
      <c r="F291" s="606">
        <f t="shared" si="63"/>
        <v>0</v>
      </c>
      <c r="G291" s="606">
        <f t="shared" si="63"/>
        <v>0</v>
      </c>
      <c r="H291" s="797">
        <f t="shared" si="62"/>
        <v>1</v>
      </c>
      <c r="I291" s="804">
        <v>0.2</v>
      </c>
      <c r="J291" s="805">
        <v>0.3</v>
      </c>
      <c r="K291" s="805">
        <v>0.25</v>
      </c>
      <c r="L291" s="805">
        <v>0.05</v>
      </c>
      <c r="M291" s="805">
        <v>0.2</v>
      </c>
      <c r="N291" s="789">
        <f t="shared" si="51"/>
        <v>1</v>
      </c>
      <c r="O291" s="780"/>
      <c r="R291" s="120">
        <f t="shared" si="52"/>
        <v>1</v>
      </c>
      <c r="S291" s="206">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formula1>"""1"""</formula1>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T57" zoomScale="65" zoomScaleNormal="85" workbookViewId="0">
      <selection activeCell="X88" sqref="X88"/>
    </sheetView>
  </sheetViews>
  <sheetFormatPr defaultRowHeight="15"/>
  <cols>
    <col min="1" max="1" width="64.7109375" customWidth="1"/>
    <col min="2" max="3" width="20.42578125" customWidth="1"/>
    <col min="4"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2.1406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3.8554687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14"/>
    <col min="56" max="56" width="8.85546875" style="1078"/>
    <col min="57" max="57" width="11.28515625" customWidth="1"/>
    <col min="59" max="59" width="12.28515625" customWidth="1"/>
    <col min="61" max="62" width="11.28515625" customWidth="1"/>
    <col min="63" max="63" width="11.28515625" style="1078" customWidth="1"/>
    <col min="64" max="64" width="11.28515625" customWidth="1"/>
    <col min="66" max="66" width="12.28515625" customWidth="1"/>
  </cols>
  <sheetData>
    <row r="1" spans="1:66">
      <c r="A1" s="141" t="s">
        <v>198</v>
      </c>
      <c r="B1" s="115"/>
      <c r="C1" s="115" t="s">
        <v>267</v>
      </c>
      <c r="D1" s="1634" t="s">
        <v>315</v>
      </c>
      <c r="E1" s="1174" t="s">
        <v>320</v>
      </c>
      <c r="F1" s="104"/>
    </row>
    <row r="2" spans="1:66">
      <c r="A2" s="150"/>
      <c r="B2" s="99"/>
      <c r="C2" s="99"/>
      <c r="D2" s="104"/>
      <c r="E2" s="130"/>
      <c r="F2" s="104"/>
    </row>
    <row r="3" spans="1:66">
      <c r="A3" s="150" t="s">
        <v>316</v>
      </c>
      <c r="B3" s="99"/>
      <c r="C3" s="99" t="str">
        <f>Parameters!D94</f>
        <v>varies</v>
      </c>
      <c r="D3" s="99">
        <v>0.4</v>
      </c>
      <c r="E3" s="1175">
        <f>Parameters!F94</f>
        <v>0.05</v>
      </c>
      <c r="F3" s="104"/>
    </row>
    <row r="4" spans="1:66">
      <c r="A4" s="150" t="s">
        <v>260</v>
      </c>
      <c r="B4" s="99"/>
      <c r="C4" s="99">
        <f>Parameters!D95</f>
        <v>0.5</v>
      </c>
      <c r="D4" s="99">
        <f>Parameters!E95</f>
        <v>0.5</v>
      </c>
      <c r="E4" s="1175">
        <f>Parameters!F95</f>
        <v>0.5</v>
      </c>
      <c r="F4" s="104"/>
    </row>
    <row r="5" spans="1:66">
      <c r="A5" s="174" t="s">
        <v>257</v>
      </c>
      <c r="B5" s="175"/>
      <c r="C5" s="175">
        <f>Parameters!D96</f>
        <v>0.05</v>
      </c>
      <c r="D5" s="99">
        <f>Parameters!E96</f>
        <v>0.05</v>
      </c>
      <c r="E5" s="1175">
        <f>Parameters!F96</f>
        <v>0.06</v>
      </c>
      <c r="F5" s="104"/>
    </row>
    <row r="6" spans="1:66">
      <c r="A6" s="150" t="s">
        <v>258</v>
      </c>
      <c r="B6" s="107" t="s">
        <v>211</v>
      </c>
      <c r="C6" s="106">
        <f>Parameters!D97</f>
        <v>13.862943611198904</v>
      </c>
      <c r="D6" s="106">
        <f>Parameters!E97</f>
        <v>13.862943611198904</v>
      </c>
      <c r="E6" s="1176">
        <f>Parameters!F97</f>
        <v>11.552453009332423</v>
      </c>
      <c r="F6" s="104"/>
    </row>
    <row r="7" spans="1:66">
      <c r="A7" s="150" t="s">
        <v>255</v>
      </c>
      <c r="B7" s="107" t="s">
        <v>256</v>
      </c>
      <c r="C7" s="99">
        <f>Parameters!D98</f>
        <v>6</v>
      </c>
      <c r="D7" s="99">
        <f>Parameters!E98</f>
        <v>6</v>
      </c>
      <c r="E7" s="1175">
        <f>Parameters!F98</f>
        <v>6</v>
      </c>
      <c r="F7" s="104"/>
    </row>
    <row r="8" spans="1:66">
      <c r="A8" s="151" t="s">
        <v>248</v>
      </c>
      <c r="B8" s="108" t="s">
        <v>249</v>
      </c>
      <c r="C8" s="158">
        <f>Parameters!D99</f>
        <v>0.95122942450071402</v>
      </c>
      <c r="D8" s="158">
        <f>Parameters!E99</f>
        <v>0.95122942450071402</v>
      </c>
      <c r="E8" s="1177">
        <f>Parameters!F99</f>
        <v>0.94176453358424872</v>
      </c>
      <c r="F8" s="104"/>
    </row>
    <row r="9" spans="1:66">
      <c r="A9" s="151" t="s">
        <v>250</v>
      </c>
      <c r="B9" s="108" t="s">
        <v>251</v>
      </c>
      <c r="C9" s="99">
        <f>Parameters!D100</f>
        <v>13</v>
      </c>
      <c r="D9" s="99">
        <f>Parameters!E100</f>
        <v>13</v>
      </c>
      <c r="E9" s="1175">
        <f>Parameters!F100</f>
        <v>13</v>
      </c>
      <c r="F9" s="104"/>
      <c r="H9" s="561"/>
    </row>
    <row r="10" spans="1:66">
      <c r="A10" s="151" t="s">
        <v>252</v>
      </c>
      <c r="B10" s="108" t="s">
        <v>253</v>
      </c>
      <c r="C10" s="99">
        <f>Parameters!D101</f>
        <v>1</v>
      </c>
      <c r="D10" s="99">
        <f>Parameters!E101</f>
        <v>1</v>
      </c>
      <c r="E10" s="1175">
        <f>Parameters!F101</f>
        <v>1</v>
      </c>
      <c r="F10" s="104"/>
    </row>
    <row r="11" spans="1:66">
      <c r="A11" s="151" t="s">
        <v>259</v>
      </c>
      <c r="B11" s="108" t="s">
        <v>254</v>
      </c>
      <c r="C11" s="175">
        <f>Parameters!D102</f>
        <v>0.5</v>
      </c>
      <c r="D11" s="99">
        <f>Parameters!E102</f>
        <v>0.5</v>
      </c>
      <c r="E11" s="1175">
        <f>Parameters!F102</f>
        <v>0.5</v>
      </c>
      <c r="F11" s="104"/>
    </row>
    <row r="12" spans="1:66">
      <c r="A12" s="151" t="s">
        <v>729</v>
      </c>
      <c r="B12" s="108">
        <v>2002</v>
      </c>
      <c r="C12" s="108"/>
      <c r="D12" s="1446">
        <f>'Waste Summary 2017 SASOW'!L29</f>
        <v>0.13527885904981399</v>
      </c>
      <c r="E12" s="1175"/>
      <c r="F12" s="104"/>
    </row>
    <row r="13" spans="1:66">
      <c r="A13" s="151" t="s">
        <v>729</v>
      </c>
      <c r="B13" s="108">
        <v>2017</v>
      </c>
      <c r="C13" s="108"/>
      <c r="D13" s="1446">
        <f>'Waste Summary 2017 SASOW'!$L$25</f>
        <v>2.197312110627072E-2</v>
      </c>
      <c r="E13" s="1175"/>
      <c r="F13" s="104"/>
    </row>
    <row r="14" spans="1:66" ht="15.75" thickBot="1">
      <c r="A14" s="152" t="s">
        <v>728</v>
      </c>
      <c r="B14" s="163"/>
      <c r="C14" s="163"/>
      <c r="D14" s="683">
        <f>'Waste Summary 2017 SASOW'!$L$26</f>
        <v>6.9875113374971584E-2</v>
      </c>
      <c r="E14" s="140"/>
      <c r="F14" s="104"/>
      <c r="X14" s="1" t="s">
        <v>643</v>
      </c>
      <c r="AH14" s="1" t="s">
        <v>641</v>
      </c>
      <c r="BB14" s="314" t="s">
        <v>643</v>
      </c>
      <c r="BI14" t="s">
        <v>641</v>
      </c>
    </row>
    <row r="15" spans="1:66" ht="15.75" thickBot="1">
      <c r="A15" s="10"/>
      <c r="B15" s="10"/>
      <c r="C15" s="10"/>
      <c r="D15" s="10"/>
      <c r="E15" s="10"/>
      <c r="F15" s="10"/>
      <c r="G15" s="10"/>
      <c r="H15" s="10"/>
      <c r="I15" s="10"/>
      <c r="J15" s="10"/>
      <c r="K15" s="10"/>
      <c r="L15" s="10"/>
      <c r="M15" s="10"/>
      <c r="N15" s="231" t="s">
        <v>267</v>
      </c>
      <c r="O15" s="10"/>
      <c r="P15" s="10"/>
      <c r="Q15" s="10"/>
      <c r="R15" s="10"/>
      <c r="S15" s="10"/>
      <c r="T15" s="10"/>
      <c r="U15" s="10"/>
      <c r="V15" s="10"/>
      <c r="W15" s="10"/>
      <c r="X15" s="2" t="s">
        <v>318</v>
      </c>
      <c r="AH15" s="2" t="s">
        <v>632</v>
      </c>
      <c r="AR15" s="2" t="s">
        <v>320</v>
      </c>
      <c r="BB15" s="1749" t="s">
        <v>319</v>
      </c>
      <c r="BC15" s="1750"/>
      <c r="BD15" s="1750"/>
      <c r="BE15" s="1750"/>
      <c r="BF15" s="1750"/>
      <c r="BG15" s="1751"/>
      <c r="BI15" s="1749" t="s">
        <v>319</v>
      </c>
      <c r="BJ15" s="1750"/>
      <c r="BK15" s="1750"/>
      <c r="BL15" s="1750"/>
      <c r="BM15" s="1750"/>
      <c r="BN15" s="1751"/>
    </row>
    <row r="16" spans="1:66" ht="60">
      <c r="A16" s="1957" t="s">
        <v>217</v>
      </c>
      <c r="B16" s="1960" t="s">
        <v>218</v>
      </c>
      <c r="C16" s="1960" t="s">
        <v>219</v>
      </c>
      <c r="D16" s="1957" t="s">
        <v>220</v>
      </c>
      <c r="E16" s="1957" t="s">
        <v>221</v>
      </c>
      <c r="F16" s="1962" t="s">
        <v>85</v>
      </c>
      <c r="G16" s="1962" t="s">
        <v>87</v>
      </c>
      <c r="H16" s="1962" t="s">
        <v>222</v>
      </c>
      <c r="I16" s="1962" t="s">
        <v>115</v>
      </c>
      <c r="J16" s="1962" t="s">
        <v>223</v>
      </c>
      <c r="K16" s="1962" t="s">
        <v>224</v>
      </c>
      <c r="L16" s="1955" t="s">
        <v>225</v>
      </c>
      <c r="M16" s="294"/>
      <c r="N16" s="213" t="s">
        <v>235</v>
      </c>
      <c r="O16" s="214" t="s">
        <v>22</v>
      </c>
      <c r="P16" s="214" t="s">
        <v>236</v>
      </c>
      <c r="Q16" s="215" t="s">
        <v>237</v>
      </c>
      <c r="R16" s="215" t="s">
        <v>238</v>
      </c>
      <c r="S16" s="215" t="s">
        <v>239</v>
      </c>
      <c r="T16" s="215" t="s">
        <v>240</v>
      </c>
      <c r="U16" s="215" t="s">
        <v>241</v>
      </c>
      <c r="V16" s="221" t="s">
        <v>300</v>
      </c>
      <c r="W16" s="1763" t="s">
        <v>729</v>
      </c>
      <c r="X16" s="213" t="s">
        <v>726</v>
      </c>
      <c r="Y16" s="214" t="s">
        <v>22</v>
      </c>
      <c r="Z16" s="214" t="s">
        <v>236</v>
      </c>
      <c r="AA16" s="215" t="s">
        <v>237</v>
      </c>
      <c r="AB16" s="215" t="s">
        <v>238</v>
      </c>
      <c r="AC16" s="215" t="s">
        <v>239</v>
      </c>
      <c r="AD16" s="215" t="s">
        <v>240</v>
      </c>
      <c r="AE16" s="215" t="s">
        <v>241</v>
      </c>
      <c r="AF16" s="221" t="s">
        <v>300</v>
      </c>
      <c r="AG16" s="1763" t="s">
        <v>729</v>
      </c>
      <c r="AH16" s="213" t="s">
        <v>726</v>
      </c>
      <c r="AI16" s="214" t="s">
        <v>22</v>
      </c>
      <c r="AJ16" s="214" t="s">
        <v>236</v>
      </c>
      <c r="AK16" s="215" t="s">
        <v>237</v>
      </c>
      <c r="AL16" s="215" t="s">
        <v>238</v>
      </c>
      <c r="AM16" s="215" t="s">
        <v>239</v>
      </c>
      <c r="AN16" s="215" t="s">
        <v>240</v>
      </c>
      <c r="AO16" s="215" t="s">
        <v>241</v>
      </c>
      <c r="AP16" s="221" t="s">
        <v>300</v>
      </c>
      <c r="AR16" s="303" t="s">
        <v>235</v>
      </c>
      <c r="AS16" s="214" t="s">
        <v>22</v>
      </c>
      <c r="AT16" s="214" t="s">
        <v>236</v>
      </c>
      <c r="AU16" s="215" t="s">
        <v>237</v>
      </c>
      <c r="AV16" s="215" t="s">
        <v>238</v>
      </c>
      <c r="AW16" s="215" t="s">
        <v>239</v>
      </c>
      <c r="AX16" s="215" t="s">
        <v>240</v>
      </c>
      <c r="AY16" s="215" t="s">
        <v>241</v>
      </c>
      <c r="AZ16" s="221" t="s">
        <v>300</v>
      </c>
      <c r="BB16" s="1966" t="s">
        <v>267</v>
      </c>
      <c r="BC16" s="1968" t="s">
        <v>315</v>
      </c>
      <c r="BD16" s="1970" t="s">
        <v>320</v>
      </c>
      <c r="BE16" s="1968" t="s">
        <v>225</v>
      </c>
      <c r="BF16" s="1968" t="s">
        <v>321</v>
      </c>
      <c r="BG16" s="1972" t="s">
        <v>322</v>
      </c>
      <c r="BI16" s="1966" t="s">
        <v>267</v>
      </c>
      <c r="BJ16" s="1968" t="s">
        <v>315</v>
      </c>
      <c r="BK16" s="1970" t="s">
        <v>320</v>
      </c>
      <c r="BL16" s="1968" t="s">
        <v>225</v>
      </c>
      <c r="BM16" s="1968" t="s">
        <v>321</v>
      </c>
      <c r="BN16" s="1972" t="s">
        <v>322</v>
      </c>
    </row>
    <row r="17" spans="1:66" ht="24.75">
      <c r="A17" s="1958"/>
      <c r="B17" s="1961"/>
      <c r="C17" s="1961"/>
      <c r="D17" s="1958"/>
      <c r="E17" s="1958"/>
      <c r="F17" s="1963"/>
      <c r="G17" s="1963"/>
      <c r="H17" s="1963"/>
      <c r="I17" s="1963"/>
      <c r="J17" s="1963"/>
      <c r="K17" s="1963"/>
      <c r="L17" s="1956"/>
      <c r="M17" s="295"/>
      <c r="N17" s="222" t="s">
        <v>242</v>
      </c>
      <c r="O17" s="223" t="s">
        <v>22</v>
      </c>
      <c r="P17" s="223" t="s">
        <v>236</v>
      </c>
      <c r="Q17" s="224" t="s">
        <v>243</v>
      </c>
      <c r="R17" s="224" t="s">
        <v>244</v>
      </c>
      <c r="S17" s="224" t="s">
        <v>245</v>
      </c>
      <c r="T17" s="224" t="s">
        <v>301</v>
      </c>
      <c r="U17" s="224" t="s">
        <v>302</v>
      </c>
      <c r="V17" s="225" t="s">
        <v>246</v>
      </c>
      <c r="W17" s="1964"/>
      <c r="X17" s="222" t="s">
        <v>242</v>
      </c>
      <c r="Y17" s="223" t="s">
        <v>22</v>
      </c>
      <c r="Z17" s="223" t="s">
        <v>236</v>
      </c>
      <c r="AA17" s="224" t="s">
        <v>243</v>
      </c>
      <c r="AB17" s="224" t="s">
        <v>244</v>
      </c>
      <c r="AC17" s="224" t="s">
        <v>245</v>
      </c>
      <c r="AD17" s="224" t="s">
        <v>301</v>
      </c>
      <c r="AE17" s="224" t="s">
        <v>302</v>
      </c>
      <c r="AF17" s="225" t="s">
        <v>246</v>
      </c>
      <c r="AG17" s="1964"/>
      <c r="AH17" s="222" t="s">
        <v>242</v>
      </c>
      <c r="AI17" s="223" t="s">
        <v>22</v>
      </c>
      <c r="AJ17" s="223" t="s">
        <v>236</v>
      </c>
      <c r="AK17" s="224" t="s">
        <v>243</v>
      </c>
      <c r="AL17" s="224" t="s">
        <v>244</v>
      </c>
      <c r="AM17" s="224" t="s">
        <v>245</v>
      </c>
      <c r="AN17" s="224" t="s">
        <v>301</v>
      </c>
      <c r="AO17" s="224" t="s">
        <v>302</v>
      </c>
      <c r="AP17" s="225" t="s">
        <v>246</v>
      </c>
      <c r="AR17" s="304" t="s">
        <v>242</v>
      </c>
      <c r="AS17" s="223" t="s">
        <v>22</v>
      </c>
      <c r="AT17" s="223" t="s">
        <v>236</v>
      </c>
      <c r="AU17" s="224" t="s">
        <v>243</v>
      </c>
      <c r="AV17" s="224" t="s">
        <v>244</v>
      </c>
      <c r="AW17" s="224" t="s">
        <v>245</v>
      </c>
      <c r="AX17" s="224" t="s">
        <v>301</v>
      </c>
      <c r="AY17" s="224" t="s">
        <v>302</v>
      </c>
      <c r="AZ17" s="225" t="s">
        <v>246</v>
      </c>
      <c r="BB17" s="1967"/>
      <c r="BC17" s="1969"/>
      <c r="BD17" s="1971"/>
      <c r="BE17" s="1969"/>
      <c r="BF17" s="1969"/>
      <c r="BG17" s="1973"/>
      <c r="BI17" s="1967"/>
      <c r="BJ17" s="1969"/>
      <c r="BK17" s="1971"/>
      <c r="BL17" s="1969"/>
      <c r="BM17" s="1969"/>
      <c r="BN17" s="1973"/>
    </row>
    <row r="18" spans="1:66" ht="15.75" thickBot="1">
      <c r="A18" s="1959"/>
      <c r="B18" s="468" t="s">
        <v>226</v>
      </c>
      <c r="C18" s="468" t="s">
        <v>227</v>
      </c>
      <c r="D18" s="216" t="s">
        <v>229</v>
      </c>
      <c r="E18" s="216" t="s">
        <v>229</v>
      </c>
      <c r="F18" s="217" t="s">
        <v>229</v>
      </c>
      <c r="G18" s="217" t="s">
        <v>229</v>
      </c>
      <c r="H18" s="217" t="s">
        <v>229</v>
      </c>
      <c r="I18" s="217" t="s">
        <v>229</v>
      </c>
      <c r="J18" s="217" t="s">
        <v>229</v>
      </c>
      <c r="K18" s="217" t="s">
        <v>229</v>
      </c>
      <c r="L18" s="468" t="s">
        <v>230</v>
      </c>
      <c r="M18" s="296"/>
      <c r="N18" s="217" t="s">
        <v>228</v>
      </c>
      <c r="O18" s="218" t="s">
        <v>41</v>
      </c>
      <c r="P18" s="218" t="s">
        <v>41</v>
      </c>
      <c r="Q18" s="219" t="s">
        <v>228</v>
      </c>
      <c r="R18" s="219" t="s">
        <v>228</v>
      </c>
      <c r="S18" s="219" t="s">
        <v>228</v>
      </c>
      <c r="T18" s="219" t="s">
        <v>228</v>
      </c>
      <c r="U18" s="219" t="s">
        <v>228</v>
      </c>
      <c r="V18" s="220" t="s">
        <v>228</v>
      </c>
      <c r="W18" s="1965"/>
      <c r="X18" s="217" t="s">
        <v>228</v>
      </c>
      <c r="Y18" s="218" t="s">
        <v>41</v>
      </c>
      <c r="Z18" s="218" t="s">
        <v>41</v>
      </c>
      <c r="AA18" s="219" t="s">
        <v>228</v>
      </c>
      <c r="AB18" s="219" t="s">
        <v>228</v>
      </c>
      <c r="AC18" s="219" t="s">
        <v>228</v>
      </c>
      <c r="AD18" s="219" t="s">
        <v>228</v>
      </c>
      <c r="AE18" s="219" t="s">
        <v>228</v>
      </c>
      <c r="AF18" s="220" t="s">
        <v>228</v>
      </c>
      <c r="AG18" s="1965"/>
      <c r="AH18" s="217" t="s">
        <v>228</v>
      </c>
      <c r="AI18" s="218" t="s">
        <v>41</v>
      </c>
      <c r="AJ18" s="218" t="s">
        <v>41</v>
      </c>
      <c r="AK18" s="219" t="s">
        <v>228</v>
      </c>
      <c r="AL18" s="219" t="s">
        <v>228</v>
      </c>
      <c r="AM18" s="219" t="s">
        <v>228</v>
      </c>
      <c r="AN18" s="219" t="s">
        <v>228</v>
      </c>
      <c r="AO18" s="219" t="s">
        <v>228</v>
      </c>
      <c r="AP18" s="220" t="s">
        <v>228</v>
      </c>
      <c r="AR18" s="216" t="s">
        <v>228</v>
      </c>
      <c r="AS18" s="218" t="s">
        <v>41</v>
      </c>
      <c r="AT18" s="218" t="s">
        <v>41</v>
      </c>
      <c r="AU18" s="219" t="s">
        <v>228</v>
      </c>
      <c r="AV18" s="219" t="s">
        <v>228</v>
      </c>
      <c r="AW18" s="219" t="s">
        <v>228</v>
      </c>
      <c r="AX18" s="219" t="s">
        <v>228</v>
      </c>
      <c r="AY18" s="219" t="s">
        <v>228</v>
      </c>
      <c r="AZ18" s="220" t="s">
        <v>228</v>
      </c>
      <c r="BB18" s="298" t="s">
        <v>228</v>
      </c>
      <c r="BC18" s="297" t="s">
        <v>228</v>
      </c>
      <c r="BD18" s="1079" t="s">
        <v>228</v>
      </c>
      <c r="BE18" s="297" t="s">
        <v>228</v>
      </c>
      <c r="BF18" s="297" t="s">
        <v>228</v>
      </c>
      <c r="BG18" s="299" t="s">
        <v>228</v>
      </c>
      <c r="BI18" s="298" t="s">
        <v>228</v>
      </c>
      <c r="BJ18" s="297" t="s">
        <v>228</v>
      </c>
      <c r="BK18" s="1079" t="s">
        <v>228</v>
      </c>
      <c r="BL18" s="297" t="s">
        <v>228</v>
      </c>
      <c r="BM18" s="297" t="s">
        <v>228</v>
      </c>
      <c r="BN18" s="299" t="s">
        <v>228</v>
      </c>
    </row>
    <row r="19" spans="1:66" ht="15.75" thickBot="1">
      <c r="A19" s="226"/>
      <c r="B19" s="862"/>
      <c r="C19" s="862"/>
      <c r="D19" s="863"/>
      <c r="E19" s="863"/>
      <c r="F19" s="864"/>
      <c r="G19" s="864"/>
      <c r="H19" s="864"/>
      <c r="I19" s="864"/>
      <c r="J19" s="864"/>
      <c r="K19" s="864"/>
      <c r="L19" s="862"/>
      <c r="M19" s="228"/>
      <c r="N19" s="864"/>
      <c r="O19" s="903"/>
      <c r="P19" s="903"/>
      <c r="Q19" s="904"/>
      <c r="R19" s="904"/>
      <c r="S19" s="904"/>
      <c r="T19" s="904"/>
      <c r="U19" s="904"/>
      <c r="V19" s="905"/>
      <c r="W19" s="10"/>
      <c r="X19" s="864"/>
      <c r="Y19" s="903"/>
      <c r="Z19" s="903"/>
      <c r="AA19" s="904"/>
      <c r="AB19" s="904"/>
      <c r="AC19" s="904"/>
      <c r="AD19" s="904"/>
      <c r="AE19" s="904"/>
      <c r="AF19" s="905"/>
      <c r="AH19" s="864"/>
      <c r="AI19" s="903"/>
      <c r="AJ19" s="903"/>
      <c r="AK19" s="904"/>
      <c r="AL19" s="904"/>
      <c r="AM19" s="904"/>
      <c r="AN19" s="904"/>
      <c r="AO19" s="904"/>
      <c r="AP19" s="905"/>
      <c r="AR19" s="863"/>
      <c r="AS19" s="903"/>
      <c r="AT19" s="903"/>
      <c r="AU19" s="904"/>
      <c r="AV19" s="904"/>
      <c r="AW19" s="904"/>
      <c r="AX19" s="904"/>
      <c r="AY19" s="904"/>
      <c r="AZ19" s="921"/>
      <c r="BB19" s="300"/>
      <c r="BC19" s="301"/>
      <c r="BD19" s="1080"/>
      <c r="BE19" s="301"/>
      <c r="BF19" s="104"/>
      <c r="BG19" s="130"/>
      <c r="BI19" s="300"/>
      <c r="BJ19" s="301"/>
      <c r="BK19" s="1080"/>
      <c r="BL19" s="301"/>
      <c r="BM19" s="104"/>
      <c r="BN19" s="130"/>
    </row>
    <row r="20" spans="1:66">
      <c r="A20" s="869">
        <f>'Input data'!A50</f>
        <v>1950</v>
      </c>
      <c r="B20" s="870">
        <f>'Input data'!B50</f>
        <v>5.3541578999999997</v>
      </c>
      <c r="C20" s="870">
        <f>'Baseline data (from input)'!B6</f>
        <v>578.73</v>
      </c>
      <c r="D20" s="871">
        <f>'Baseline data (from input)'!T6</f>
        <v>0.8</v>
      </c>
      <c r="E20" s="871">
        <f>'Input data'!C30</f>
        <v>0.24001298204245269</v>
      </c>
      <c r="F20" s="871">
        <f>'Input data'!D30</f>
        <v>0.30440139352934503</v>
      </c>
      <c r="G20" s="871">
        <f>'Input data'!E30</f>
        <v>5.8998240613430578E-2</v>
      </c>
      <c r="H20" s="871">
        <f>'Input data'!F30</f>
        <v>0</v>
      </c>
      <c r="I20" s="871">
        <f>'Input data'!G30</f>
        <v>0</v>
      </c>
      <c r="J20" s="871">
        <f>'Input data'!H30</f>
        <v>0</v>
      </c>
      <c r="K20" s="871">
        <f>SUM('Input data'!I30:M30)</f>
        <v>0.39658738381477154</v>
      </c>
      <c r="L20" s="872">
        <f>SUM(E20:K20)</f>
        <v>0.99999999999999989</v>
      </c>
      <c r="M20" s="102"/>
      <c r="N20" s="909">
        <f>B20*C20*D20</f>
        <v>2478.8894411736001</v>
      </c>
      <c r="O20" s="910">
        <f>Parameters!R121</f>
        <v>0.73</v>
      </c>
      <c r="P20" s="910">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911">
        <f>N20*P20*O20*$C$4</f>
        <v>109.01103628403193</v>
      </c>
      <c r="R20" s="911">
        <f>Q20*$C$10</f>
        <v>109.01103628403193</v>
      </c>
      <c r="S20" s="912">
        <f>Q20*(1-$C$10)</f>
        <v>0</v>
      </c>
      <c r="T20" s="911">
        <f>R20+(T19*$C$8)</f>
        <v>109.01103628403193</v>
      </c>
      <c r="U20" s="911">
        <f>S20+T19*(1-$C$8)</f>
        <v>0</v>
      </c>
      <c r="V20" s="1073">
        <f>U20*16/12*$C$11</f>
        <v>0</v>
      </c>
      <c r="W20" s="1450">
        <f>$D$12</f>
        <v>0.13527885904981399</v>
      </c>
      <c r="X20" s="909">
        <f>'Baseline data (from input)'!AS6*W20</f>
        <v>0</v>
      </c>
      <c r="Y20" s="910">
        <f>Parameters!S121</f>
        <v>0.71500000000000008</v>
      </c>
      <c r="Z20" s="910">
        <f>$D$3</f>
        <v>0.4</v>
      </c>
      <c r="AA20" s="911">
        <f>X20*Z20*Y20*$D$4</f>
        <v>0</v>
      </c>
      <c r="AB20" s="911">
        <f>AA20*$D$10</f>
        <v>0</v>
      </c>
      <c r="AC20" s="912">
        <f>AA20*(1-$D$10)</f>
        <v>0</v>
      </c>
      <c r="AD20" s="911">
        <f>AB20+(AD19*$D$8)</f>
        <v>0</v>
      </c>
      <c r="AE20" s="911">
        <f>AC20+AD19*(1-$D$8)</f>
        <v>0</v>
      </c>
      <c r="AF20" s="1073">
        <f>AE20*16/12*$D$11</f>
        <v>0</v>
      </c>
      <c r="AG20" s="1448">
        <f>$D$12</f>
        <v>0.13527885904981399</v>
      </c>
      <c r="AH20" s="909">
        <f>'Baseline data (from input)'!AS6*AG20</f>
        <v>0</v>
      </c>
      <c r="AI20" s="910">
        <f>Parameters!S121</f>
        <v>0.71500000000000008</v>
      </c>
      <c r="AJ20" s="910">
        <f>$D$3</f>
        <v>0.4</v>
      </c>
      <c r="AK20" s="911">
        <f>AH20*AJ20*AI20*$D$4</f>
        <v>0</v>
      </c>
      <c r="AL20" s="911">
        <f>AK20*$D$10</f>
        <v>0</v>
      </c>
      <c r="AM20" s="912">
        <f>AK20*(1-$D$10)</f>
        <v>0</v>
      </c>
      <c r="AN20" s="911">
        <f>AL20+(AN19*$D$8)</f>
        <v>0</v>
      </c>
      <c r="AO20" s="911">
        <f>AM20+AN19*(1-$D$8)</f>
        <v>0</v>
      </c>
      <c r="AP20" s="1073">
        <f>AO20*16/12*$D$11</f>
        <v>0</v>
      </c>
      <c r="AR20" s="909">
        <v>0</v>
      </c>
      <c r="AS20" s="910">
        <v>1</v>
      </c>
      <c r="AT20" s="910">
        <f>$E$3</f>
        <v>0.05</v>
      </c>
      <c r="AU20" s="911">
        <f>AR20*AT20*AS20*$E$4</f>
        <v>0</v>
      </c>
      <c r="AV20" s="911">
        <f>AU20*$E$10</f>
        <v>0</v>
      </c>
      <c r="AW20" s="912">
        <f>AU20*(1-$E$10)</f>
        <v>0</v>
      </c>
      <c r="AX20" s="911">
        <f>AV20+(AX19*$E$8)</f>
        <v>0</v>
      </c>
      <c r="AY20" s="911">
        <f>AW20+AX19*(1-$E$8)</f>
        <v>0</v>
      </c>
      <c r="AZ20" s="1073">
        <f>AY20*16/12*$E$11</f>
        <v>0</v>
      </c>
      <c r="BB20" s="300">
        <f>V20</f>
        <v>0</v>
      </c>
      <c r="BC20" s="301">
        <f>AF20</f>
        <v>0</v>
      </c>
      <c r="BD20" s="1080">
        <f>AZ20</f>
        <v>0</v>
      </c>
      <c r="BE20" s="301">
        <f>SUM(BB20:BD20)</f>
        <v>0</v>
      </c>
      <c r="BF20" s="104">
        <v>0</v>
      </c>
      <c r="BG20" s="302">
        <f>BE20-BF20</f>
        <v>0</v>
      </c>
      <c r="BI20" s="300">
        <f>V20</f>
        <v>0</v>
      </c>
      <c r="BJ20" s="301">
        <f>AP20</f>
        <v>0</v>
      </c>
      <c r="BK20" s="1080">
        <f>AZ20</f>
        <v>0</v>
      </c>
      <c r="BL20" s="301">
        <f>SUM(BI20:BK20)</f>
        <v>0</v>
      </c>
      <c r="BM20" s="104">
        <v>0</v>
      </c>
      <c r="BN20" s="302">
        <f>BL20-BM20</f>
        <v>0</v>
      </c>
    </row>
    <row r="21" spans="1:66">
      <c r="A21" s="873">
        <f>'Input data'!A51</f>
        <v>1951</v>
      </c>
      <c r="B21" s="865">
        <f>'Input data'!B51</f>
        <v>5.53942844</v>
      </c>
      <c r="C21" s="865">
        <f>'Baseline data (from input)'!B7</f>
        <v>578.73</v>
      </c>
      <c r="D21" s="777">
        <f>'Baseline data (from input)'!T7</f>
        <v>0.8</v>
      </c>
      <c r="E21" s="777">
        <f>E20</f>
        <v>0.24001298204245269</v>
      </c>
      <c r="F21" s="777">
        <f t="shared" ref="F21:K21" si="0">F20</f>
        <v>0.30440139352934503</v>
      </c>
      <c r="G21" s="777">
        <f t="shared" si="0"/>
        <v>5.8998240613430578E-2</v>
      </c>
      <c r="H21" s="777">
        <f t="shared" si="0"/>
        <v>0</v>
      </c>
      <c r="I21" s="777">
        <f t="shared" si="0"/>
        <v>0</v>
      </c>
      <c r="J21" s="777">
        <f t="shared" si="0"/>
        <v>0</v>
      </c>
      <c r="K21" s="777">
        <f t="shared" si="0"/>
        <v>0.39658738381477154</v>
      </c>
      <c r="L21" s="874">
        <f>SUM(E21:K21)</f>
        <v>0.99999999999999989</v>
      </c>
      <c r="M21" s="102"/>
      <c r="N21" s="914">
        <f t="shared" ref="N21:N51" si="1">B21*C21*D21</f>
        <v>2564.6667368649601</v>
      </c>
      <c r="O21" s="907">
        <f>Parameters!R122</f>
        <v>0.73</v>
      </c>
      <c r="P21" s="90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906">
        <f t="shared" ref="Q21:Q84" si="2">N21*P21*O21*$C$4</f>
        <v>112.78315767744512</v>
      </c>
      <c r="R21" s="906">
        <f t="shared" ref="R21:R84" si="3">Q21*$C$10</f>
        <v>112.78315767744512</v>
      </c>
      <c r="S21" s="286">
        <f t="shared" ref="S21:S84" si="4">Q21*(1-$C$10)</f>
        <v>0</v>
      </c>
      <c r="T21" s="906">
        <f t="shared" ref="T21:T84" si="5">R21+(T20*$C$8)</f>
        <v>216.47766298613126</v>
      </c>
      <c r="U21" s="906">
        <f t="shared" ref="U21:U84" si="6">S21+T20*(1-$C$8)</f>
        <v>5.316530975345783</v>
      </c>
      <c r="V21" s="1072">
        <f t="shared" ref="V21:V84" si="7">U21*16/12*$C$11</f>
        <v>3.5443539835638553</v>
      </c>
      <c r="W21" s="1450">
        <f t="shared" ref="W21:W72" si="8">$D$12</f>
        <v>0.13527885904981399</v>
      </c>
      <c r="X21" s="914">
        <f>'Baseline data (from input)'!AS7*W21</f>
        <v>0</v>
      </c>
      <c r="Y21" s="907">
        <f>Parameters!S122</f>
        <v>0.71500000000000008</v>
      </c>
      <c r="Z21" s="907">
        <f t="shared" ref="Z21:Z84" si="9">$D$3</f>
        <v>0.4</v>
      </c>
      <c r="AA21" s="906">
        <f t="shared" ref="AA21:AA84" si="10">X21*Z21*Y21*$D$4</f>
        <v>0</v>
      </c>
      <c r="AB21" s="906">
        <f t="shared" ref="AB21:AB84" si="11">AA21*$D$10</f>
        <v>0</v>
      </c>
      <c r="AC21" s="286">
        <f t="shared" ref="AC21:AC84" si="12">AA21*(1-$D$10)</f>
        <v>0</v>
      </c>
      <c r="AD21" s="906">
        <f t="shared" ref="AD21:AD84" si="13">AB21+(AD20*$D$8)</f>
        <v>0</v>
      </c>
      <c r="AE21" s="906">
        <f t="shared" ref="AE21:AE84" si="14">AC21+AD20*(1-$D$8)</f>
        <v>0</v>
      </c>
      <c r="AF21" s="1072">
        <f t="shared" ref="AF21:AF84" si="15">AE21*16/12*$D$11</f>
        <v>0</v>
      </c>
      <c r="AG21" s="1448">
        <f t="shared" ref="AG21:AG72" si="16">$D$12</f>
        <v>0.13527885904981399</v>
      </c>
      <c r="AH21" s="914">
        <f>'Baseline data (from input)'!AS7*AG21</f>
        <v>0</v>
      </c>
      <c r="AI21" s="907">
        <f>Parameters!S122</f>
        <v>0.71500000000000008</v>
      </c>
      <c r="AJ21" s="907">
        <f t="shared" ref="AJ21:AJ84" si="17">$D$3</f>
        <v>0.4</v>
      </c>
      <c r="AK21" s="906">
        <f t="shared" ref="AK21:AK84" si="18">AH21*AJ21*AI21*$D$4</f>
        <v>0</v>
      </c>
      <c r="AL21" s="906">
        <f t="shared" ref="AL21:AL84" si="19">AK21*$D$10</f>
        <v>0</v>
      </c>
      <c r="AM21" s="286">
        <f t="shared" ref="AM21:AM84" si="20">AK21*(1-$D$10)</f>
        <v>0</v>
      </c>
      <c r="AN21" s="906">
        <f t="shared" ref="AN21:AN84" si="21">AL21+(AN20*$D$8)</f>
        <v>0</v>
      </c>
      <c r="AO21" s="906">
        <f t="shared" ref="AO21:AO84" si="22">AM21+AN20*(1-$D$8)</f>
        <v>0</v>
      </c>
      <c r="AP21" s="1072">
        <f t="shared" ref="AP21:AP84" si="23">AO21*16/12*$D$11</f>
        <v>0</v>
      </c>
      <c r="AR21" s="914">
        <v>0</v>
      </c>
      <c r="AS21" s="907">
        <v>1</v>
      </c>
      <c r="AT21" s="907">
        <f t="shared" ref="AT21:AT84" si="24">$E$3</f>
        <v>0.05</v>
      </c>
      <c r="AU21" s="906">
        <f t="shared" ref="AU21:AU84" si="25">AR21*AT21*AS21*$E$4</f>
        <v>0</v>
      </c>
      <c r="AV21" s="906">
        <f t="shared" ref="AV21:AV84" si="26">AU21*$E$10</f>
        <v>0</v>
      </c>
      <c r="AW21" s="286">
        <f t="shared" ref="AW21:AW84" si="27">AU21*(1-$C$10)</f>
        <v>0</v>
      </c>
      <c r="AX21" s="906">
        <f t="shared" ref="AX21:AX49" si="28">AV21+(AX20*$C$8)</f>
        <v>0</v>
      </c>
      <c r="AY21" s="906">
        <f t="shared" ref="AY21:AY69" si="29">AW21+AX20*(1-$C$8)</f>
        <v>0</v>
      </c>
      <c r="AZ21" s="1072">
        <f t="shared" ref="AZ21:AZ69" si="30">AY21*16/12*$C$11</f>
        <v>0</v>
      </c>
      <c r="BB21" s="300">
        <f t="shared" ref="BB21:BB84" si="31">V21</f>
        <v>3.5443539835638553</v>
      </c>
      <c r="BC21" s="301">
        <f t="shared" ref="BC21:BC84" si="32">AF21</f>
        <v>0</v>
      </c>
      <c r="BD21" s="1080">
        <f t="shared" ref="BD21:BD69" si="33">AZ21</f>
        <v>0</v>
      </c>
      <c r="BE21" s="301">
        <f t="shared" ref="BE21:BE83" si="34">SUM(BB21:BD21)</f>
        <v>3.5443539835638553</v>
      </c>
      <c r="BF21" s="104">
        <v>0</v>
      </c>
      <c r="BG21" s="302">
        <f t="shared" ref="BG21:BG84" si="35">BE21-BF21</f>
        <v>3.5443539835638553</v>
      </c>
      <c r="BI21" s="300">
        <f t="shared" ref="BI21:BI84" si="36">V21</f>
        <v>3.5443539835638553</v>
      </c>
      <c r="BJ21" s="301">
        <f t="shared" ref="BJ21:BJ84" si="37">AP21</f>
        <v>0</v>
      </c>
      <c r="BK21" s="1080">
        <f t="shared" ref="BK21:BK84" si="38">AZ21</f>
        <v>0</v>
      </c>
      <c r="BL21" s="301">
        <f t="shared" ref="BL21:BL83" si="39">SUM(BI21:BK21)</f>
        <v>3.5443539835638553</v>
      </c>
      <c r="BM21" s="104">
        <v>0</v>
      </c>
      <c r="BN21" s="302">
        <f t="shared" ref="BN21:BN84" si="40">BL21-BM21</f>
        <v>3.5443539835638553</v>
      </c>
    </row>
    <row r="22" spans="1:66">
      <c r="A22" s="873">
        <f>'Input data'!A52</f>
        <v>1952</v>
      </c>
      <c r="B22" s="865">
        <f>'Input data'!B52</f>
        <v>5.7129272200000001</v>
      </c>
      <c r="C22" s="865">
        <f>'Baseline data (from input)'!B8</f>
        <v>578.73</v>
      </c>
      <c r="D22" s="777">
        <f>'Baseline data (from input)'!T8</f>
        <v>0.8</v>
      </c>
      <c r="E22" s="777">
        <f t="shared" ref="E22:E85" si="41">E21</f>
        <v>0.24001298204245269</v>
      </c>
      <c r="F22" s="777">
        <f t="shared" ref="F22:F85" si="42">F21</f>
        <v>0.30440139352934503</v>
      </c>
      <c r="G22" s="777">
        <f t="shared" ref="G22:G85" si="43">G21</f>
        <v>5.8998240613430578E-2</v>
      </c>
      <c r="H22" s="777">
        <f t="shared" ref="H22:H85" si="44">H21</f>
        <v>0</v>
      </c>
      <c r="I22" s="777">
        <f t="shared" ref="I22:I85" si="45">I21</f>
        <v>0</v>
      </c>
      <c r="J22" s="777">
        <f t="shared" ref="J22:J85" si="46">J21</f>
        <v>0</v>
      </c>
      <c r="K22" s="777">
        <f t="shared" ref="K22:K85" si="47">K21</f>
        <v>0.39658738381477154</v>
      </c>
      <c r="L22" s="874">
        <f t="shared" ref="L22:L85" si="48">SUM(E22:K22)</f>
        <v>0.99999999999999989</v>
      </c>
      <c r="M22" s="102"/>
      <c r="N22" s="914">
        <f t="shared" si="1"/>
        <v>2644.9938960244804</v>
      </c>
      <c r="O22" s="907">
        <f>Parameters!R123</f>
        <v>0.73</v>
      </c>
      <c r="P22" s="90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906">
        <f t="shared" si="2"/>
        <v>116.31560519861652</v>
      </c>
      <c r="R22" s="906">
        <f t="shared" si="3"/>
        <v>116.31560519861652</v>
      </c>
      <c r="S22" s="286">
        <f t="shared" si="4"/>
        <v>0</v>
      </c>
      <c r="T22" s="906">
        <f t="shared" si="5"/>
        <v>322.23552797817371</v>
      </c>
      <c r="U22" s="906">
        <f t="shared" si="6"/>
        <v>10.557740206574103</v>
      </c>
      <c r="V22" s="1072">
        <f t="shared" si="7"/>
        <v>7.038493471049402</v>
      </c>
      <c r="W22" s="1450">
        <f t="shared" si="8"/>
        <v>0.13527885904981399</v>
      </c>
      <c r="X22" s="914">
        <f>'Baseline data (from input)'!AS8*W22</f>
        <v>0</v>
      </c>
      <c r="Y22" s="907">
        <f>Parameters!S123</f>
        <v>0.71500000000000008</v>
      </c>
      <c r="Z22" s="907">
        <f t="shared" si="9"/>
        <v>0.4</v>
      </c>
      <c r="AA22" s="906">
        <f t="shared" si="10"/>
        <v>0</v>
      </c>
      <c r="AB22" s="906">
        <f t="shared" si="11"/>
        <v>0</v>
      </c>
      <c r="AC22" s="286">
        <f t="shared" si="12"/>
        <v>0</v>
      </c>
      <c r="AD22" s="906">
        <f t="shared" si="13"/>
        <v>0</v>
      </c>
      <c r="AE22" s="906">
        <f t="shared" si="14"/>
        <v>0</v>
      </c>
      <c r="AF22" s="1072">
        <f t="shared" si="15"/>
        <v>0</v>
      </c>
      <c r="AG22" s="1448">
        <f t="shared" si="16"/>
        <v>0.13527885904981399</v>
      </c>
      <c r="AH22" s="914">
        <f>'Baseline data (from input)'!AS8*AG22</f>
        <v>0</v>
      </c>
      <c r="AI22" s="907">
        <f>Parameters!S123</f>
        <v>0.71500000000000008</v>
      </c>
      <c r="AJ22" s="907">
        <f t="shared" si="17"/>
        <v>0.4</v>
      </c>
      <c r="AK22" s="906">
        <f t="shared" si="18"/>
        <v>0</v>
      </c>
      <c r="AL22" s="906">
        <f t="shared" si="19"/>
        <v>0</v>
      </c>
      <c r="AM22" s="286">
        <f t="shared" si="20"/>
        <v>0</v>
      </c>
      <c r="AN22" s="906">
        <f t="shared" si="21"/>
        <v>0</v>
      </c>
      <c r="AO22" s="906">
        <f t="shared" si="22"/>
        <v>0</v>
      </c>
      <c r="AP22" s="1072">
        <f t="shared" si="23"/>
        <v>0</v>
      </c>
      <c r="AR22" s="914">
        <v>0</v>
      </c>
      <c r="AS22" s="907">
        <v>1</v>
      </c>
      <c r="AT22" s="907">
        <f t="shared" si="24"/>
        <v>0.05</v>
      </c>
      <c r="AU22" s="906">
        <f t="shared" si="25"/>
        <v>0</v>
      </c>
      <c r="AV22" s="906">
        <f t="shared" si="26"/>
        <v>0</v>
      </c>
      <c r="AW22" s="286">
        <f t="shared" si="27"/>
        <v>0</v>
      </c>
      <c r="AX22" s="906">
        <f t="shared" si="28"/>
        <v>0</v>
      </c>
      <c r="AY22" s="906">
        <f t="shared" si="29"/>
        <v>0</v>
      </c>
      <c r="AZ22" s="1072">
        <f t="shared" si="30"/>
        <v>0</v>
      </c>
      <c r="BB22" s="300">
        <f t="shared" si="31"/>
        <v>7.038493471049402</v>
      </c>
      <c r="BC22" s="301">
        <f t="shared" si="32"/>
        <v>0</v>
      </c>
      <c r="BD22" s="1080">
        <f t="shared" si="33"/>
        <v>0</v>
      </c>
      <c r="BE22" s="301">
        <f t="shared" si="34"/>
        <v>7.038493471049402</v>
      </c>
      <c r="BF22" s="104">
        <v>0</v>
      </c>
      <c r="BG22" s="302">
        <f t="shared" si="35"/>
        <v>7.038493471049402</v>
      </c>
      <c r="BI22" s="300">
        <f t="shared" si="36"/>
        <v>7.038493471049402</v>
      </c>
      <c r="BJ22" s="301">
        <f t="shared" si="37"/>
        <v>0</v>
      </c>
      <c r="BK22" s="1080">
        <f t="shared" si="38"/>
        <v>0</v>
      </c>
      <c r="BL22" s="301">
        <f t="shared" si="39"/>
        <v>7.038493471049402</v>
      </c>
      <c r="BM22" s="104">
        <v>0</v>
      </c>
      <c r="BN22" s="302">
        <f t="shared" si="40"/>
        <v>7.038493471049402</v>
      </c>
    </row>
    <row r="23" spans="1:66">
      <c r="A23" s="873">
        <f>'Input data'!A53</f>
        <v>1953</v>
      </c>
      <c r="B23" s="865">
        <f>'Input data'!B53</f>
        <v>5.9284297800000001</v>
      </c>
      <c r="C23" s="865">
        <f>'Baseline data (from input)'!B9</f>
        <v>578.73</v>
      </c>
      <c r="D23" s="777">
        <f>'Baseline data (from input)'!T9</f>
        <v>0.8</v>
      </c>
      <c r="E23" s="777">
        <f t="shared" si="41"/>
        <v>0.24001298204245269</v>
      </c>
      <c r="F23" s="777">
        <f t="shared" si="42"/>
        <v>0.30440139352934503</v>
      </c>
      <c r="G23" s="777">
        <f t="shared" si="43"/>
        <v>5.8998240613430578E-2</v>
      </c>
      <c r="H23" s="777">
        <f t="shared" si="44"/>
        <v>0</v>
      </c>
      <c r="I23" s="777">
        <f t="shared" si="45"/>
        <v>0</v>
      </c>
      <c r="J23" s="777">
        <f t="shared" si="46"/>
        <v>0</v>
      </c>
      <c r="K23" s="777">
        <f t="shared" si="47"/>
        <v>0.39658738381477154</v>
      </c>
      <c r="L23" s="874">
        <f t="shared" si="48"/>
        <v>0.99999999999999989</v>
      </c>
      <c r="M23" s="102"/>
      <c r="N23" s="914">
        <f t="shared" si="1"/>
        <v>2744.7681332635202</v>
      </c>
      <c r="O23" s="907">
        <f>Parameters!R124</f>
        <v>0.73</v>
      </c>
      <c r="P23" s="90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906">
        <f t="shared" si="2"/>
        <v>120.70325267301428</v>
      </c>
      <c r="R23" s="906">
        <f t="shared" si="3"/>
        <v>120.70325267301428</v>
      </c>
      <c r="S23" s="286">
        <f t="shared" si="4"/>
        <v>0</v>
      </c>
      <c r="T23" s="906">
        <f t="shared" si="5"/>
        <v>427.22316850537618</v>
      </c>
      <c r="U23" s="906">
        <f t="shared" si="6"/>
        <v>15.715612145811802</v>
      </c>
      <c r="V23" s="1072">
        <f t="shared" si="7"/>
        <v>10.477074763874535</v>
      </c>
      <c r="W23" s="1450">
        <f t="shared" si="8"/>
        <v>0.13527885904981399</v>
      </c>
      <c r="X23" s="914">
        <f>'Baseline data (from input)'!AS9*W23</f>
        <v>0</v>
      </c>
      <c r="Y23" s="907">
        <f>Parameters!S124</f>
        <v>0.71500000000000008</v>
      </c>
      <c r="Z23" s="907">
        <f t="shared" si="9"/>
        <v>0.4</v>
      </c>
      <c r="AA23" s="906">
        <f t="shared" si="10"/>
        <v>0</v>
      </c>
      <c r="AB23" s="906">
        <f t="shared" si="11"/>
        <v>0</v>
      </c>
      <c r="AC23" s="286">
        <f t="shared" si="12"/>
        <v>0</v>
      </c>
      <c r="AD23" s="906">
        <f t="shared" si="13"/>
        <v>0</v>
      </c>
      <c r="AE23" s="906">
        <f t="shared" si="14"/>
        <v>0</v>
      </c>
      <c r="AF23" s="1072">
        <f t="shared" si="15"/>
        <v>0</v>
      </c>
      <c r="AG23" s="1448">
        <f t="shared" si="16"/>
        <v>0.13527885904981399</v>
      </c>
      <c r="AH23" s="914">
        <f>'Baseline data (from input)'!AS9*AG23</f>
        <v>0</v>
      </c>
      <c r="AI23" s="907">
        <f>Parameters!S124</f>
        <v>0.71500000000000008</v>
      </c>
      <c r="AJ23" s="907">
        <f t="shared" si="17"/>
        <v>0.4</v>
      </c>
      <c r="AK23" s="906">
        <f t="shared" si="18"/>
        <v>0</v>
      </c>
      <c r="AL23" s="906">
        <f t="shared" si="19"/>
        <v>0</v>
      </c>
      <c r="AM23" s="286">
        <f t="shared" si="20"/>
        <v>0</v>
      </c>
      <c r="AN23" s="906">
        <f t="shared" si="21"/>
        <v>0</v>
      </c>
      <c r="AO23" s="906">
        <f t="shared" si="22"/>
        <v>0</v>
      </c>
      <c r="AP23" s="1072">
        <f t="shared" si="23"/>
        <v>0</v>
      </c>
      <c r="AR23" s="914">
        <v>0</v>
      </c>
      <c r="AS23" s="907">
        <v>1</v>
      </c>
      <c r="AT23" s="907">
        <f t="shared" si="24"/>
        <v>0.05</v>
      </c>
      <c r="AU23" s="906">
        <f t="shared" si="25"/>
        <v>0</v>
      </c>
      <c r="AV23" s="906">
        <f t="shared" si="26"/>
        <v>0</v>
      </c>
      <c r="AW23" s="286">
        <f t="shared" si="27"/>
        <v>0</v>
      </c>
      <c r="AX23" s="906">
        <f t="shared" si="28"/>
        <v>0</v>
      </c>
      <c r="AY23" s="906">
        <f t="shared" si="29"/>
        <v>0</v>
      </c>
      <c r="AZ23" s="1072">
        <f t="shared" si="30"/>
        <v>0</v>
      </c>
      <c r="BB23" s="300">
        <f t="shared" si="31"/>
        <v>10.477074763874535</v>
      </c>
      <c r="BC23" s="301">
        <f t="shared" si="32"/>
        <v>0</v>
      </c>
      <c r="BD23" s="1080">
        <f t="shared" si="33"/>
        <v>0</v>
      </c>
      <c r="BE23" s="301">
        <f t="shared" si="34"/>
        <v>10.477074763874535</v>
      </c>
      <c r="BF23" s="104">
        <v>0</v>
      </c>
      <c r="BG23" s="302">
        <f t="shared" si="35"/>
        <v>10.477074763874535</v>
      </c>
      <c r="BI23" s="300">
        <f t="shared" si="36"/>
        <v>10.477074763874535</v>
      </c>
      <c r="BJ23" s="301">
        <f t="shared" si="37"/>
        <v>0</v>
      </c>
      <c r="BK23" s="1080">
        <f t="shared" si="38"/>
        <v>0</v>
      </c>
      <c r="BL23" s="301">
        <f t="shared" si="39"/>
        <v>10.477074763874535</v>
      </c>
      <c r="BM23" s="104">
        <v>0</v>
      </c>
      <c r="BN23" s="302">
        <f t="shared" si="40"/>
        <v>10.477074763874535</v>
      </c>
    </row>
    <row r="24" spans="1:66">
      <c r="A24" s="873">
        <f>'Input data'!A54</f>
        <v>1954</v>
      </c>
      <c r="B24" s="865">
        <f>'Input data'!B54</f>
        <v>6.1065695599999996</v>
      </c>
      <c r="C24" s="865">
        <f>'Baseline data (from input)'!B10</f>
        <v>578.73</v>
      </c>
      <c r="D24" s="777">
        <f>'Baseline data (from input)'!T10</f>
        <v>0.8</v>
      </c>
      <c r="E24" s="777">
        <f t="shared" si="41"/>
        <v>0.24001298204245269</v>
      </c>
      <c r="F24" s="777">
        <f t="shared" si="42"/>
        <v>0.30440139352934503</v>
      </c>
      <c r="G24" s="777">
        <f t="shared" si="43"/>
        <v>5.8998240613430578E-2</v>
      </c>
      <c r="H24" s="777">
        <f t="shared" si="44"/>
        <v>0</v>
      </c>
      <c r="I24" s="777">
        <f t="shared" si="45"/>
        <v>0</v>
      </c>
      <c r="J24" s="777">
        <f t="shared" si="46"/>
        <v>0</v>
      </c>
      <c r="K24" s="777">
        <f t="shared" si="47"/>
        <v>0.39658738381477154</v>
      </c>
      <c r="L24" s="874">
        <f t="shared" si="48"/>
        <v>0.99999999999999989</v>
      </c>
      <c r="M24" s="102"/>
      <c r="N24" s="914">
        <f t="shared" si="1"/>
        <v>2827.2440011670401</v>
      </c>
      <c r="O24" s="907">
        <f>Parameters!R125</f>
        <v>0.73</v>
      </c>
      <c r="P24" s="90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906">
        <f t="shared" si="2"/>
        <v>124.33019128481902</v>
      </c>
      <c r="R24" s="906">
        <f t="shared" si="3"/>
        <v>124.33019128481902</v>
      </c>
      <c r="S24" s="286">
        <f t="shared" si="4"/>
        <v>0</v>
      </c>
      <c r="T24" s="906">
        <f t="shared" si="5"/>
        <v>530.71743999555952</v>
      </c>
      <c r="U24" s="906">
        <f t="shared" si="6"/>
        <v>20.835919794635625</v>
      </c>
      <c r="V24" s="1072">
        <f t="shared" si="7"/>
        <v>13.89061319642375</v>
      </c>
      <c r="W24" s="1450">
        <f t="shared" si="8"/>
        <v>0.13527885904981399</v>
      </c>
      <c r="X24" s="914">
        <f>'Baseline data (from input)'!AS10*W24</f>
        <v>0</v>
      </c>
      <c r="Y24" s="907">
        <f>Parameters!S125</f>
        <v>0.71500000000000008</v>
      </c>
      <c r="Z24" s="907">
        <f t="shared" si="9"/>
        <v>0.4</v>
      </c>
      <c r="AA24" s="906">
        <f t="shared" si="10"/>
        <v>0</v>
      </c>
      <c r="AB24" s="906">
        <f t="shared" si="11"/>
        <v>0</v>
      </c>
      <c r="AC24" s="286">
        <f t="shared" si="12"/>
        <v>0</v>
      </c>
      <c r="AD24" s="906">
        <f t="shared" si="13"/>
        <v>0</v>
      </c>
      <c r="AE24" s="906">
        <f t="shared" si="14"/>
        <v>0</v>
      </c>
      <c r="AF24" s="1072">
        <f t="shared" si="15"/>
        <v>0</v>
      </c>
      <c r="AG24" s="1448">
        <f t="shared" si="16"/>
        <v>0.13527885904981399</v>
      </c>
      <c r="AH24" s="914">
        <f>'Baseline data (from input)'!AS10*AG24</f>
        <v>0</v>
      </c>
      <c r="AI24" s="907">
        <f>Parameters!S125</f>
        <v>0.71500000000000008</v>
      </c>
      <c r="AJ24" s="907">
        <f t="shared" si="17"/>
        <v>0.4</v>
      </c>
      <c r="AK24" s="906">
        <f t="shared" si="18"/>
        <v>0</v>
      </c>
      <c r="AL24" s="906">
        <f t="shared" si="19"/>
        <v>0</v>
      </c>
      <c r="AM24" s="286">
        <f t="shared" si="20"/>
        <v>0</v>
      </c>
      <c r="AN24" s="906">
        <f t="shared" si="21"/>
        <v>0</v>
      </c>
      <c r="AO24" s="906">
        <f t="shared" si="22"/>
        <v>0</v>
      </c>
      <c r="AP24" s="1072">
        <f t="shared" si="23"/>
        <v>0</v>
      </c>
      <c r="AR24" s="914">
        <v>0</v>
      </c>
      <c r="AS24" s="907">
        <v>1</v>
      </c>
      <c r="AT24" s="907">
        <f t="shared" si="24"/>
        <v>0.05</v>
      </c>
      <c r="AU24" s="906">
        <f t="shared" si="25"/>
        <v>0</v>
      </c>
      <c r="AV24" s="906">
        <f t="shared" si="26"/>
        <v>0</v>
      </c>
      <c r="AW24" s="286">
        <f t="shared" si="27"/>
        <v>0</v>
      </c>
      <c r="AX24" s="906">
        <f t="shared" si="28"/>
        <v>0</v>
      </c>
      <c r="AY24" s="906">
        <f t="shared" si="29"/>
        <v>0</v>
      </c>
      <c r="AZ24" s="1072">
        <f t="shared" si="30"/>
        <v>0</v>
      </c>
      <c r="BB24" s="300">
        <f t="shared" si="31"/>
        <v>13.89061319642375</v>
      </c>
      <c r="BC24" s="301">
        <f t="shared" si="32"/>
        <v>0</v>
      </c>
      <c r="BD24" s="1080">
        <f t="shared" si="33"/>
        <v>0</v>
      </c>
      <c r="BE24" s="301">
        <f t="shared" si="34"/>
        <v>13.89061319642375</v>
      </c>
      <c r="BF24" s="104">
        <v>0</v>
      </c>
      <c r="BG24" s="302">
        <f t="shared" si="35"/>
        <v>13.89061319642375</v>
      </c>
      <c r="BI24" s="300">
        <f t="shared" si="36"/>
        <v>13.89061319642375</v>
      </c>
      <c r="BJ24" s="301">
        <f t="shared" si="37"/>
        <v>0</v>
      </c>
      <c r="BK24" s="1080">
        <f t="shared" si="38"/>
        <v>0</v>
      </c>
      <c r="BL24" s="301">
        <f t="shared" si="39"/>
        <v>13.89061319642375</v>
      </c>
      <c r="BM24" s="104">
        <v>0</v>
      </c>
      <c r="BN24" s="302">
        <f t="shared" si="40"/>
        <v>13.89061319642375</v>
      </c>
    </row>
    <row r="25" spans="1:66">
      <c r="A25" s="873">
        <f>'Input data'!A55</f>
        <v>1955</v>
      </c>
      <c r="B25" s="865">
        <f>'Input data'!B55</f>
        <v>6.2725644799999998</v>
      </c>
      <c r="C25" s="865">
        <f>'Baseline data (from input)'!B11</f>
        <v>578.73</v>
      </c>
      <c r="D25" s="777">
        <f>'Baseline data (from input)'!T11</f>
        <v>0.8</v>
      </c>
      <c r="E25" s="777">
        <f t="shared" si="41"/>
        <v>0.24001298204245269</v>
      </c>
      <c r="F25" s="777">
        <f t="shared" si="42"/>
        <v>0.30440139352934503</v>
      </c>
      <c r="G25" s="777">
        <f t="shared" si="43"/>
        <v>5.8998240613430578E-2</v>
      </c>
      <c r="H25" s="777">
        <f t="shared" si="44"/>
        <v>0</v>
      </c>
      <c r="I25" s="777">
        <f t="shared" si="45"/>
        <v>0</v>
      </c>
      <c r="J25" s="777">
        <f t="shared" si="46"/>
        <v>0</v>
      </c>
      <c r="K25" s="777">
        <f t="shared" si="47"/>
        <v>0.39658738381477154</v>
      </c>
      <c r="L25" s="874">
        <f t="shared" si="48"/>
        <v>0.99999999999999989</v>
      </c>
      <c r="M25" s="102"/>
      <c r="N25" s="914">
        <f t="shared" si="1"/>
        <v>2904.0969932083203</v>
      </c>
      <c r="O25" s="907">
        <f>Parameters!R126</f>
        <v>0.73</v>
      </c>
      <c r="P25" s="90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906">
        <f t="shared" si="2"/>
        <v>127.70985968180169</v>
      </c>
      <c r="R25" s="906">
        <f t="shared" si="3"/>
        <v>127.70985968180169</v>
      </c>
      <c r="S25" s="286">
        <f t="shared" si="4"/>
        <v>0</v>
      </c>
      <c r="T25" s="906">
        <f t="shared" si="5"/>
        <v>632.54390470126998</v>
      </c>
      <c r="U25" s="906">
        <f t="shared" si="6"/>
        <v>25.883394976091214</v>
      </c>
      <c r="V25" s="1072">
        <f t="shared" si="7"/>
        <v>17.255596650727476</v>
      </c>
      <c r="W25" s="1450">
        <f t="shared" si="8"/>
        <v>0.13527885904981399</v>
      </c>
      <c r="X25" s="914">
        <f>'Baseline data (from input)'!AS11*W25</f>
        <v>0</v>
      </c>
      <c r="Y25" s="907">
        <f>Parameters!S126</f>
        <v>0.71500000000000008</v>
      </c>
      <c r="Z25" s="907">
        <f t="shared" si="9"/>
        <v>0.4</v>
      </c>
      <c r="AA25" s="906">
        <f t="shared" si="10"/>
        <v>0</v>
      </c>
      <c r="AB25" s="906">
        <f t="shared" si="11"/>
        <v>0</v>
      </c>
      <c r="AC25" s="286">
        <f t="shared" si="12"/>
        <v>0</v>
      </c>
      <c r="AD25" s="906">
        <f t="shared" si="13"/>
        <v>0</v>
      </c>
      <c r="AE25" s="906">
        <f t="shared" si="14"/>
        <v>0</v>
      </c>
      <c r="AF25" s="1072">
        <f t="shared" si="15"/>
        <v>0</v>
      </c>
      <c r="AG25" s="1448">
        <f t="shared" si="16"/>
        <v>0.13527885904981399</v>
      </c>
      <c r="AH25" s="914">
        <f>'Baseline data (from input)'!AS11*AG25</f>
        <v>0</v>
      </c>
      <c r="AI25" s="907">
        <f>Parameters!S126</f>
        <v>0.71500000000000008</v>
      </c>
      <c r="AJ25" s="907">
        <f t="shared" si="17"/>
        <v>0.4</v>
      </c>
      <c r="AK25" s="906">
        <f t="shared" si="18"/>
        <v>0</v>
      </c>
      <c r="AL25" s="906">
        <f t="shared" si="19"/>
        <v>0</v>
      </c>
      <c r="AM25" s="286">
        <f t="shared" si="20"/>
        <v>0</v>
      </c>
      <c r="AN25" s="906">
        <f t="shared" si="21"/>
        <v>0</v>
      </c>
      <c r="AO25" s="906">
        <f t="shared" si="22"/>
        <v>0</v>
      </c>
      <c r="AP25" s="1072">
        <f t="shared" si="23"/>
        <v>0</v>
      </c>
      <c r="AR25" s="914">
        <v>0</v>
      </c>
      <c r="AS25" s="907">
        <v>1</v>
      </c>
      <c r="AT25" s="907">
        <f t="shared" si="24"/>
        <v>0.05</v>
      </c>
      <c r="AU25" s="906">
        <f t="shared" si="25"/>
        <v>0</v>
      </c>
      <c r="AV25" s="906">
        <f t="shared" si="26"/>
        <v>0</v>
      </c>
      <c r="AW25" s="286">
        <f t="shared" si="27"/>
        <v>0</v>
      </c>
      <c r="AX25" s="906">
        <f t="shared" si="28"/>
        <v>0</v>
      </c>
      <c r="AY25" s="906">
        <f t="shared" si="29"/>
        <v>0</v>
      </c>
      <c r="AZ25" s="1072">
        <f t="shared" si="30"/>
        <v>0</v>
      </c>
      <c r="BB25" s="300">
        <f t="shared" si="31"/>
        <v>17.255596650727476</v>
      </c>
      <c r="BC25" s="301">
        <f t="shared" si="32"/>
        <v>0</v>
      </c>
      <c r="BD25" s="1080">
        <f t="shared" si="33"/>
        <v>0</v>
      </c>
      <c r="BE25" s="301">
        <f t="shared" si="34"/>
        <v>17.255596650727476</v>
      </c>
      <c r="BF25" s="104">
        <v>0</v>
      </c>
      <c r="BG25" s="302">
        <f t="shared" si="35"/>
        <v>17.255596650727476</v>
      </c>
      <c r="BI25" s="300">
        <f t="shared" si="36"/>
        <v>17.255596650727476</v>
      </c>
      <c r="BJ25" s="301">
        <f t="shared" si="37"/>
        <v>0</v>
      </c>
      <c r="BK25" s="1080">
        <f t="shared" si="38"/>
        <v>0</v>
      </c>
      <c r="BL25" s="301">
        <f t="shared" si="39"/>
        <v>17.255596650727476</v>
      </c>
      <c r="BM25" s="104">
        <v>0</v>
      </c>
      <c r="BN25" s="302">
        <f t="shared" si="40"/>
        <v>17.255596650727476</v>
      </c>
    </row>
    <row r="26" spans="1:66">
      <c r="A26" s="873">
        <f>'Input data'!A56</f>
        <v>1956</v>
      </c>
      <c r="B26" s="865">
        <f>'Input data'!B56</f>
        <v>6.4651860000000001</v>
      </c>
      <c r="C26" s="865">
        <f>'Baseline data (from input)'!B12</f>
        <v>578.73</v>
      </c>
      <c r="D26" s="777">
        <f>'Baseline data (from input)'!T12</f>
        <v>0.8</v>
      </c>
      <c r="E26" s="777">
        <f t="shared" si="41"/>
        <v>0.24001298204245269</v>
      </c>
      <c r="F26" s="777">
        <f t="shared" si="42"/>
        <v>0.30440139352934503</v>
      </c>
      <c r="G26" s="777">
        <f t="shared" si="43"/>
        <v>5.8998240613430578E-2</v>
      </c>
      <c r="H26" s="777">
        <f t="shared" si="44"/>
        <v>0</v>
      </c>
      <c r="I26" s="777">
        <f t="shared" si="45"/>
        <v>0</v>
      </c>
      <c r="J26" s="777">
        <f t="shared" si="46"/>
        <v>0</v>
      </c>
      <c r="K26" s="777">
        <f t="shared" si="47"/>
        <v>0.39658738381477154</v>
      </c>
      <c r="L26" s="874">
        <f t="shared" si="48"/>
        <v>0.99999999999999989</v>
      </c>
      <c r="M26" s="102"/>
      <c r="N26" s="914">
        <f t="shared" si="1"/>
        <v>2993.2776750240005</v>
      </c>
      <c r="O26" s="907">
        <f>Parameters!R127</f>
        <v>0.73</v>
      </c>
      <c r="P26" s="90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906">
        <f t="shared" si="2"/>
        <v>131.63164755171215</v>
      </c>
      <c r="R26" s="906">
        <f t="shared" si="3"/>
        <v>131.63164755171215</v>
      </c>
      <c r="S26" s="286">
        <f t="shared" si="4"/>
        <v>0</v>
      </c>
      <c r="T26" s="906">
        <f t="shared" si="5"/>
        <v>733.32602199213568</v>
      </c>
      <c r="U26" s="906">
        <f t="shared" si="6"/>
        <v>30.849530260846446</v>
      </c>
      <c r="V26" s="1072">
        <f t="shared" si="7"/>
        <v>20.566353507230964</v>
      </c>
      <c r="W26" s="1450">
        <f t="shared" si="8"/>
        <v>0.13527885904981399</v>
      </c>
      <c r="X26" s="914">
        <f>'Baseline data (from input)'!AS12*W26</f>
        <v>0</v>
      </c>
      <c r="Y26" s="907">
        <f>Parameters!S127</f>
        <v>0.71500000000000008</v>
      </c>
      <c r="Z26" s="907">
        <f t="shared" si="9"/>
        <v>0.4</v>
      </c>
      <c r="AA26" s="906">
        <f t="shared" si="10"/>
        <v>0</v>
      </c>
      <c r="AB26" s="906">
        <f t="shared" si="11"/>
        <v>0</v>
      </c>
      <c r="AC26" s="286">
        <f t="shared" si="12"/>
        <v>0</v>
      </c>
      <c r="AD26" s="906">
        <f t="shared" si="13"/>
        <v>0</v>
      </c>
      <c r="AE26" s="906">
        <f t="shared" si="14"/>
        <v>0</v>
      </c>
      <c r="AF26" s="1072">
        <f t="shared" si="15"/>
        <v>0</v>
      </c>
      <c r="AG26" s="1448">
        <f t="shared" si="16"/>
        <v>0.13527885904981399</v>
      </c>
      <c r="AH26" s="914">
        <f>'Baseline data (from input)'!AS12*AG26</f>
        <v>0</v>
      </c>
      <c r="AI26" s="907">
        <f>Parameters!S127</f>
        <v>0.71500000000000008</v>
      </c>
      <c r="AJ26" s="907">
        <f t="shared" si="17"/>
        <v>0.4</v>
      </c>
      <c r="AK26" s="906">
        <f t="shared" si="18"/>
        <v>0</v>
      </c>
      <c r="AL26" s="906">
        <f t="shared" si="19"/>
        <v>0</v>
      </c>
      <c r="AM26" s="286">
        <f t="shared" si="20"/>
        <v>0</v>
      </c>
      <c r="AN26" s="906">
        <f t="shared" si="21"/>
        <v>0</v>
      </c>
      <c r="AO26" s="906">
        <f t="shared" si="22"/>
        <v>0</v>
      </c>
      <c r="AP26" s="1072">
        <f t="shared" si="23"/>
        <v>0</v>
      </c>
      <c r="AR26" s="914">
        <v>0</v>
      </c>
      <c r="AS26" s="907">
        <v>1</v>
      </c>
      <c r="AT26" s="907">
        <f t="shared" si="24"/>
        <v>0.05</v>
      </c>
      <c r="AU26" s="906">
        <f t="shared" si="25"/>
        <v>0</v>
      </c>
      <c r="AV26" s="906">
        <f t="shared" si="26"/>
        <v>0</v>
      </c>
      <c r="AW26" s="286">
        <f t="shared" si="27"/>
        <v>0</v>
      </c>
      <c r="AX26" s="906">
        <f t="shared" si="28"/>
        <v>0</v>
      </c>
      <c r="AY26" s="906">
        <f t="shared" si="29"/>
        <v>0</v>
      </c>
      <c r="AZ26" s="1072">
        <f t="shared" si="30"/>
        <v>0</v>
      </c>
      <c r="BB26" s="300">
        <f t="shared" si="31"/>
        <v>20.566353507230964</v>
      </c>
      <c r="BC26" s="301">
        <f t="shared" si="32"/>
        <v>0</v>
      </c>
      <c r="BD26" s="1080">
        <f t="shared" si="33"/>
        <v>0</v>
      </c>
      <c r="BE26" s="301">
        <f t="shared" si="34"/>
        <v>20.566353507230964</v>
      </c>
      <c r="BF26" s="104">
        <v>0</v>
      </c>
      <c r="BG26" s="302">
        <f t="shared" si="35"/>
        <v>20.566353507230964</v>
      </c>
      <c r="BI26" s="300">
        <f t="shared" si="36"/>
        <v>20.566353507230964</v>
      </c>
      <c r="BJ26" s="301">
        <f t="shared" si="37"/>
        <v>0</v>
      </c>
      <c r="BK26" s="1080">
        <f t="shared" si="38"/>
        <v>0</v>
      </c>
      <c r="BL26" s="301">
        <f t="shared" si="39"/>
        <v>20.566353507230964</v>
      </c>
      <c r="BM26" s="104">
        <v>0</v>
      </c>
      <c r="BN26" s="302">
        <f t="shared" si="40"/>
        <v>20.566353507230964</v>
      </c>
    </row>
    <row r="27" spans="1:66">
      <c r="A27" s="873">
        <f>'Input data'!A57</f>
        <v>1957</v>
      </c>
      <c r="B27" s="865">
        <f>'Input data'!B57</f>
        <v>6.6592707999999998</v>
      </c>
      <c r="C27" s="865">
        <f>'Baseline data (from input)'!B13</f>
        <v>578.73</v>
      </c>
      <c r="D27" s="777">
        <f>'Baseline data (from input)'!T13</f>
        <v>0.8</v>
      </c>
      <c r="E27" s="777">
        <f t="shared" si="41"/>
        <v>0.24001298204245269</v>
      </c>
      <c r="F27" s="777">
        <f t="shared" si="42"/>
        <v>0.30440139352934503</v>
      </c>
      <c r="G27" s="777">
        <f t="shared" si="43"/>
        <v>5.8998240613430578E-2</v>
      </c>
      <c r="H27" s="777">
        <f t="shared" si="44"/>
        <v>0</v>
      </c>
      <c r="I27" s="777">
        <f t="shared" si="45"/>
        <v>0</v>
      </c>
      <c r="J27" s="777">
        <f t="shared" si="46"/>
        <v>0</v>
      </c>
      <c r="K27" s="777">
        <f t="shared" si="47"/>
        <v>0.39658738381477154</v>
      </c>
      <c r="L27" s="874">
        <f t="shared" si="48"/>
        <v>0.99999999999999989</v>
      </c>
      <c r="M27" s="102"/>
      <c r="N27" s="914">
        <f t="shared" si="1"/>
        <v>3083.1358320672002</v>
      </c>
      <c r="O27" s="907">
        <f>Parameters!R128</f>
        <v>0.73</v>
      </c>
      <c r="P27" s="90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906">
        <f t="shared" si="2"/>
        <v>135.58322790666938</v>
      </c>
      <c r="R27" s="906">
        <f t="shared" si="3"/>
        <v>135.58322790666938</v>
      </c>
      <c r="S27" s="286">
        <f t="shared" si="4"/>
        <v>0</v>
      </c>
      <c r="T27" s="906">
        <f t="shared" si="5"/>
        <v>833.14451777764657</v>
      </c>
      <c r="U27" s="906">
        <f t="shared" si="6"/>
        <v>35.764732121158509</v>
      </c>
      <c r="V27" s="1072">
        <f t="shared" si="7"/>
        <v>23.843154747439005</v>
      </c>
      <c r="W27" s="1450">
        <f t="shared" si="8"/>
        <v>0.13527885904981399</v>
      </c>
      <c r="X27" s="914">
        <f>'Baseline data (from input)'!AS13*W27</f>
        <v>0</v>
      </c>
      <c r="Y27" s="907">
        <f>Parameters!S128</f>
        <v>0.71500000000000008</v>
      </c>
      <c r="Z27" s="907">
        <f t="shared" si="9"/>
        <v>0.4</v>
      </c>
      <c r="AA27" s="906">
        <f t="shared" si="10"/>
        <v>0</v>
      </c>
      <c r="AB27" s="906">
        <f t="shared" si="11"/>
        <v>0</v>
      </c>
      <c r="AC27" s="286">
        <f t="shared" si="12"/>
        <v>0</v>
      </c>
      <c r="AD27" s="906">
        <f t="shared" si="13"/>
        <v>0</v>
      </c>
      <c r="AE27" s="906">
        <f t="shared" si="14"/>
        <v>0</v>
      </c>
      <c r="AF27" s="1072">
        <f t="shared" si="15"/>
        <v>0</v>
      </c>
      <c r="AG27" s="1448">
        <f t="shared" si="16"/>
        <v>0.13527885904981399</v>
      </c>
      <c r="AH27" s="914">
        <f>'Baseline data (from input)'!AS13*AG27</f>
        <v>0</v>
      </c>
      <c r="AI27" s="907">
        <f>Parameters!S128</f>
        <v>0.71500000000000008</v>
      </c>
      <c r="AJ27" s="907">
        <f t="shared" si="17"/>
        <v>0.4</v>
      </c>
      <c r="AK27" s="906">
        <f t="shared" si="18"/>
        <v>0</v>
      </c>
      <c r="AL27" s="906">
        <f t="shared" si="19"/>
        <v>0</v>
      </c>
      <c r="AM27" s="286">
        <f t="shared" si="20"/>
        <v>0</v>
      </c>
      <c r="AN27" s="906">
        <f t="shared" si="21"/>
        <v>0</v>
      </c>
      <c r="AO27" s="906">
        <f t="shared" si="22"/>
        <v>0</v>
      </c>
      <c r="AP27" s="1072">
        <f t="shared" si="23"/>
        <v>0</v>
      </c>
      <c r="AR27" s="914">
        <v>0</v>
      </c>
      <c r="AS27" s="907">
        <v>1</v>
      </c>
      <c r="AT27" s="907">
        <f t="shared" si="24"/>
        <v>0.05</v>
      </c>
      <c r="AU27" s="906">
        <f t="shared" si="25"/>
        <v>0</v>
      </c>
      <c r="AV27" s="906">
        <f t="shared" si="26"/>
        <v>0</v>
      </c>
      <c r="AW27" s="286">
        <f t="shared" si="27"/>
        <v>0</v>
      </c>
      <c r="AX27" s="922">
        <f t="shared" si="28"/>
        <v>0</v>
      </c>
      <c r="AY27" s="922">
        <f t="shared" si="29"/>
        <v>0</v>
      </c>
      <c r="AZ27" s="1072">
        <f t="shared" si="30"/>
        <v>0</v>
      </c>
      <c r="BB27" s="300">
        <f t="shared" si="31"/>
        <v>23.843154747439005</v>
      </c>
      <c r="BC27" s="301">
        <f t="shared" si="32"/>
        <v>0</v>
      </c>
      <c r="BD27" s="1080">
        <f t="shared" si="33"/>
        <v>0</v>
      </c>
      <c r="BE27" s="301">
        <f t="shared" si="34"/>
        <v>23.843154747439005</v>
      </c>
      <c r="BF27" s="104">
        <v>0</v>
      </c>
      <c r="BG27" s="302">
        <f t="shared" si="35"/>
        <v>23.843154747439005</v>
      </c>
      <c r="BI27" s="300">
        <f t="shared" si="36"/>
        <v>23.843154747439005</v>
      </c>
      <c r="BJ27" s="301">
        <f t="shared" si="37"/>
        <v>0</v>
      </c>
      <c r="BK27" s="1080">
        <f t="shared" si="38"/>
        <v>0</v>
      </c>
      <c r="BL27" s="301">
        <f t="shared" si="39"/>
        <v>23.843154747439005</v>
      </c>
      <c r="BM27" s="104">
        <v>0</v>
      </c>
      <c r="BN27" s="302">
        <f t="shared" si="40"/>
        <v>23.843154747439005</v>
      </c>
    </row>
    <row r="28" spans="1:66">
      <c r="A28" s="873">
        <f>'Input data'!A58</f>
        <v>1958</v>
      </c>
      <c r="B28" s="865">
        <f>'Input data'!B58</f>
        <v>6.8699176</v>
      </c>
      <c r="C28" s="865">
        <f>'Baseline data (from input)'!B14</f>
        <v>578.73</v>
      </c>
      <c r="D28" s="777">
        <f>'Baseline data (from input)'!T14</f>
        <v>0.8</v>
      </c>
      <c r="E28" s="777">
        <f t="shared" si="41"/>
        <v>0.24001298204245269</v>
      </c>
      <c r="F28" s="777">
        <f t="shared" si="42"/>
        <v>0.30440139352934503</v>
      </c>
      <c r="G28" s="777">
        <f t="shared" si="43"/>
        <v>5.8998240613430578E-2</v>
      </c>
      <c r="H28" s="777">
        <f t="shared" si="44"/>
        <v>0</v>
      </c>
      <c r="I28" s="777">
        <f t="shared" si="45"/>
        <v>0</v>
      </c>
      <c r="J28" s="777">
        <f t="shared" si="46"/>
        <v>0</v>
      </c>
      <c r="K28" s="777">
        <f t="shared" si="47"/>
        <v>0.39658738381477154</v>
      </c>
      <c r="L28" s="874">
        <f t="shared" si="48"/>
        <v>0.99999999999999989</v>
      </c>
      <c r="M28" s="102"/>
      <c r="N28" s="914">
        <f t="shared" si="1"/>
        <v>3180.6619301184001</v>
      </c>
      <c r="O28" s="907">
        <f>Parameters!R129</f>
        <v>0.73</v>
      </c>
      <c r="P28" s="90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906">
        <f t="shared" si="2"/>
        <v>139.87201176153388</v>
      </c>
      <c r="R28" s="906">
        <f t="shared" si="3"/>
        <v>139.87201176153388</v>
      </c>
      <c r="S28" s="286">
        <f t="shared" si="4"/>
        <v>0</v>
      </c>
      <c r="T28" s="906">
        <f t="shared" si="5"/>
        <v>932.38359193308952</v>
      </c>
      <c r="U28" s="906">
        <f t="shared" si="6"/>
        <v>40.632937606090927</v>
      </c>
      <c r="V28" s="1072">
        <f t="shared" si="7"/>
        <v>27.088625070727286</v>
      </c>
      <c r="W28" s="1450">
        <f t="shared" si="8"/>
        <v>0.13527885904981399</v>
      </c>
      <c r="X28" s="914">
        <f>'Baseline data (from input)'!AS14*W28</f>
        <v>0</v>
      </c>
      <c r="Y28" s="907">
        <f>Parameters!S129</f>
        <v>0.71500000000000008</v>
      </c>
      <c r="Z28" s="907">
        <f t="shared" si="9"/>
        <v>0.4</v>
      </c>
      <c r="AA28" s="906">
        <f t="shared" si="10"/>
        <v>0</v>
      </c>
      <c r="AB28" s="906">
        <f t="shared" si="11"/>
        <v>0</v>
      </c>
      <c r="AC28" s="286">
        <f t="shared" si="12"/>
        <v>0</v>
      </c>
      <c r="AD28" s="906">
        <f t="shared" si="13"/>
        <v>0</v>
      </c>
      <c r="AE28" s="906">
        <f t="shared" si="14"/>
        <v>0</v>
      </c>
      <c r="AF28" s="1072">
        <f t="shared" si="15"/>
        <v>0</v>
      </c>
      <c r="AG28" s="1448">
        <f t="shared" si="16"/>
        <v>0.13527885904981399</v>
      </c>
      <c r="AH28" s="914">
        <f>'Baseline data (from input)'!AS14*AG28</f>
        <v>0</v>
      </c>
      <c r="AI28" s="907">
        <f>Parameters!S129</f>
        <v>0.71500000000000008</v>
      </c>
      <c r="AJ28" s="907">
        <f t="shared" si="17"/>
        <v>0.4</v>
      </c>
      <c r="AK28" s="906">
        <f t="shared" si="18"/>
        <v>0</v>
      </c>
      <c r="AL28" s="906">
        <f t="shared" si="19"/>
        <v>0</v>
      </c>
      <c r="AM28" s="286">
        <f t="shared" si="20"/>
        <v>0</v>
      </c>
      <c r="AN28" s="906">
        <f t="shared" si="21"/>
        <v>0</v>
      </c>
      <c r="AO28" s="906">
        <f t="shared" si="22"/>
        <v>0</v>
      </c>
      <c r="AP28" s="1072">
        <f t="shared" si="23"/>
        <v>0</v>
      </c>
      <c r="AR28" s="914">
        <v>0</v>
      </c>
      <c r="AS28" s="907">
        <v>1</v>
      </c>
      <c r="AT28" s="907">
        <f t="shared" si="24"/>
        <v>0.05</v>
      </c>
      <c r="AU28" s="906">
        <f t="shared" si="25"/>
        <v>0</v>
      </c>
      <c r="AV28" s="906">
        <f t="shared" si="26"/>
        <v>0</v>
      </c>
      <c r="AW28" s="286">
        <f t="shared" si="27"/>
        <v>0</v>
      </c>
      <c r="AX28" s="922">
        <f t="shared" si="28"/>
        <v>0</v>
      </c>
      <c r="AY28" s="922">
        <f t="shared" si="29"/>
        <v>0</v>
      </c>
      <c r="AZ28" s="1072">
        <f t="shared" si="30"/>
        <v>0</v>
      </c>
      <c r="BB28" s="300">
        <f t="shared" si="31"/>
        <v>27.088625070727286</v>
      </c>
      <c r="BC28" s="301">
        <f t="shared" si="32"/>
        <v>0</v>
      </c>
      <c r="BD28" s="1080">
        <f t="shared" si="33"/>
        <v>0</v>
      </c>
      <c r="BE28" s="301">
        <f t="shared" si="34"/>
        <v>27.088625070727286</v>
      </c>
      <c r="BF28" s="104">
        <v>0</v>
      </c>
      <c r="BG28" s="302">
        <f t="shared" si="35"/>
        <v>27.088625070727286</v>
      </c>
      <c r="BI28" s="300">
        <f t="shared" si="36"/>
        <v>27.088625070727286</v>
      </c>
      <c r="BJ28" s="301">
        <f t="shared" si="37"/>
        <v>0</v>
      </c>
      <c r="BK28" s="1080">
        <f t="shared" si="38"/>
        <v>0</v>
      </c>
      <c r="BL28" s="301">
        <f t="shared" si="39"/>
        <v>27.088625070727286</v>
      </c>
      <c r="BM28" s="104">
        <v>0</v>
      </c>
      <c r="BN28" s="302">
        <f t="shared" si="40"/>
        <v>27.088625070727286</v>
      </c>
    </row>
    <row r="29" spans="1:66">
      <c r="A29" s="873">
        <f>'Input data'!A59</f>
        <v>1959</v>
      </c>
      <c r="B29" s="865">
        <f>'Input data'!B59</f>
        <v>7.0827593200000001</v>
      </c>
      <c r="C29" s="865">
        <f>'Baseline data (from input)'!B15</f>
        <v>578.73</v>
      </c>
      <c r="D29" s="777">
        <f>'Baseline data (from input)'!T15</f>
        <v>0.8</v>
      </c>
      <c r="E29" s="777">
        <f t="shared" si="41"/>
        <v>0.24001298204245269</v>
      </c>
      <c r="F29" s="777">
        <f t="shared" si="42"/>
        <v>0.30440139352934503</v>
      </c>
      <c r="G29" s="777">
        <f t="shared" si="43"/>
        <v>5.8998240613430578E-2</v>
      </c>
      <c r="H29" s="777">
        <f t="shared" si="44"/>
        <v>0</v>
      </c>
      <c r="I29" s="777">
        <f t="shared" si="45"/>
        <v>0</v>
      </c>
      <c r="J29" s="777">
        <f t="shared" si="46"/>
        <v>0</v>
      </c>
      <c r="K29" s="777">
        <f t="shared" si="47"/>
        <v>0.39658738381477154</v>
      </c>
      <c r="L29" s="874">
        <f t="shared" si="48"/>
        <v>0.99999999999999989</v>
      </c>
      <c r="M29" s="102"/>
      <c r="N29" s="914">
        <f t="shared" si="1"/>
        <v>3279.2042410108802</v>
      </c>
      <c r="O29" s="907">
        <f>Parameters!R130</f>
        <v>0.73</v>
      </c>
      <c r="P29" s="90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906">
        <f t="shared" si="2"/>
        <v>144.20548434396852</v>
      </c>
      <c r="R29" s="906">
        <f t="shared" si="3"/>
        <v>144.20548434396852</v>
      </c>
      <c r="S29" s="286">
        <f t="shared" si="4"/>
        <v>0</v>
      </c>
      <c r="T29" s="906">
        <f t="shared" si="5"/>
        <v>1031.1161919123899</v>
      </c>
      <c r="U29" s="906">
        <f t="shared" si="6"/>
        <v>45.472884364668197</v>
      </c>
      <c r="V29" s="1072">
        <f t="shared" si="7"/>
        <v>30.315256243112131</v>
      </c>
      <c r="W29" s="1450">
        <f t="shared" si="8"/>
        <v>0.13527885904981399</v>
      </c>
      <c r="X29" s="914">
        <f>'Baseline data (from input)'!AS15*W29</f>
        <v>0</v>
      </c>
      <c r="Y29" s="907">
        <f>Parameters!S130</f>
        <v>0.71500000000000008</v>
      </c>
      <c r="Z29" s="907">
        <f t="shared" si="9"/>
        <v>0.4</v>
      </c>
      <c r="AA29" s="906">
        <f t="shared" si="10"/>
        <v>0</v>
      </c>
      <c r="AB29" s="906">
        <f t="shared" si="11"/>
        <v>0</v>
      </c>
      <c r="AC29" s="286">
        <f t="shared" si="12"/>
        <v>0</v>
      </c>
      <c r="AD29" s="906">
        <f t="shared" si="13"/>
        <v>0</v>
      </c>
      <c r="AE29" s="906">
        <f t="shared" si="14"/>
        <v>0</v>
      </c>
      <c r="AF29" s="1072">
        <f t="shared" si="15"/>
        <v>0</v>
      </c>
      <c r="AG29" s="1448">
        <f t="shared" si="16"/>
        <v>0.13527885904981399</v>
      </c>
      <c r="AH29" s="914">
        <f>'Baseline data (from input)'!AS15*AG29</f>
        <v>0</v>
      </c>
      <c r="AI29" s="907">
        <f>Parameters!S130</f>
        <v>0.71500000000000008</v>
      </c>
      <c r="AJ29" s="907">
        <f t="shared" si="17"/>
        <v>0.4</v>
      </c>
      <c r="AK29" s="906">
        <f t="shared" si="18"/>
        <v>0</v>
      </c>
      <c r="AL29" s="906">
        <f t="shared" si="19"/>
        <v>0</v>
      </c>
      <c r="AM29" s="286">
        <f t="shared" si="20"/>
        <v>0</v>
      </c>
      <c r="AN29" s="906">
        <f t="shared" si="21"/>
        <v>0</v>
      </c>
      <c r="AO29" s="906">
        <f t="shared" si="22"/>
        <v>0</v>
      </c>
      <c r="AP29" s="1072">
        <f t="shared" si="23"/>
        <v>0</v>
      </c>
      <c r="AR29" s="914">
        <v>0</v>
      </c>
      <c r="AS29" s="907">
        <v>1</v>
      </c>
      <c r="AT29" s="907">
        <f t="shared" si="24"/>
        <v>0.05</v>
      </c>
      <c r="AU29" s="906">
        <f t="shared" si="25"/>
        <v>0</v>
      </c>
      <c r="AV29" s="906">
        <f t="shared" si="26"/>
        <v>0</v>
      </c>
      <c r="AW29" s="286">
        <f t="shared" si="27"/>
        <v>0</v>
      </c>
      <c r="AX29" s="922">
        <f t="shared" si="28"/>
        <v>0</v>
      </c>
      <c r="AY29" s="922">
        <f t="shared" si="29"/>
        <v>0</v>
      </c>
      <c r="AZ29" s="1072">
        <f t="shared" si="30"/>
        <v>0</v>
      </c>
      <c r="BB29" s="300">
        <f t="shared" si="31"/>
        <v>30.315256243112131</v>
      </c>
      <c r="BC29" s="301">
        <f t="shared" si="32"/>
        <v>0</v>
      </c>
      <c r="BD29" s="1080">
        <f t="shared" si="33"/>
        <v>0</v>
      </c>
      <c r="BE29" s="301">
        <f t="shared" si="34"/>
        <v>30.315256243112131</v>
      </c>
      <c r="BF29" s="104">
        <v>0</v>
      </c>
      <c r="BG29" s="302">
        <f t="shared" si="35"/>
        <v>30.315256243112131</v>
      </c>
      <c r="BI29" s="300">
        <f t="shared" si="36"/>
        <v>30.315256243112131</v>
      </c>
      <c r="BJ29" s="301">
        <f t="shared" si="37"/>
        <v>0</v>
      </c>
      <c r="BK29" s="1080">
        <f t="shared" si="38"/>
        <v>0</v>
      </c>
      <c r="BL29" s="301">
        <f t="shared" si="39"/>
        <v>30.315256243112131</v>
      </c>
      <c r="BM29" s="104">
        <v>0</v>
      </c>
      <c r="BN29" s="302">
        <f t="shared" si="40"/>
        <v>30.315256243112131</v>
      </c>
    </row>
    <row r="30" spans="1:66">
      <c r="A30" s="873">
        <f>'Input data'!A60</f>
        <v>1960</v>
      </c>
      <c r="B30" s="865">
        <f>'Input data'!B60</f>
        <v>7.2819655999999995</v>
      </c>
      <c r="C30" s="865">
        <f>'Baseline data (from input)'!B16</f>
        <v>578.73</v>
      </c>
      <c r="D30" s="777">
        <f>'Baseline data (from input)'!T16</f>
        <v>0.8</v>
      </c>
      <c r="E30" s="777">
        <f t="shared" si="41"/>
        <v>0.24001298204245269</v>
      </c>
      <c r="F30" s="777">
        <f t="shared" si="42"/>
        <v>0.30440139352934503</v>
      </c>
      <c r="G30" s="777">
        <f t="shared" si="43"/>
        <v>5.8998240613430578E-2</v>
      </c>
      <c r="H30" s="777">
        <f t="shared" si="44"/>
        <v>0</v>
      </c>
      <c r="I30" s="777">
        <f t="shared" si="45"/>
        <v>0</v>
      </c>
      <c r="J30" s="777">
        <f t="shared" si="46"/>
        <v>0</v>
      </c>
      <c r="K30" s="777">
        <f t="shared" si="47"/>
        <v>0.39658738381477154</v>
      </c>
      <c r="L30" s="874">
        <f t="shared" si="48"/>
        <v>0.99999999999999989</v>
      </c>
      <c r="M30" s="102"/>
      <c r="N30" s="914">
        <f t="shared" si="1"/>
        <v>3371.4335613504004</v>
      </c>
      <c r="O30" s="907">
        <f>Parameters!R131</f>
        <v>0.73</v>
      </c>
      <c r="P30" s="90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906">
        <f t="shared" si="2"/>
        <v>148.26133839658939</v>
      </c>
      <c r="R30" s="906">
        <f t="shared" si="3"/>
        <v>148.26133839658939</v>
      </c>
      <c r="S30" s="286">
        <f t="shared" si="4"/>
        <v>0</v>
      </c>
      <c r="T30" s="906">
        <f t="shared" si="5"/>
        <v>1129.0894002227799</v>
      </c>
      <c r="U30" s="906">
        <f t="shared" si="6"/>
        <v>50.288130086199466</v>
      </c>
      <c r="V30" s="1072">
        <f t="shared" si="7"/>
        <v>33.525420057466313</v>
      </c>
      <c r="W30" s="1450">
        <f t="shared" si="8"/>
        <v>0.13527885904981399</v>
      </c>
      <c r="X30" s="914">
        <f>'Baseline data (from input)'!AS16*W30</f>
        <v>0</v>
      </c>
      <c r="Y30" s="907">
        <f>Parameters!S131</f>
        <v>0.71500000000000008</v>
      </c>
      <c r="Z30" s="907">
        <f t="shared" si="9"/>
        <v>0.4</v>
      </c>
      <c r="AA30" s="906">
        <f t="shared" si="10"/>
        <v>0</v>
      </c>
      <c r="AB30" s="906">
        <f t="shared" si="11"/>
        <v>0</v>
      </c>
      <c r="AC30" s="286">
        <f t="shared" si="12"/>
        <v>0</v>
      </c>
      <c r="AD30" s="906">
        <f t="shared" si="13"/>
        <v>0</v>
      </c>
      <c r="AE30" s="906">
        <f t="shared" si="14"/>
        <v>0</v>
      </c>
      <c r="AF30" s="1072">
        <f t="shared" si="15"/>
        <v>0</v>
      </c>
      <c r="AG30" s="1448">
        <f t="shared" si="16"/>
        <v>0.13527885904981399</v>
      </c>
      <c r="AH30" s="914">
        <f>'Baseline data (from input)'!AS16*AG30</f>
        <v>0</v>
      </c>
      <c r="AI30" s="907">
        <f>Parameters!S131</f>
        <v>0.71500000000000008</v>
      </c>
      <c r="AJ30" s="907">
        <f t="shared" si="17"/>
        <v>0.4</v>
      </c>
      <c r="AK30" s="906">
        <f t="shared" si="18"/>
        <v>0</v>
      </c>
      <c r="AL30" s="906">
        <f t="shared" si="19"/>
        <v>0</v>
      </c>
      <c r="AM30" s="286">
        <f t="shared" si="20"/>
        <v>0</v>
      </c>
      <c r="AN30" s="906">
        <f t="shared" si="21"/>
        <v>0</v>
      </c>
      <c r="AO30" s="906">
        <f t="shared" si="22"/>
        <v>0</v>
      </c>
      <c r="AP30" s="1072">
        <f t="shared" si="23"/>
        <v>0</v>
      </c>
      <c r="AR30" s="914">
        <v>0</v>
      </c>
      <c r="AS30" s="907">
        <v>1</v>
      </c>
      <c r="AT30" s="907">
        <f t="shared" si="24"/>
        <v>0.05</v>
      </c>
      <c r="AU30" s="906">
        <f t="shared" si="25"/>
        <v>0</v>
      </c>
      <c r="AV30" s="906">
        <f t="shared" si="26"/>
        <v>0</v>
      </c>
      <c r="AW30" s="286">
        <f t="shared" si="27"/>
        <v>0</v>
      </c>
      <c r="AX30" s="922">
        <f t="shared" si="28"/>
        <v>0</v>
      </c>
      <c r="AY30" s="922">
        <f t="shared" si="29"/>
        <v>0</v>
      </c>
      <c r="AZ30" s="1072">
        <f t="shared" si="30"/>
        <v>0</v>
      </c>
      <c r="BB30" s="300">
        <f t="shared" si="31"/>
        <v>33.525420057466313</v>
      </c>
      <c r="BC30" s="301">
        <f t="shared" si="32"/>
        <v>0</v>
      </c>
      <c r="BD30" s="1080">
        <f t="shared" si="33"/>
        <v>0</v>
      </c>
      <c r="BE30" s="301">
        <f t="shared" si="34"/>
        <v>33.525420057466313</v>
      </c>
      <c r="BF30" s="104">
        <v>0</v>
      </c>
      <c r="BG30" s="302">
        <f t="shared" si="35"/>
        <v>33.525420057466313</v>
      </c>
      <c r="BI30" s="300">
        <f t="shared" si="36"/>
        <v>33.525420057466313</v>
      </c>
      <c r="BJ30" s="301">
        <f t="shared" si="37"/>
        <v>0</v>
      </c>
      <c r="BK30" s="1080">
        <f t="shared" si="38"/>
        <v>0</v>
      </c>
      <c r="BL30" s="301">
        <f t="shared" si="39"/>
        <v>33.525420057466313</v>
      </c>
      <c r="BM30" s="104">
        <v>0</v>
      </c>
      <c r="BN30" s="302">
        <f t="shared" si="40"/>
        <v>33.525420057466313</v>
      </c>
    </row>
    <row r="31" spans="1:66">
      <c r="A31" s="873">
        <f>'Input data'!A61</f>
        <v>1961</v>
      </c>
      <c r="B31" s="865">
        <f>'Input data'!B61</f>
        <v>7.6498422000000001</v>
      </c>
      <c r="C31" s="865">
        <f>'Baseline data (from input)'!B17</f>
        <v>578.73</v>
      </c>
      <c r="D31" s="777">
        <f>'Baseline data (from input)'!T17</f>
        <v>0.8</v>
      </c>
      <c r="E31" s="777">
        <f t="shared" si="41"/>
        <v>0.24001298204245269</v>
      </c>
      <c r="F31" s="777">
        <f t="shared" si="42"/>
        <v>0.30440139352934503</v>
      </c>
      <c r="G31" s="777">
        <f t="shared" si="43"/>
        <v>5.8998240613430578E-2</v>
      </c>
      <c r="H31" s="777">
        <f t="shared" si="44"/>
        <v>0</v>
      </c>
      <c r="I31" s="777">
        <f t="shared" si="45"/>
        <v>0</v>
      </c>
      <c r="J31" s="777">
        <f t="shared" si="46"/>
        <v>0</v>
      </c>
      <c r="K31" s="777">
        <f t="shared" si="47"/>
        <v>0.39658738381477154</v>
      </c>
      <c r="L31" s="874">
        <f t="shared" si="48"/>
        <v>0.99999999999999989</v>
      </c>
      <c r="M31" s="102"/>
      <c r="N31" s="914">
        <f t="shared" si="1"/>
        <v>3541.7545411248002</v>
      </c>
      <c r="O31" s="907">
        <f>Parameters!R132</f>
        <v>0.73</v>
      </c>
      <c r="P31" s="90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906">
        <f t="shared" si="2"/>
        <v>155.7513321807933</v>
      </c>
      <c r="R31" s="906">
        <f t="shared" si="3"/>
        <v>155.7513321807933</v>
      </c>
      <c r="S31" s="286">
        <f t="shared" si="4"/>
        <v>0</v>
      </c>
      <c r="T31" s="906">
        <f t="shared" si="5"/>
        <v>1229.7743925645646</v>
      </c>
      <c r="U31" s="906">
        <f t="shared" si="6"/>
        <v>55.066339839008613</v>
      </c>
      <c r="V31" s="1072">
        <f t="shared" si="7"/>
        <v>36.710893226005744</v>
      </c>
      <c r="W31" s="1450">
        <f t="shared" si="8"/>
        <v>0.13527885904981399</v>
      </c>
      <c r="X31" s="914">
        <f>'Baseline data (from input)'!AS17*W31</f>
        <v>2020.7298116560614</v>
      </c>
      <c r="Y31" s="907">
        <f>Parameters!S132</f>
        <v>0.71500000000000008</v>
      </c>
      <c r="Z31" s="907">
        <f t="shared" si="9"/>
        <v>0.4</v>
      </c>
      <c r="AA31" s="906">
        <f t="shared" si="10"/>
        <v>288.96436306681687</v>
      </c>
      <c r="AB31" s="906">
        <f t="shared" si="11"/>
        <v>288.96436306681687</v>
      </c>
      <c r="AC31" s="286">
        <f t="shared" si="12"/>
        <v>0</v>
      </c>
      <c r="AD31" s="906">
        <f t="shared" si="13"/>
        <v>288.96436306681687</v>
      </c>
      <c r="AE31" s="906">
        <f t="shared" si="14"/>
        <v>0</v>
      </c>
      <c r="AF31" s="1072">
        <f t="shared" si="15"/>
        <v>0</v>
      </c>
      <c r="AG31" s="1448">
        <f t="shared" si="16"/>
        <v>0.13527885904981399</v>
      </c>
      <c r="AH31" s="914">
        <f>'Baseline data (from input)'!AS17*AG31</f>
        <v>2020.7298116560614</v>
      </c>
      <c r="AI31" s="907">
        <f>Parameters!S132</f>
        <v>0.71500000000000008</v>
      </c>
      <c r="AJ31" s="907">
        <f t="shared" si="17"/>
        <v>0.4</v>
      </c>
      <c r="AK31" s="906">
        <f t="shared" si="18"/>
        <v>288.96436306681687</v>
      </c>
      <c r="AL31" s="906">
        <f t="shared" si="19"/>
        <v>288.96436306681687</v>
      </c>
      <c r="AM31" s="286">
        <f t="shared" si="20"/>
        <v>0</v>
      </c>
      <c r="AN31" s="906">
        <f t="shared" si="21"/>
        <v>288.96436306681687</v>
      </c>
      <c r="AO31" s="906">
        <f t="shared" si="22"/>
        <v>0</v>
      </c>
      <c r="AP31" s="1072">
        <f t="shared" si="23"/>
        <v>0</v>
      </c>
      <c r="AR31" s="914">
        <v>0</v>
      </c>
      <c r="AS31" s="907">
        <v>1</v>
      </c>
      <c r="AT31" s="907">
        <f t="shared" si="24"/>
        <v>0.05</v>
      </c>
      <c r="AU31" s="906">
        <f t="shared" si="25"/>
        <v>0</v>
      </c>
      <c r="AV31" s="906">
        <f t="shared" si="26"/>
        <v>0</v>
      </c>
      <c r="AW31" s="286">
        <f t="shared" si="27"/>
        <v>0</v>
      </c>
      <c r="AX31" s="922">
        <f t="shared" si="28"/>
        <v>0</v>
      </c>
      <c r="AY31" s="922">
        <f t="shared" si="29"/>
        <v>0</v>
      </c>
      <c r="AZ31" s="1072">
        <f t="shared" si="30"/>
        <v>0</v>
      </c>
      <c r="BB31" s="300">
        <f t="shared" si="31"/>
        <v>36.710893226005744</v>
      </c>
      <c r="BC31" s="301">
        <f t="shared" si="32"/>
        <v>0</v>
      </c>
      <c r="BD31" s="1080">
        <f t="shared" si="33"/>
        <v>0</v>
      </c>
      <c r="BE31" s="301">
        <f t="shared" si="34"/>
        <v>36.710893226005744</v>
      </c>
      <c r="BF31" s="104">
        <v>0</v>
      </c>
      <c r="BG31" s="302">
        <f t="shared" si="35"/>
        <v>36.710893226005744</v>
      </c>
      <c r="BI31" s="300">
        <f t="shared" si="36"/>
        <v>36.710893226005744</v>
      </c>
      <c r="BJ31" s="301">
        <f t="shared" si="37"/>
        <v>0</v>
      </c>
      <c r="BK31" s="1080">
        <f t="shared" si="38"/>
        <v>0</v>
      </c>
      <c r="BL31" s="301">
        <f t="shared" si="39"/>
        <v>36.710893226005744</v>
      </c>
      <c r="BM31" s="104">
        <v>0</v>
      </c>
      <c r="BN31" s="302">
        <f t="shared" si="40"/>
        <v>36.710893226005744</v>
      </c>
    </row>
    <row r="32" spans="1:66">
      <c r="A32" s="873">
        <f>'Input data'!A62</f>
        <v>1962</v>
      </c>
      <c r="B32" s="865">
        <f>'Input data'!B62</f>
        <v>7.8559936000000006</v>
      </c>
      <c r="C32" s="865">
        <f>'Baseline data (from input)'!B18</f>
        <v>578.73</v>
      </c>
      <c r="D32" s="777">
        <f>'Baseline data (from input)'!T18</f>
        <v>0.8</v>
      </c>
      <c r="E32" s="777">
        <f t="shared" si="41"/>
        <v>0.24001298204245269</v>
      </c>
      <c r="F32" s="777">
        <f t="shared" si="42"/>
        <v>0.30440139352934503</v>
      </c>
      <c r="G32" s="777">
        <f t="shared" si="43"/>
        <v>5.8998240613430578E-2</v>
      </c>
      <c r="H32" s="777">
        <f t="shared" si="44"/>
        <v>0</v>
      </c>
      <c r="I32" s="777">
        <f t="shared" si="45"/>
        <v>0</v>
      </c>
      <c r="J32" s="777">
        <f t="shared" si="46"/>
        <v>0</v>
      </c>
      <c r="K32" s="777">
        <f t="shared" si="47"/>
        <v>0.39658738381477154</v>
      </c>
      <c r="L32" s="874">
        <f t="shared" si="48"/>
        <v>0.99999999999999989</v>
      </c>
      <c r="M32" s="102"/>
      <c r="N32" s="914">
        <f t="shared" si="1"/>
        <v>3637.1993409024008</v>
      </c>
      <c r="O32" s="907">
        <f>Parameters!R133</f>
        <v>0.73</v>
      </c>
      <c r="P32" s="90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906">
        <f t="shared" si="2"/>
        <v>159.94858937139728</v>
      </c>
      <c r="R32" s="906">
        <f t="shared" si="3"/>
        <v>159.94858937139728</v>
      </c>
      <c r="S32" s="286">
        <f t="shared" si="4"/>
        <v>0</v>
      </c>
      <c r="T32" s="906">
        <f t="shared" si="5"/>
        <v>1329.7461770763032</v>
      </c>
      <c r="U32" s="906">
        <f t="shared" si="6"/>
        <v>59.976804859658657</v>
      </c>
      <c r="V32" s="1072">
        <f t="shared" si="7"/>
        <v>39.984536573105771</v>
      </c>
      <c r="W32" s="1450">
        <f t="shared" si="8"/>
        <v>0.13527885904981399</v>
      </c>
      <c r="X32" s="914">
        <f>'Baseline data (from input)'!AS18*W32</f>
        <v>2145.5681370859866</v>
      </c>
      <c r="Y32" s="907">
        <f>Parameters!S133</f>
        <v>0.71500000000000008</v>
      </c>
      <c r="Z32" s="907">
        <f t="shared" si="9"/>
        <v>0.4</v>
      </c>
      <c r="AA32" s="906">
        <f t="shared" si="10"/>
        <v>306.81624360329613</v>
      </c>
      <c r="AB32" s="906">
        <f t="shared" si="11"/>
        <v>306.81624360329613</v>
      </c>
      <c r="AC32" s="286">
        <f t="shared" si="12"/>
        <v>0</v>
      </c>
      <c r="AD32" s="906">
        <f t="shared" si="13"/>
        <v>581.68764838455968</v>
      </c>
      <c r="AE32" s="906">
        <f t="shared" si="14"/>
        <v>14.092958285553278</v>
      </c>
      <c r="AF32" s="1072">
        <f t="shared" si="15"/>
        <v>9.3953055237021861</v>
      </c>
      <c r="AG32" s="1448">
        <f t="shared" si="16"/>
        <v>0.13527885904981399</v>
      </c>
      <c r="AH32" s="914">
        <f>'Baseline data (from input)'!AS18*AG32</f>
        <v>2145.5681370859866</v>
      </c>
      <c r="AI32" s="907">
        <f>Parameters!S133</f>
        <v>0.71500000000000008</v>
      </c>
      <c r="AJ32" s="907">
        <f t="shared" si="17"/>
        <v>0.4</v>
      </c>
      <c r="AK32" s="906">
        <f t="shared" si="18"/>
        <v>306.81624360329613</v>
      </c>
      <c r="AL32" s="906">
        <f t="shared" si="19"/>
        <v>306.81624360329613</v>
      </c>
      <c r="AM32" s="286">
        <f t="shared" si="20"/>
        <v>0</v>
      </c>
      <c r="AN32" s="906">
        <f t="shared" si="21"/>
        <v>581.68764838455968</v>
      </c>
      <c r="AO32" s="906">
        <f t="shared" si="22"/>
        <v>14.092958285553278</v>
      </c>
      <c r="AP32" s="1072">
        <f t="shared" si="23"/>
        <v>9.3953055237021861</v>
      </c>
      <c r="AR32" s="914">
        <v>0</v>
      </c>
      <c r="AS32" s="907">
        <v>1</v>
      </c>
      <c r="AT32" s="907">
        <f t="shared" si="24"/>
        <v>0.05</v>
      </c>
      <c r="AU32" s="906">
        <f t="shared" si="25"/>
        <v>0</v>
      </c>
      <c r="AV32" s="906">
        <f t="shared" si="26"/>
        <v>0</v>
      </c>
      <c r="AW32" s="286">
        <f t="shared" si="27"/>
        <v>0</v>
      </c>
      <c r="AX32" s="922">
        <f t="shared" si="28"/>
        <v>0</v>
      </c>
      <c r="AY32" s="922">
        <f t="shared" si="29"/>
        <v>0</v>
      </c>
      <c r="AZ32" s="1072">
        <f t="shared" si="30"/>
        <v>0</v>
      </c>
      <c r="BB32" s="300">
        <f t="shared" si="31"/>
        <v>39.984536573105771</v>
      </c>
      <c r="BC32" s="301">
        <f t="shared" si="32"/>
        <v>9.3953055237021861</v>
      </c>
      <c r="BD32" s="1080">
        <f t="shared" si="33"/>
        <v>0</v>
      </c>
      <c r="BE32" s="301">
        <f t="shared" si="34"/>
        <v>49.379842096807955</v>
      </c>
      <c r="BF32" s="104">
        <v>0</v>
      </c>
      <c r="BG32" s="302">
        <f t="shared" si="35"/>
        <v>49.379842096807955</v>
      </c>
      <c r="BI32" s="300">
        <f t="shared" si="36"/>
        <v>39.984536573105771</v>
      </c>
      <c r="BJ32" s="301">
        <f t="shared" si="37"/>
        <v>9.3953055237021861</v>
      </c>
      <c r="BK32" s="1080">
        <f t="shared" si="38"/>
        <v>0</v>
      </c>
      <c r="BL32" s="301">
        <f t="shared" si="39"/>
        <v>49.379842096807955</v>
      </c>
      <c r="BM32" s="104">
        <v>0</v>
      </c>
      <c r="BN32" s="302">
        <f t="shared" si="40"/>
        <v>49.379842096807955</v>
      </c>
    </row>
    <row r="33" spans="1:66">
      <c r="A33" s="127">
        <f>'Input data'!A63</f>
        <v>1963</v>
      </c>
      <c r="B33" s="866">
        <f>'Input data'!B63</f>
        <v>8.062145000000001</v>
      </c>
      <c r="C33" s="866">
        <f>'Baseline data (from input)'!B19</f>
        <v>578.73</v>
      </c>
      <c r="D33" s="777">
        <f>'Baseline data (from input)'!T19</f>
        <v>0.8</v>
      </c>
      <c r="E33" s="777">
        <f t="shared" si="41"/>
        <v>0.24001298204245269</v>
      </c>
      <c r="F33" s="777">
        <f t="shared" si="42"/>
        <v>0.30440139352934503</v>
      </c>
      <c r="G33" s="777">
        <f t="shared" si="43"/>
        <v>5.8998240613430578E-2</v>
      </c>
      <c r="H33" s="777">
        <f t="shared" si="44"/>
        <v>0</v>
      </c>
      <c r="I33" s="777">
        <f t="shared" si="45"/>
        <v>0</v>
      </c>
      <c r="J33" s="777">
        <f t="shared" si="46"/>
        <v>0</v>
      </c>
      <c r="K33" s="777">
        <f t="shared" si="47"/>
        <v>0.39658738381477154</v>
      </c>
      <c r="L33" s="874">
        <f t="shared" si="48"/>
        <v>0.99999999999999989</v>
      </c>
      <c r="M33" s="101"/>
      <c r="N33" s="300">
        <f t="shared" si="1"/>
        <v>3732.6441406800004</v>
      </c>
      <c r="O33" s="908">
        <f>Parameters!R134</f>
        <v>0.73</v>
      </c>
      <c r="P33" s="908">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906">
        <f t="shared" si="2"/>
        <v>164.14584656200122</v>
      </c>
      <c r="R33" s="906">
        <f t="shared" si="3"/>
        <v>164.14584656200122</v>
      </c>
      <c r="S33" s="286">
        <f t="shared" si="4"/>
        <v>0</v>
      </c>
      <c r="T33" s="906">
        <f t="shared" si="5"/>
        <v>1429.0395373143176</v>
      </c>
      <c r="U33" s="906">
        <f t="shared" si="6"/>
        <v>64.852486323986753</v>
      </c>
      <c r="V33" s="1072">
        <f t="shared" si="7"/>
        <v>43.234990882657833</v>
      </c>
      <c r="W33" s="1450">
        <f t="shared" si="8"/>
        <v>0.13527885904981399</v>
      </c>
      <c r="X33" s="914">
        <f>'Baseline data (from input)'!AS19*W33</f>
        <v>2303.7740235530446</v>
      </c>
      <c r="Y33" s="907">
        <f>Parameters!S134</f>
        <v>0.71500000000000008</v>
      </c>
      <c r="Z33" s="907">
        <f t="shared" si="9"/>
        <v>0.4</v>
      </c>
      <c r="AA33" s="906">
        <f t="shared" si="10"/>
        <v>329.43968536808541</v>
      </c>
      <c r="AB33" s="906">
        <f t="shared" si="11"/>
        <v>329.43968536808541</v>
      </c>
      <c r="AC33" s="286">
        <f t="shared" si="12"/>
        <v>0</v>
      </c>
      <c r="AD33" s="906">
        <f t="shared" si="13"/>
        <v>882.75809238010379</v>
      </c>
      <c r="AE33" s="906">
        <f t="shared" si="14"/>
        <v>28.369241372541286</v>
      </c>
      <c r="AF33" s="1072">
        <f t="shared" si="15"/>
        <v>18.912827581694192</v>
      </c>
      <c r="AG33" s="1448">
        <f t="shared" si="16"/>
        <v>0.13527885904981399</v>
      </c>
      <c r="AH33" s="914">
        <f>'Baseline data (from input)'!AS19*AG33</f>
        <v>2303.7740235530446</v>
      </c>
      <c r="AI33" s="907">
        <f>Parameters!S134</f>
        <v>0.71500000000000008</v>
      </c>
      <c r="AJ33" s="907">
        <f t="shared" si="17"/>
        <v>0.4</v>
      </c>
      <c r="AK33" s="906">
        <f t="shared" si="18"/>
        <v>329.43968536808541</v>
      </c>
      <c r="AL33" s="906">
        <f t="shared" si="19"/>
        <v>329.43968536808541</v>
      </c>
      <c r="AM33" s="286">
        <f t="shared" si="20"/>
        <v>0</v>
      </c>
      <c r="AN33" s="906">
        <f t="shared" si="21"/>
        <v>882.75809238010379</v>
      </c>
      <c r="AO33" s="906">
        <f t="shared" si="22"/>
        <v>28.369241372541286</v>
      </c>
      <c r="AP33" s="1072">
        <f t="shared" si="23"/>
        <v>18.912827581694192</v>
      </c>
      <c r="AR33" s="914">
        <v>0</v>
      </c>
      <c r="AS33" s="907">
        <v>1</v>
      </c>
      <c r="AT33" s="907">
        <f t="shared" si="24"/>
        <v>0.05</v>
      </c>
      <c r="AU33" s="906">
        <f t="shared" si="25"/>
        <v>0</v>
      </c>
      <c r="AV33" s="906">
        <f t="shared" si="26"/>
        <v>0</v>
      </c>
      <c r="AW33" s="286">
        <f t="shared" si="27"/>
        <v>0</v>
      </c>
      <c r="AX33" s="922">
        <f t="shared" si="28"/>
        <v>0</v>
      </c>
      <c r="AY33" s="922">
        <f t="shared" si="29"/>
        <v>0</v>
      </c>
      <c r="AZ33" s="1072">
        <f t="shared" si="30"/>
        <v>0</v>
      </c>
      <c r="BB33" s="300">
        <f t="shared" si="31"/>
        <v>43.234990882657833</v>
      </c>
      <c r="BC33" s="301">
        <f t="shared" si="32"/>
        <v>18.912827581694192</v>
      </c>
      <c r="BD33" s="1080">
        <f t="shared" si="33"/>
        <v>0</v>
      </c>
      <c r="BE33" s="301">
        <f t="shared" si="34"/>
        <v>62.147818464352028</v>
      </c>
      <c r="BF33" s="104">
        <v>0</v>
      </c>
      <c r="BG33" s="302">
        <f t="shared" si="35"/>
        <v>62.147818464352028</v>
      </c>
      <c r="BI33" s="300">
        <f t="shared" si="36"/>
        <v>43.234990882657833</v>
      </c>
      <c r="BJ33" s="301">
        <f t="shared" si="37"/>
        <v>18.912827581694192</v>
      </c>
      <c r="BK33" s="1080">
        <f t="shared" si="38"/>
        <v>0</v>
      </c>
      <c r="BL33" s="301">
        <f t="shared" si="39"/>
        <v>62.147818464352028</v>
      </c>
      <c r="BM33" s="104">
        <v>0</v>
      </c>
      <c r="BN33" s="302">
        <f t="shared" si="40"/>
        <v>62.147818464352028</v>
      </c>
    </row>
    <row r="34" spans="1:66">
      <c r="A34" s="127">
        <f>'Input data'!A64</f>
        <v>1964</v>
      </c>
      <c r="B34" s="866">
        <f>'Input data'!B64</f>
        <v>8.2682964000000005</v>
      </c>
      <c r="C34" s="866">
        <f>'Baseline data (from input)'!B20</f>
        <v>578.73</v>
      </c>
      <c r="D34" s="777">
        <f>'Baseline data (from input)'!T20</f>
        <v>0.8</v>
      </c>
      <c r="E34" s="777">
        <f t="shared" si="41"/>
        <v>0.24001298204245269</v>
      </c>
      <c r="F34" s="777">
        <f t="shared" si="42"/>
        <v>0.30440139352934503</v>
      </c>
      <c r="G34" s="777">
        <f t="shared" si="43"/>
        <v>5.8998240613430578E-2</v>
      </c>
      <c r="H34" s="777">
        <f t="shared" si="44"/>
        <v>0</v>
      </c>
      <c r="I34" s="777">
        <f t="shared" si="45"/>
        <v>0</v>
      </c>
      <c r="J34" s="777">
        <f t="shared" si="46"/>
        <v>0</v>
      </c>
      <c r="K34" s="777">
        <f t="shared" si="47"/>
        <v>0.39658738381477154</v>
      </c>
      <c r="L34" s="874">
        <f t="shared" si="48"/>
        <v>0.99999999999999989</v>
      </c>
      <c r="N34" s="300">
        <f t="shared" si="1"/>
        <v>3828.0889404576005</v>
      </c>
      <c r="O34" s="908">
        <f>Parameters!R135</f>
        <v>0.73</v>
      </c>
      <c r="P34" s="908">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906">
        <f t="shared" si="2"/>
        <v>168.34310375260517</v>
      </c>
      <c r="R34" s="906">
        <f t="shared" si="3"/>
        <v>168.34310375260517</v>
      </c>
      <c r="S34" s="286">
        <f t="shared" si="4"/>
        <v>0</v>
      </c>
      <c r="T34" s="906">
        <f t="shared" si="5"/>
        <v>1527.6875604208701</v>
      </c>
      <c r="U34" s="906">
        <f t="shared" si="6"/>
        <v>69.695080646052631</v>
      </c>
      <c r="V34" s="1072">
        <f t="shared" si="7"/>
        <v>46.463387097368418</v>
      </c>
      <c r="W34" s="1450">
        <f t="shared" si="8"/>
        <v>0.13527885904981399</v>
      </c>
      <c r="X34" s="914">
        <f>'Baseline data (from input)'!AS20*W34</f>
        <v>2486.6886511702933</v>
      </c>
      <c r="Y34" s="907">
        <f>Parameters!S135</f>
        <v>0.71500000000000008</v>
      </c>
      <c r="Z34" s="907">
        <f t="shared" si="9"/>
        <v>0.4</v>
      </c>
      <c r="AA34" s="906">
        <f t="shared" si="10"/>
        <v>355.59647711735198</v>
      </c>
      <c r="AB34" s="906">
        <f t="shared" si="11"/>
        <v>355.59647711735198</v>
      </c>
      <c r="AC34" s="286">
        <f t="shared" si="12"/>
        <v>0</v>
      </c>
      <c r="AD34" s="906">
        <f t="shared" si="13"/>
        <v>1195.3019493054262</v>
      </c>
      <c r="AE34" s="906">
        <f t="shared" si="14"/>
        <v>43.052620192029522</v>
      </c>
      <c r="AF34" s="1072">
        <f t="shared" si="15"/>
        <v>28.701746794686347</v>
      </c>
      <c r="AG34" s="1448">
        <f t="shared" si="16"/>
        <v>0.13527885904981399</v>
      </c>
      <c r="AH34" s="914">
        <f>'Baseline data (from input)'!AS20*AG34</f>
        <v>2486.6886511702933</v>
      </c>
      <c r="AI34" s="907">
        <f>Parameters!S135</f>
        <v>0.71500000000000008</v>
      </c>
      <c r="AJ34" s="907">
        <f t="shared" si="17"/>
        <v>0.4</v>
      </c>
      <c r="AK34" s="906">
        <f t="shared" si="18"/>
        <v>355.59647711735198</v>
      </c>
      <c r="AL34" s="906">
        <f t="shared" si="19"/>
        <v>355.59647711735198</v>
      </c>
      <c r="AM34" s="286">
        <f t="shared" si="20"/>
        <v>0</v>
      </c>
      <c r="AN34" s="906">
        <f t="shared" si="21"/>
        <v>1195.3019493054262</v>
      </c>
      <c r="AO34" s="906">
        <f t="shared" si="22"/>
        <v>43.052620192029522</v>
      </c>
      <c r="AP34" s="1072">
        <f t="shared" si="23"/>
        <v>28.701746794686347</v>
      </c>
      <c r="AR34" s="914">
        <v>0</v>
      </c>
      <c r="AS34" s="907">
        <v>1</v>
      </c>
      <c r="AT34" s="907">
        <f t="shared" si="24"/>
        <v>0.05</v>
      </c>
      <c r="AU34" s="906">
        <f t="shared" si="25"/>
        <v>0</v>
      </c>
      <c r="AV34" s="906">
        <f t="shared" si="26"/>
        <v>0</v>
      </c>
      <c r="AW34" s="286">
        <f t="shared" si="27"/>
        <v>0</v>
      </c>
      <c r="AX34" s="922">
        <f t="shared" si="28"/>
        <v>0</v>
      </c>
      <c r="AY34" s="922">
        <f t="shared" si="29"/>
        <v>0</v>
      </c>
      <c r="AZ34" s="1072">
        <f t="shared" si="30"/>
        <v>0</v>
      </c>
      <c r="BB34" s="300">
        <f t="shared" si="31"/>
        <v>46.463387097368418</v>
      </c>
      <c r="BC34" s="301">
        <f t="shared" si="32"/>
        <v>28.701746794686347</v>
      </c>
      <c r="BD34" s="1080">
        <f t="shared" si="33"/>
        <v>0</v>
      </c>
      <c r="BE34" s="301">
        <f t="shared" si="34"/>
        <v>75.165133892054769</v>
      </c>
      <c r="BF34" s="104">
        <v>0</v>
      </c>
      <c r="BG34" s="302">
        <f t="shared" si="35"/>
        <v>75.165133892054769</v>
      </c>
      <c r="BI34" s="300">
        <f t="shared" si="36"/>
        <v>46.463387097368418</v>
      </c>
      <c r="BJ34" s="301">
        <f t="shared" si="37"/>
        <v>28.701746794686347</v>
      </c>
      <c r="BK34" s="1080">
        <f t="shared" si="38"/>
        <v>0</v>
      </c>
      <c r="BL34" s="301">
        <f t="shared" si="39"/>
        <v>75.165133892054769</v>
      </c>
      <c r="BM34" s="104">
        <v>0</v>
      </c>
      <c r="BN34" s="302">
        <f t="shared" si="40"/>
        <v>75.165133892054769</v>
      </c>
    </row>
    <row r="35" spans="1:66">
      <c r="A35" s="127">
        <f>'Input data'!A65</f>
        <v>1965</v>
      </c>
      <c r="B35" s="866">
        <f>'Input data'!B65</f>
        <v>8.4744478000000001</v>
      </c>
      <c r="C35" s="866">
        <f>'Baseline data (from input)'!B21</f>
        <v>578.73</v>
      </c>
      <c r="D35" s="777">
        <f>'Baseline data (from input)'!T21</f>
        <v>0.8</v>
      </c>
      <c r="E35" s="777">
        <f t="shared" si="41"/>
        <v>0.24001298204245269</v>
      </c>
      <c r="F35" s="777">
        <f t="shared" si="42"/>
        <v>0.30440139352934503</v>
      </c>
      <c r="G35" s="777">
        <f t="shared" si="43"/>
        <v>5.8998240613430578E-2</v>
      </c>
      <c r="H35" s="777">
        <f t="shared" si="44"/>
        <v>0</v>
      </c>
      <c r="I35" s="777">
        <f t="shared" si="45"/>
        <v>0</v>
      </c>
      <c r="J35" s="777">
        <f t="shared" si="46"/>
        <v>0</v>
      </c>
      <c r="K35" s="777">
        <f t="shared" si="47"/>
        <v>0.39658738381477154</v>
      </c>
      <c r="L35" s="874">
        <f t="shared" si="48"/>
        <v>0.99999999999999989</v>
      </c>
      <c r="N35" s="300">
        <f t="shared" si="1"/>
        <v>3923.5337402352002</v>
      </c>
      <c r="O35" s="908">
        <f>Parameters!R136</f>
        <v>0.73</v>
      </c>
      <c r="P35" s="908">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906">
        <f t="shared" si="2"/>
        <v>172.54036094320912</v>
      </c>
      <c r="R35" s="906">
        <f t="shared" si="3"/>
        <v>172.54036094320912</v>
      </c>
      <c r="S35" s="286">
        <f t="shared" si="4"/>
        <v>0</v>
      </c>
      <c r="T35" s="906">
        <f t="shared" si="5"/>
        <v>1625.7217198592532</v>
      </c>
      <c r="U35" s="906">
        <f t="shared" si="6"/>
        <v>74.506201504826066</v>
      </c>
      <c r="V35" s="1072">
        <f t="shared" si="7"/>
        <v>49.670801003217377</v>
      </c>
      <c r="W35" s="1450">
        <f t="shared" si="8"/>
        <v>0.13527885904981399</v>
      </c>
      <c r="X35" s="914">
        <f>'Baseline data (from input)'!AS21*W35</f>
        <v>2638.9426497936029</v>
      </c>
      <c r="Y35" s="907">
        <f>Parameters!S136</f>
        <v>0.71500000000000008</v>
      </c>
      <c r="Z35" s="907">
        <f t="shared" si="9"/>
        <v>0.4</v>
      </c>
      <c r="AA35" s="906">
        <f t="shared" si="10"/>
        <v>377.36879892048523</v>
      </c>
      <c r="AB35" s="906">
        <f t="shared" si="11"/>
        <v>377.36879892048523</v>
      </c>
      <c r="AC35" s="286">
        <f t="shared" si="12"/>
        <v>0</v>
      </c>
      <c r="AD35" s="906">
        <f t="shared" si="13"/>
        <v>1514.3751842628674</v>
      </c>
      <c r="AE35" s="906">
        <f t="shared" si="14"/>
        <v>58.295563963043996</v>
      </c>
      <c r="AF35" s="1072">
        <f t="shared" si="15"/>
        <v>38.863709308695995</v>
      </c>
      <c r="AG35" s="1448">
        <f t="shared" si="16"/>
        <v>0.13527885904981399</v>
      </c>
      <c r="AH35" s="914">
        <f>'Baseline data (from input)'!AS21*AG35</f>
        <v>2638.9426497936029</v>
      </c>
      <c r="AI35" s="907">
        <f>Parameters!S136</f>
        <v>0.71500000000000008</v>
      </c>
      <c r="AJ35" s="907">
        <f t="shared" si="17"/>
        <v>0.4</v>
      </c>
      <c r="AK35" s="906">
        <f t="shared" si="18"/>
        <v>377.36879892048523</v>
      </c>
      <c r="AL35" s="906">
        <f t="shared" si="19"/>
        <v>377.36879892048523</v>
      </c>
      <c r="AM35" s="286">
        <f t="shared" si="20"/>
        <v>0</v>
      </c>
      <c r="AN35" s="906">
        <f t="shared" si="21"/>
        <v>1514.3751842628674</v>
      </c>
      <c r="AO35" s="906">
        <f t="shared" si="22"/>
        <v>58.295563963043996</v>
      </c>
      <c r="AP35" s="1072">
        <f t="shared" si="23"/>
        <v>38.863709308695995</v>
      </c>
      <c r="AR35" s="914">
        <v>0</v>
      </c>
      <c r="AS35" s="907">
        <v>1</v>
      </c>
      <c r="AT35" s="907">
        <f t="shared" si="24"/>
        <v>0.05</v>
      </c>
      <c r="AU35" s="906">
        <f t="shared" si="25"/>
        <v>0</v>
      </c>
      <c r="AV35" s="906">
        <f t="shared" si="26"/>
        <v>0</v>
      </c>
      <c r="AW35" s="286">
        <f t="shared" si="27"/>
        <v>0</v>
      </c>
      <c r="AX35" s="922">
        <f t="shared" si="28"/>
        <v>0</v>
      </c>
      <c r="AY35" s="922">
        <f t="shared" si="29"/>
        <v>0</v>
      </c>
      <c r="AZ35" s="1072">
        <f t="shared" si="30"/>
        <v>0</v>
      </c>
      <c r="BB35" s="300">
        <f t="shared" si="31"/>
        <v>49.670801003217377</v>
      </c>
      <c r="BC35" s="301">
        <f t="shared" si="32"/>
        <v>38.863709308695995</v>
      </c>
      <c r="BD35" s="1080">
        <f t="shared" si="33"/>
        <v>0</v>
      </c>
      <c r="BE35" s="301">
        <f t="shared" si="34"/>
        <v>88.53451031191338</v>
      </c>
      <c r="BF35" s="104">
        <v>0</v>
      </c>
      <c r="BG35" s="302">
        <f t="shared" si="35"/>
        <v>88.53451031191338</v>
      </c>
      <c r="BI35" s="300">
        <f t="shared" si="36"/>
        <v>49.670801003217377</v>
      </c>
      <c r="BJ35" s="301">
        <f t="shared" si="37"/>
        <v>38.863709308695995</v>
      </c>
      <c r="BK35" s="1080">
        <f t="shared" si="38"/>
        <v>0</v>
      </c>
      <c r="BL35" s="301">
        <f t="shared" si="39"/>
        <v>88.53451031191338</v>
      </c>
      <c r="BM35" s="104">
        <v>0</v>
      </c>
      <c r="BN35" s="302">
        <f t="shared" si="40"/>
        <v>88.53451031191338</v>
      </c>
    </row>
    <row r="36" spans="1:66">
      <c r="A36" s="127">
        <f>'Input data'!A66</f>
        <v>1966</v>
      </c>
      <c r="B36" s="866">
        <f>'Input data'!B66</f>
        <v>8.7407319999999995</v>
      </c>
      <c r="C36" s="866">
        <f>'Baseline data (from input)'!B22</f>
        <v>578.73</v>
      </c>
      <c r="D36" s="777">
        <f>'Baseline data (from input)'!T22</f>
        <v>0.8</v>
      </c>
      <c r="E36" s="777">
        <f t="shared" si="41"/>
        <v>0.24001298204245269</v>
      </c>
      <c r="F36" s="777">
        <f t="shared" si="42"/>
        <v>0.30440139352934503</v>
      </c>
      <c r="G36" s="777">
        <f t="shared" si="43"/>
        <v>5.8998240613430578E-2</v>
      </c>
      <c r="H36" s="777">
        <f t="shared" si="44"/>
        <v>0</v>
      </c>
      <c r="I36" s="777">
        <f t="shared" si="45"/>
        <v>0</v>
      </c>
      <c r="J36" s="777">
        <f t="shared" si="46"/>
        <v>0</v>
      </c>
      <c r="K36" s="777">
        <f t="shared" si="47"/>
        <v>0.39658738381477154</v>
      </c>
      <c r="L36" s="874">
        <f t="shared" si="48"/>
        <v>0.99999999999999989</v>
      </c>
      <c r="N36" s="300">
        <f t="shared" si="1"/>
        <v>4046.8190642879999</v>
      </c>
      <c r="O36" s="908">
        <f>Parameters!R137</f>
        <v>0.73</v>
      </c>
      <c r="P36" s="908">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906">
        <f t="shared" si="2"/>
        <v>177.96192622578405</v>
      </c>
      <c r="R36" s="906">
        <f t="shared" si="3"/>
        <v>177.96192622578405</v>
      </c>
      <c r="S36" s="286">
        <f t="shared" si="4"/>
        <v>0</v>
      </c>
      <c r="T36" s="906">
        <f t="shared" si="5"/>
        <v>1724.3962622058125</v>
      </c>
      <c r="U36" s="906">
        <f t="shared" si="6"/>
        <v>79.287383879224762</v>
      </c>
      <c r="V36" s="1072">
        <f t="shared" si="7"/>
        <v>52.858255919483177</v>
      </c>
      <c r="W36" s="1450">
        <f t="shared" si="8"/>
        <v>0.13527885904981399</v>
      </c>
      <c r="X36" s="914">
        <f>'Baseline data (from input)'!AS22*W36</f>
        <v>2756.0670595807815</v>
      </c>
      <c r="Y36" s="907">
        <f>Parameters!S137</f>
        <v>0.71500000000000008</v>
      </c>
      <c r="Z36" s="907">
        <f t="shared" si="9"/>
        <v>0.4</v>
      </c>
      <c r="AA36" s="906">
        <f t="shared" si="10"/>
        <v>394.11758952005187</v>
      </c>
      <c r="AB36" s="906">
        <f t="shared" si="11"/>
        <v>394.11758952005187</v>
      </c>
      <c r="AC36" s="286">
        <f t="shared" si="12"/>
        <v>0</v>
      </c>
      <c r="AD36" s="906">
        <f t="shared" si="13"/>
        <v>1834.6358245245819</v>
      </c>
      <c r="AE36" s="906">
        <f t="shared" si="14"/>
        <v>73.856949258337295</v>
      </c>
      <c r="AF36" s="1072">
        <f t="shared" si="15"/>
        <v>49.237966172224866</v>
      </c>
      <c r="AG36" s="1448">
        <f t="shared" si="16"/>
        <v>0.13527885904981399</v>
      </c>
      <c r="AH36" s="914">
        <f>'Baseline data (from input)'!AS22*AG36</f>
        <v>2756.0670595807815</v>
      </c>
      <c r="AI36" s="907">
        <f>Parameters!S137</f>
        <v>0.71500000000000008</v>
      </c>
      <c r="AJ36" s="907">
        <f t="shared" si="17"/>
        <v>0.4</v>
      </c>
      <c r="AK36" s="906">
        <f t="shared" si="18"/>
        <v>394.11758952005187</v>
      </c>
      <c r="AL36" s="906">
        <f t="shared" si="19"/>
        <v>394.11758952005187</v>
      </c>
      <c r="AM36" s="286">
        <f t="shared" si="20"/>
        <v>0</v>
      </c>
      <c r="AN36" s="906">
        <f t="shared" si="21"/>
        <v>1834.6358245245819</v>
      </c>
      <c r="AO36" s="906">
        <f t="shared" si="22"/>
        <v>73.856949258337295</v>
      </c>
      <c r="AP36" s="1072">
        <f t="shared" si="23"/>
        <v>49.237966172224866</v>
      </c>
      <c r="AR36" s="914">
        <v>0</v>
      </c>
      <c r="AS36" s="907">
        <v>1</v>
      </c>
      <c r="AT36" s="907">
        <f t="shared" si="24"/>
        <v>0.05</v>
      </c>
      <c r="AU36" s="906">
        <f t="shared" si="25"/>
        <v>0</v>
      </c>
      <c r="AV36" s="906">
        <f t="shared" si="26"/>
        <v>0</v>
      </c>
      <c r="AW36" s="286">
        <f t="shared" si="27"/>
        <v>0</v>
      </c>
      <c r="AX36" s="922">
        <f t="shared" si="28"/>
        <v>0</v>
      </c>
      <c r="AY36" s="922">
        <f t="shared" si="29"/>
        <v>0</v>
      </c>
      <c r="AZ36" s="1072">
        <f t="shared" si="30"/>
        <v>0</v>
      </c>
      <c r="BB36" s="300">
        <f t="shared" si="31"/>
        <v>52.858255919483177</v>
      </c>
      <c r="BC36" s="301">
        <f t="shared" si="32"/>
        <v>49.237966172224866</v>
      </c>
      <c r="BD36" s="1080">
        <f t="shared" si="33"/>
        <v>0</v>
      </c>
      <c r="BE36" s="301">
        <f t="shared" si="34"/>
        <v>102.09622209170804</v>
      </c>
      <c r="BF36" s="104">
        <v>0</v>
      </c>
      <c r="BG36" s="302">
        <f t="shared" si="35"/>
        <v>102.09622209170804</v>
      </c>
      <c r="BI36" s="300">
        <f t="shared" si="36"/>
        <v>52.858255919483177</v>
      </c>
      <c r="BJ36" s="301">
        <f t="shared" si="37"/>
        <v>49.237966172224866</v>
      </c>
      <c r="BK36" s="1080">
        <f t="shared" si="38"/>
        <v>0</v>
      </c>
      <c r="BL36" s="301">
        <f t="shared" si="39"/>
        <v>102.09622209170804</v>
      </c>
      <c r="BM36" s="104">
        <v>0</v>
      </c>
      <c r="BN36" s="302">
        <f t="shared" si="40"/>
        <v>102.09622209170804</v>
      </c>
    </row>
    <row r="37" spans="1:66">
      <c r="A37" s="127">
        <f>'Input data'!A67</f>
        <v>1967</v>
      </c>
      <c r="B37" s="866">
        <f>'Input data'!B67</f>
        <v>9.0098299199999996</v>
      </c>
      <c r="C37" s="866">
        <f>'Baseline data (from input)'!B23</f>
        <v>578.73</v>
      </c>
      <c r="D37" s="777">
        <f>'Baseline data (from input)'!T23</f>
        <v>0.8</v>
      </c>
      <c r="E37" s="777">
        <f t="shared" si="41"/>
        <v>0.24001298204245269</v>
      </c>
      <c r="F37" s="777">
        <f t="shared" si="42"/>
        <v>0.30440139352934503</v>
      </c>
      <c r="G37" s="777">
        <f t="shared" si="43"/>
        <v>5.8998240613430578E-2</v>
      </c>
      <c r="H37" s="777">
        <f t="shared" si="44"/>
        <v>0</v>
      </c>
      <c r="I37" s="777">
        <f t="shared" si="45"/>
        <v>0</v>
      </c>
      <c r="J37" s="777">
        <f t="shared" si="46"/>
        <v>0</v>
      </c>
      <c r="K37" s="777">
        <f t="shared" si="47"/>
        <v>0.39658738381477154</v>
      </c>
      <c r="L37" s="874">
        <f t="shared" si="48"/>
        <v>0.99999999999999989</v>
      </c>
      <c r="N37" s="300">
        <f t="shared" si="1"/>
        <v>4171.4070956812802</v>
      </c>
      <c r="O37" s="908">
        <f>Parameters!R138</f>
        <v>0.73</v>
      </c>
      <c r="P37" s="908">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906">
        <f t="shared" si="2"/>
        <v>183.44077904801361</v>
      </c>
      <c r="R37" s="906">
        <f t="shared" si="3"/>
        <v>183.44077904801361</v>
      </c>
      <c r="S37" s="286">
        <f t="shared" si="4"/>
        <v>0</v>
      </c>
      <c r="T37" s="906">
        <f t="shared" si="5"/>
        <v>1823.737243157231</v>
      </c>
      <c r="U37" s="906">
        <f t="shared" si="6"/>
        <v>84.099798096595123</v>
      </c>
      <c r="V37" s="1072">
        <f t="shared" si="7"/>
        <v>56.066532064396746</v>
      </c>
      <c r="W37" s="1450">
        <f t="shared" si="8"/>
        <v>0.13527885904981399</v>
      </c>
      <c r="X37" s="914">
        <f>'Baseline data (from input)'!AS23*W37</f>
        <v>2954.4095185083984</v>
      </c>
      <c r="Y37" s="907">
        <f>Parameters!S138</f>
        <v>0.71500000000000008</v>
      </c>
      <c r="Z37" s="907">
        <f t="shared" si="9"/>
        <v>0.4</v>
      </c>
      <c r="AA37" s="906">
        <f t="shared" si="10"/>
        <v>422.48056114670101</v>
      </c>
      <c r="AB37" s="906">
        <f t="shared" si="11"/>
        <v>422.48056114670101</v>
      </c>
      <c r="AC37" s="286">
        <f t="shared" si="12"/>
        <v>0</v>
      </c>
      <c r="AD37" s="906">
        <f t="shared" si="13"/>
        <v>2167.6401406776122</v>
      </c>
      <c r="AE37" s="906">
        <f t="shared" si="14"/>
        <v>89.476244993670917</v>
      </c>
      <c r="AF37" s="1072">
        <f t="shared" si="15"/>
        <v>59.650829995780612</v>
      </c>
      <c r="AG37" s="1448">
        <f t="shared" si="16"/>
        <v>0.13527885904981399</v>
      </c>
      <c r="AH37" s="914">
        <f>'Baseline data (from input)'!AS23*AG37</f>
        <v>2954.4095185083984</v>
      </c>
      <c r="AI37" s="907">
        <f>Parameters!S138</f>
        <v>0.71500000000000008</v>
      </c>
      <c r="AJ37" s="907">
        <f t="shared" si="17"/>
        <v>0.4</v>
      </c>
      <c r="AK37" s="906">
        <f t="shared" si="18"/>
        <v>422.48056114670101</v>
      </c>
      <c r="AL37" s="906">
        <f t="shared" si="19"/>
        <v>422.48056114670101</v>
      </c>
      <c r="AM37" s="286">
        <f t="shared" si="20"/>
        <v>0</v>
      </c>
      <c r="AN37" s="906">
        <f t="shared" si="21"/>
        <v>2167.6401406776122</v>
      </c>
      <c r="AO37" s="906">
        <f t="shared" si="22"/>
        <v>89.476244993670917</v>
      </c>
      <c r="AP37" s="1072">
        <f t="shared" si="23"/>
        <v>59.650829995780612</v>
      </c>
      <c r="AR37" s="914">
        <v>0</v>
      </c>
      <c r="AS37" s="907">
        <v>1</v>
      </c>
      <c r="AT37" s="907">
        <f t="shared" si="24"/>
        <v>0.05</v>
      </c>
      <c r="AU37" s="906">
        <f t="shared" si="25"/>
        <v>0</v>
      </c>
      <c r="AV37" s="906">
        <f t="shared" si="26"/>
        <v>0</v>
      </c>
      <c r="AW37" s="286">
        <f t="shared" si="27"/>
        <v>0</v>
      </c>
      <c r="AX37" s="922">
        <f t="shared" si="28"/>
        <v>0</v>
      </c>
      <c r="AY37" s="922">
        <f t="shared" si="29"/>
        <v>0</v>
      </c>
      <c r="AZ37" s="1072">
        <f t="shared" si="30"/>
        <v>0</v>
      </c>
      <c r="BB37" s="300">
        <f t="shared" si="31"/>
        <v>56.066532064396746</v>
      </c>
      <c r="BC37" s="301">
        <f t="shared" si="32"/>
        <v>59.650829995780612</v>
      </c>
      <c r="BD37" s="1080">
        <f t="shared" si="33"/>
        <v>0</v>
      </c>
      <c r="BE37" s="301">
        <f t="shared" si="34"/>
        <v>115.71736206017735</v>
      </c>
      <c r="BF37" s="104">
        <v>0</v>
      </c>
      <c r="BG37" s="302">
        <f t="shared" si="35"/>
        <v>115.71736206017735</v>
      </c>
      <c r="BI37" s="300">
        <f t="shared" si="36"/>
        <v>56.066532064396746</v>
      </c>
      <c r="BJ37" s="301">
        <f t="shared" si="37"/>
        <v>59.650829995780612</v>
      </c>
      <c r="BK37" s="1080">
        <f t="shared" si="38"/>
        <v>0</v>
      </c>
      <c r="BL37" s="301">
        <f t="shared" si="39"/>
        <v>115.71736206017735</v>
      </c>
      <c r="BM37" s="104">
        <v>0</v>
      </c>
      <c r="BN37" s="302">
        <f t="shared" si="40"/>
        <v>115.71736206017735</v>
      </c>
    </row>
    <row r="38" spans="1:66">
      <c r="A38" s="127">
        <f>'Input data'!A68</f>
        <v>1968</v>
      </c>
      <c r="B38" s="866">
        <f>'Input data'!B68</f>
        <v>9.2808861600000014</v>
      </c>
      <c r="C38" s="866">
        <f>'Baseline data (from input)'!B24</f>
        <v>578.73</v>
      </c>
      <c r="D38" s="777">
        <f>'Baseline data (from input)'!T24</f>
        <v>0.8</v>
      </c>
      <c r="E38" s="777">
        <f t="shared" si="41"/>
        <v>0.24001298204245269</v>
      </c>
      <c r="F38" s="777">
        <f t="shared" si="42"/>
        <v>0.30440139352934503</v>
      </c>
      <c r="G38" s="777">
        <f t="shared" si="43"/>
        <v>5.8998240613430578E-2</v>
      </c>
      <c r="H38" s="777">
        <f t="shared" si="44"/>
        <v>0</v>
      </c>
      <c r="I38" s="777">
        <f t="shared" si="45"/>
        <v>0</v>
      </c>
      <c r="J38" s="777">
        <f t="shared" si="46"/>
        <v>0</v>
      </c>
      <c r="K38" s="777">
        <f t="shared" si="47"/>
        <v>0.39658738381477154</v>
      </c>
      <c r="L38" s="874">
        <f t="shared" si="48"/>
        <v>0.99999999999999989</v>
      </c>
      <c r="N38" s="300">
        <f t="shared" si="1"/>
        <v>4296.9017979014416</v>
      </c>
      <c r="O38" s="908">
        <f>Parameters!R139</f>
        <v>0.73</v>
      </c>
      <c r="P38" s="908">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906">
        <f t="shared" si="2"/>
        <v>188.95950340495753</v>
      </c>
      <c r="R38" s="906">
        <f t="shared" si="3"/>
        <v>188.95950340495753</v>
      </c>
      <c r="S38" s="286">
        <f t="shared" si="4"/>
        <v>0</v>
      </c>
      <c r="T38" s="906">
        <f t="shared" si="5"/>
        <v>1923.7520316539292</v>
      </c>
      <c r="U38" s="906">
        <f t="shared" si="6"/>
        <v>88.944714908259414</v>
      </c>
      <c r="V38" s="1072">
        <f t="shared" si="7"/>
        <v>59.296476605506278</v>
      </c>
      <c r="W38" s="1450">
        <f t="shared" si="8"/>
        <v>0.13527885904981399</v>
      </c>
      <c r="X38" s="914">
        <f>'Baseline data (from input)'!AS24*W38</f>
        <v>3077.1192874392077</v>
      </c>
      <c r="Y38" s="907">
        <f>Parameters!S139</f>
        <v>0.71500000000000008</v>
      </c>
      <c r="Z38" s="907">
        <f t="shared" si="9"/>
        <v>0.4</v>
      </c>
      <c r="AA38" s="906">
        <f t="shared" si="10"/>
        <v>440.02805810380676</v>
      </c>
      <c r="AB38" s="906">
        <f t="shared" si="11"/>
        <v>440.02805810380676</v>
      </c>
      <c r="AC38" s="286">
        <f t="shared" si="12"/>
        <v>0</v>
      </c>
      <c r="AD38" s="906">
        <f t="shared" si="13"/>
        <v>2501.9511416452187</v>
      </c>
      <c r="AE38" s="906">
        <f t="shared" si="14"/>
        <v>105.71705713620038</v>
      </c>
      <c r="AF38" s="1072">
        <f t="shared" si="15"/>
        <v>70.478038090800254</v>
      </c>
      <c r="AG38" s="1448">
        <f t="shared" si="16"/>
        <v>0.13527885904981399</v>
      </c>
      <c r="AH38" s="914">
        <f>'Baseline data (from input)'!AS24*AG38</f>
        <v>3077.1192874392077</v>
      </c>
      <c r="AI38" s="907">
        <f>Parameters!S139</f>
        <v>0.71500000000000008</v>
      </c>
      <c r="AJ38" s="907">
        <f t="shared" si="17"/>
        <v>0.4</v>
      </c>
      <c r="AK38" s="906">
        <f t="shared" si="18"/>
        <v>440.02805810380676</v>
      </c>
      <c r="AL38" s="906">
        <f t="shared" si="19"/>
        <v>440.02805810380676</v>
      </c>
      <c r="AM38" s="286">
        <f t="shared" si="20"/>
        <v>0</v>
      </c>
      <c r="AN38" s="906">
        <f t="shared" si="21"/>
        <v>2501.9511416452187</v>
      </c>
      <c r="AO38" s="906">
        <f t="shared" si="22"/>
        <v>105.71705713620038</v>
      </c>
      <c r="AP38" s="1072">
        <f t="shared" si="23"/>
        <v>70.478038090800254</v>
      </c>
      <c r="AR38" s="914">
        <v>0</v>
      </c>
      <c r="AS38" s="907">
        <v>1</v>
      </c>
      <c r="AT38" s="907">
        <f t="shared" si="24"/>
        <v>0.05</v>
      </c>
      <c r="AU38" s="906">
        <f t="shared" si="25"/>
        <v>0</v>
      </c>
      <c r="AV38" s="906">
        <f t="shared" si="26"/>
        <v>0</v>
      </c>
      <c r="AW38" s="286">
        <f t="shared" si="27"/>
        <v>0</v>
      </c>
      <c r="AX38" s="922">
        <f t="shared" si="28"/>
        <v>0</v>
      </c>
      <c r="AY38" s="922">
        <f t="shared" si="29"/>
        <v>0</v>
      </c>
      <c r="AZ38" s="1072">
        <f t="shared" si="30"/>
        <v>0</v>
      </c>
      <c r="BB38" s="300">
        <f t="shared" si="31"/>
        <v>59.296476605506278</v>
      </c>
      <c r="BC38" s="301">
        <f t="shared" si="32"/>
        <v>70.478038090800254</v>
      </c>
      <c r="BD38" s="1080">
        <f t="shared" si="33"/>
        <v>0</v>
      </c>
      <c r="BE38" s="301">
        <f t="shared" si="34"/>
        <v>129.77451469630654</v>
      </c>
      <c r="BF38" s="104">
        <v>0</v>
      </c>
      <c r="BG38" s="302">
        <f t="shared" si="35"/>
        <v>129.77451469630654</v>
      </c>
      <c r="BI38" s="300">
        <f t="shared" si="36"/>
        <v>59.296476605506278</v>
      </c>
      <c r="BJ38" s="301">
        <f t="shared" si="37"/>
        <v>70.478038090800254</v>
      </c>
      <c r="BK38" s="1080">
        <f t="shared" si="38"/>
        <v>0</v>
      </c>
      <c r="BL38" s="301">
        <f t="shared" si="39"/>
        <v>129.77451469630654</v>
      </c>
      <c r="BM38" s="104">
        <v>0</v>
      </c>
      <c r="BN38" s="302">
        <f t="shared" si="40"/>
        <v>129.77451469630654</v>
      </c>
    </row>
    <row r="39" spans="1:66">
      <c r="A39" s="127">
        <f>'Input data'!A69</f>
        <v>1969</v>
      </c>
      <c r="B39" s="866">
        <f>'Input data'!B69</f>
        <v>9.5539007199999997</v>
      </c>
      <c r="C39" s="866">
        <f>'Baseline data (from input)'!B25</f>
        <v>578.73</v>
      </c>
      <c r="D39" s="777">
        <f>'Baseline data (from input)'!T25</f>
        <v>0.8</v>
      </c>
      <c r="E39" s="777">
        <f t="shared" si="41"/>
        <v>0.24001298204245269</v>
      </c>
      <c r="F39" s="777">
        <f t="shared" si="42"/>
        <v>0.30440139352934503</v>
      </c>
      <c r="G39" s="777">
        <f t="shared" si="43"/>
        <v>5.8998240613430578E-2</v>
      </c>
      <c r="H39" s="777">
        <f t="shared" si="44"/>
        <v>0</v>
      </c>
      <c r="I39" s="777">
        <f t="shared" si="45"/>
        <v>0</v>
      </c>
      <c r="J39" s="777">
        <f t="shared" si="46"/>
        <v>0</v>
      </c>
      <c r="K39" s="777">
        <f t="shared" si="47"/>
        <v>0.39658738381477154</v>
      </c>
      <c r="L39" s="874">
        <f t="shared" si="48"/>
        <v>0.99999999999999989</v>
      </c>
      <c r="N39" s="300">
        <f t="shared" si="1"/>
        <v>4423.3031709484803</v>
      </c>
      <c r="O39" s="908">
        <f>Parameters!R140</f>
        <v>0.73</v>
      </c>
      <c r="P39" s="908">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906">
        <f t="shared" si="2"/>
        <v>194.51809929661559</v>
      </c>
      <c r="R39" s="906">
        <f t="shared" si="3"/>
        <v>194.51809929661559</v>
      </c>
      <c r="S39" s="286">
        <f t="shared" si="4"/>
        <v>0</v>
      </c>
      <c r="T39" s="906">
        <f t="shared" si="5"/>
        <v>2024.4476372488621</v>
      </c>
      <c r="U39" s="906">
        <f t="shared" si="6"/>
        <v>93.82249370168276</v>
      </c>
      <c r="V39" s="1072">
        <f t="shared" si="7"/>
        <v>62.548329134455173</v>
      </c>
      <c r="W39" s="1450">
        <f t="shared" si="8"/>
        <v>0.13527885904981399</v>
      </c>
      <c r="X39" s="914">
        <f>'Baseline data (from input)'!AS25*W39</f>
        <v>3222.2310206717084</v>
      </c>
      <c r="Y39" s="907">
        <f>Parameters!S140</f>
        <v>0.71500000000000008</v>
      </c>
      <c r="Z39" s="907">
        <f t="shared" si="9"/>
        <v>0.4</v>
      </c>
      <c r="AA39" s="906">
        <f t="shared" si="10"/>
        <v>460.77903595605443</v>
      </c>
      <c r="AB39" s="906">
        <f t="shared" si="11"/>
        <v>460.77903595605443</v>
      </c>
      <c r="AC39" s="286">
        <f t="shared" si="12"/>
        <v>0</v>
      </c>
      <c r="AD39" s="906">
        <f t="shared" si="13"/>
        <v>2840.7085805521401</v>
      </c>
      <c r="AE39" s="906">
        <f t="shared" si="14"/>
        <v>122.02159704913291</v>
      </c>
      <c r="AF39" s="1072">
        <f t="shared" si="15"/>
        <v>81.34773136608861</v>
      </c>
      <c r="AG39" s="1448">
        <f t="shared" si="16"/>
        <v>0.13527885904981399</v>
      </c>
      <c r="AH39" s="914">
        <f>'Baseline data (from input)'!AS25*AG39</f>
        <v>3222.2310206717084</v>
      </c>
      <c r="AI39" s="907">
        <f>Parameters!S140</f>
        <v>0.71500000000000008</v>
      </c>
      <c r="AJ39" s="907">
        <f t="shared" si="17"/>
        <v>0.4</v>
      </c>
      <c r="AK39" s="906">
        <f t="shared" si="18"/>
        <v>460.77903595605443</v>
      </c>
      <c r="AL39" s="906">
        <f t="shared" si="19"/>
        <v>460.77903595605443</v>
      </c>
      <c r="AM39" s="286">
        <f t="shared" si="20"/>
        <v>0</v>
      </c>
      <c r="AN39" s="906">
        <f t="shared" si="21"/>
        <v>2840.7085805521401</v>
      </c>
      <c r="AO39" s="906">
        <f t="shared" si="22"/>
        <v>122.02159704913291</v>
      </c>
      <c r="AP39" s="1072">
        <f t="shared" si="23"/>
        <v>81.34773136608861</v>
      </c>
      <c r="AR39" s="914">
        <v>0</v>
      </c>
      <c r="AS39" s="907">
        <v>1</v>
      </c>
      <c r="AT39" s="907">
        <f t="shared" si="24"/>
        <v>0.05</v>
      </c>
      <c r="AU39" s="906">
        <f t="shared" si="25"/>
        <v>0</v>
      </c>
      <c r="AV39" s="906">
        <f t="shared" si="26"/>
        <v>0</v>
      </c>
      <c r="AW39" s="286">
        <f t="shared" si="27"/>
        <v>0</v>
      </c>
      <c r="AX39" s="922">
        <f t="shared" si="28"/>
        <v>0</v>
      </c>
      <c r="AY39" s="922">
        <f t="shared" si="29"/>
        <v>0</v>
      </c>
      <c r="AZ39" s="1072">
        <f t="shared" si="30"/>
        <v>0</v>
      </c>
      <c r="BB39" s="300">
        <f t="shared" si="31"/>
        <v>62.548329134455173</v>
      </c>
      <c r="BC39" s="301">
        <f t="shared" si="32"/>
        <v>81.34773136608861</v>
      </c>
      <c r="BD39" s="1080">
        <f t="shared" si="33"/>
        <v>0</v>
      </c>
      <c r="BE39" s="301">
        <f t="shared" si="34"/>
        <v>143.8960605005438</v>
      </c>
      <c r="BF39" s="104">
        <v>0</v>
      </c>
      <c r="BG39" s="302">
        <f t="shared" si="35"/>
        <v>143.8960605005438</v>
      </c>
      <c r="BI39" s="300">
        <f t="shared" si="36"/>
        <v>62.548329134455173</v>
      </c>
      <c r="BJ39" s="301">
        <f t="shared" si="37"/>
        <v>81.34773136608861</v>
      </c>
      <c r="BK39" s="1080">
        <f t="shared" si="38"/>
        <v>0</v>
      </c>
      <c r="BL39" s="301">
        <f t="shared" si="39"/>
        <v>143.8960605005438</v>
      </c>
      <c r="BM39" s="104">
        <v>0</v>
      </c>
      <c r="BN39" s="302">
        <f t="shared" si="40"/>
        <v>143.8960605005438</v>
      </c>
    </row>
    <row r="40" spans="1:66">
      <c r="A40" s="127">
        <f>'Input data'!A70</f>
        <v>1970</v>
      </c>
      <c r="B40" s="866">
        <f>'Input data'!B70</f>
        <v>9.8288735999999997</v>
      </c>
      <c r="C40" s="866">
        <f>'Baseline data (from input)'!B26</f>
        <v>578.73</v>
      </c>
      <c r="D40" s="777">
        <f>'Baseline data (from input)'!T26</f>
        <v>0.8</v>
      </c>
      <c r="E40" s="777">
        <f t="shared" si="41"/>
        <v>0.24001298204245269</v>
      </c>
      <c r="F40" s="777">
        <f t="shared" si="42"/>
        <v>0.30440139352934503</v>
      </c>
      <c r="G40" s="777">
        <f t="shared" si="43"/>
        <v>5.8998240613430578E-2</v>
      </c>
      <c r="H40" s="777">
        <f t="shared" si="44"/>
        <v>0</v>
      </c>
      <c r="I40" s="777">
        <f t="shared" si="45"/>
        <v>0</v>
      </c>
      <c r="J40" s="777">
        <f t="shared" si="46"/>
        <v>0</v>
      </c>
      <c r="K40" s="777">
        <f t="shared" si="47"/>
        <v>0.39658738381477154</v>
      </c>
      <c r="L40" s="874">
        <f t="shared" si="48"/>
        <v>0.99999999999999989</v>
      </c>
      <c r="N40" s="300">
        <f t="shared" si="1"/>
        <v>4550.6112148224001</v>
      </c>
      <c r="O40" s="908">
        <f>Parameters!R141</f>
        <v>0.73</v>
      </c>
      <c r="P40" s="908">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906">
        <f t="shared" si="2"/>
        <v>200.11656672298804</v>
      </c>
      <c r="R40" s="906">
        <f t="shared" si="3"/>
        <v>200.11656672298804</v>
      </c>
      <c r="S40" s="286">
        <f t="shared" si="4"/>
        <v>0</v>
      </c>
      <c r="T40" s="906">
        <f t="shared" si="5"/>
        <v>2125.8307276350533</v>
      </c>
      <c r="U40" s="906">
        <f t="shared" si="6"/>
        <v>98.733476336796755</v>
      </c>
      <c r="V40" s="1072">
        <f t="shared" si="7"/>
        <v>65.822317557864508</v>
      </c>
      <c r="W40" s="1450">
        <f t="shared" si="8"/>
        <v>0.13527885904981399</v>
      </c>
      <c r="X40" s="914">
        <f>'Baseline data (from input)'!AS26*W40</f>
        <v>3391.3554268236512</v>
      </c>
      <c r="Y40" s="907">
        <f>Parameters!S141</f>
        <v>0.71500000000000008</v>
      </c>
      <c r="Z40" s="907">
        <f t="shared" si="9"/>
        <v>0.4</v>
      </c>
      <c r="AA40" s="906">
        <f t="shared" si="10"/>
        <v>484.96382603578223</v>
      </c>
      <c r="AB40" s="906">
        <f t="shared" si="11"/>
        <v>484.96382603578223</v>
      </c>
      <c r="AC40" s="286">
        <f t="shared" si="12"/>
        <v>0</v>
      </c>
      <c r="AD40" s="906">
        <f t="shared" si="13"/>
        <v>3187.129414288635</v>
      </c>
      <c r="AE40" s="906">
        <f t="shared" si="14"/>
        <v>138.54299229928768</v>
      </c>
      <c r="AF40" s="1072">
        <f t="shared" si="15"/>
        <v>92.361994866191779</v>
      </c>
      <c r="AG40" s="1448">
        <f t="shared" si="16"/>
        <v>0.13527885904981399</v>
      </c>
      <c r="AH40" s="914">
        <f>'Baseline data (from input)'!AS26*AG40</f>
        <v>3391.3554268236512</v>
      </c>
      <c r="AI40" s="907">
        <f>Parameters!S141</f>
        <v>0.71500000000000008</v>
      </c>
      <c r="AJ40" s="907">
        <f t="shared" si="17"/>
        <v>0.4</v>
      </c>
      <c r="AK40" s="906">
        <f t="shared" si="18"/>
        <v>484.96382603578223</v>
      </c>
      <c r="AL40" s="906">
        <f t="shared" si="19"/>
        <v>484.96382603578223</v>
      </c>
      <c r="AM40" s="286">
        <f t="shared" si="20"/>
        <v>0</v>
      </c>
      <c r="AN40" s="906">
        <f t="shared" si="21"/>
        <v>3187.129414288635</v>
      </c>
      <c r="AO40" s="906">
        <f t="shared" si="22"/>
        <v>138.54299229928768</v>
      </c>
      <c r="AP40" s="1072">
        <f t="shared" si="23"/>
        <v>92.361994866191779</v>
      </c>
      <c r="AR40" s="914">
        <v>0</v>
      </c>
      <c r="AS40" s="907">
        <v>1</v>
      </c>
      <c r="AT40" s="907">
        <f t="shared" si="24"/>
        <v>0.05</v>
      </c>
      <c r="AU40" s="906">
        <f t="shared" si="25"/>
        <v>0</v>
      </c>
      <c r="AV40" s="906">
        <f t="shared" si="26"/>
        <v>0</v>
      </c>
      <c r="AW40" s="286">
        <f t="shared" si="27"/>
        <v>0</v>
      </c>
      <c r="AX40" s="922">
        <f t="shared" si="28"/>
        <v>0</v>
      </c>
      <c r="AY40" s="922">
        <f t="shared" si="29"/>
        <v>0</v>
      </c>
      <c r="AZ40" s="1072">
        <f t="shared" si="30"/>
        <v>0</v>
      </c>
      <c r="BB40" s="300">
        <f t="shared" si="31"/>
        <v>65.822317557864508</v>
      </c>
      <c r="BC40" s="301">
        <f t="shared" si="32"/>
        <v>92.361994866191779</v>
      </c>
      <c r="BD40" s="1080">
        <f t="shared" si="33"/>
        <v>0</v>
      </c>
      <c r="BE40" s="301">
        <f t="shared" si="34"/>
        <v>158.18431242405629</v>
      </c>
      <c r="BF40" s="104">
        <v>0</v>
      </c>
      <c r="BG40" s="302">
        <f t="shared" si="35"/>
        <v>158.18431242405629</v>
      </c>
      <c r="BI40" s="300">
        <f t="shared" si="36"/>
        <v>65.822317557864508</v>
      </c>
      <c r="BJ40" s="301">
        <f t="shared" si="37"/>
        <v>92.361994866191779</v>
      </c>
      <c r="BK40" s="1080">
        <f t="shared" si="38"/>
        <v>0</v>
      </c>
      <c r="BL40" s="301">
        <f t="shared" si="39"/>
        <v>158.18431242405629</v>
      </c>
      <c r="BM40" s="104">
        <v>0</v>
      </c>
      <c r="BN40" s="302">
        <f t="shared" si="40"/>
        <v>158.18431242405629</v>
      </c>
    </row>
    <row r="41" spans="1:66">
      <c r="A41" s="127">
        <f>'Input data'!A71</f>
        <v>1971</v>
      </c>
      <c r="B41" s="866">
        <f>'Input data'!B71</f>
        <v>20.567820000000001</v>
      </c>
      <c r="C41" s="866">
        <f>'Baseline data (from input)'!B27</f>
        <v>578.73</v>
      </c>
      <c r="D41" s="777">
        <f>'Baseline data (from input)'!T27</f>
        <v>0.8</v>
      </c>
      <c r="E41" s="777">
        <f t="shared" si="41"/>
        <v>0.24001298204245269</v>
      </c>
      <c r="F41" s="777">
        <f t="shared" si="42"/>
        <v>0.30440139352934503</v>
      </c>
      <c r="G41" s="777">
        <f t="shared" si="43"/>
        <v>5.8998240613430578E-2</v>
      </c>
      <c r="H41" s="777">
        <f t="shared" si="44"/>
        <v>0</v>
      </c>
      <c r="I41" s="777">
        <f t="shared" si="45"/>
        <v>0</v>
      </c>
      <c r="J41" s="777">
        <f t="shared" si="46"/>
        <v>0</v>
      </c>
      <c r="K41" s="777">
        <f t="shared" si="47"/>
        <v>0.39658738381477154</v>
      </c>
      <c r="L41" s="874">
        <f t="shared" si="48"/>
        <v>0.99999999999999989</v>
      </c>
      <c r="N41" s="300">
        <f t="shared" si="1"/>
        <v>9522.5715748800012</v>
      </c>
      <c r="O41" s="908">
        <f>Parameters!R142</f>
        <v>0.73</v>
      </c>
      <c r="P41" s="908">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906">
        <f t="shared" si="2"/>
        <v>418.76228048923213</v>
      </c>
      <c r="R41" s="906">
        <f t="shared" si="3"/>
        <v>418.76228048923213</v>
      </c>
      <c r="S41" s="286">
        <f t="shared" si="4"/>
        <v>0</v>
      </c>
      <c r="T41" s="906">
        <f t="shared" si="5"/>
        <v>2440.9150201234579</v>
      </c>
      <c r="U41" s="906">
        <f t="shared" si="6"/>
        <v>103.67798800082743</v>
      </c>
      <c r="V41" s="1072">
        <f t="shared" si="7"/>
        <v>69.118658667218284</v>
      </c>
      <c r="W41" s="1450">
        <f t="shared" si="8"/>
        <v>0.13527885904981399</v>
      </c>
      <c r="X41" s="914">
        <f>'Baseline data (from input)'!AS27*W41</f>
        <v>3536.4705226797223</v>
      </c>
      <c r="Y41" s="907">
        <f>Parameters!S142</f>
        <v>0.71500000000000008</v>
      </c>
      <c r="Z41" s="907">
        <f t="shared" si="9"/>
        <v>0.4</v>
      </c>
      <c r="AA41" s="906">
        <f t="shared" si="10"/>
        <v>505.71528474320036</v>
      </c>
      <c r="AB41" s="906">
        <f t="shared" si="11"/>
        <v>505.71528474320036</v>
      </c>
      <c r="AC41" s="286">
        <f t="shared" si="12"/>
        <v>0</v>
      </c>
      <c r="AD41" s="906">
        <f t="shared" si="13"/>
        <v>3537.4065633062764</v>
      </c>
      <c r="AE41" s="906">
        <f t="shared" si="14"/>
        <v>155.43813572555899</v>
      </c>
      <c r="AF41" s="1072">
        <f t="shared" si="15"/>
        <v>103.62542381703933</v>
      </c>
      <c r="AG41" s="1448">
        <f t="shared" si="16"/>
        <v>0.13527885904981399</v>
      </c>
      <c r="AH41" s="914">
        <f>'Baseline data (from input)'!AS27*AG41</f>
        <v>3536.4705226797223</v>
      </c>
      <c r="AI41" s="907">
        <f>Parameters!S142</f>
        <v>0.71500000000000008</v>
      </c>
      <c r="AJ41" s="907">
        <f t="shared" si="17"/>
        <v>0.4</v>
      </c>
      <c r="AK41" s="906">
        <f t="shared" si="18"/>
        <v>505.71528474320036</v>
      </c>
      <c r="AL41" s="906">
        <f t="shared" si="19"/>
        <v>505.71528474320036</v>
      </c>
      <c r="AM41" s="286">
        <f t="shared" si="20"/>
        <v>0</v>
      </c>
      <c r="AN41" s="906">
        <f t="shared" si="21"/>
        <v>3537.4065633062764</v>
      </c>
      <c r="AO41" s="906">
        <f t="shared" si="22"/>
        <v>155.43813572555899</v>
      </c>
      <c r="AP41" s="1072">
        <f t="shared" si="23"/>
        <v>103.62542381703933</v>
      </c>
      <c r="AR41" s="914">
        <v>0</v>
      </c>
      <c r="AS41" s="907">
        <v>1</v>
      </c>
      <c r="AT41" s="907">
        <f t="shared" si="24"/>
        <v>0.05</v>
      </c>
      <c r="AU41" s="906">
        <f t="shared" si="25"/>
        <v>0</v>
      </c>
      <c r="AV41" s="906">
        <f t="shared" si="26"/>
        <v>0</v>
      </c>
      <c r="AW41" s="286">
        <f t="shared" si="27"/>
        <v>0</v>
      </c>
      <c r="AX41" s="922">
        <f t="shared" si="28"/>
        <v>0</v>
      </c>
      <c r="AY41" s="922">
        <f t="shared" si="29"/>
        <v>0</v>
      </c>
      <c r="AZ41" s="1072">
        <f t="shared" si="30"/>
        <v>0</v>
      </c>
      <c r="BB41" s="300">
        <f t="shared" si="31"/>
        <v>69.118658667218284</v>
      </c>
      <c r="BC41" s="301">
        <f t="shared" si="32"/>
        <v>103.62542381703933</v>
      </c>
      <c r="BD41" s="1080">
        <f t="shared" si="33"/>
        <v>0</v>
      </c>
      <c r="BE41" s="301">
        <f t="shared" si="34"/>
        <v>172.7440824842576</v>
      </c>
      <c r="BF41" s="104">
        <v>0</v>
      </c>
      <c r="BG41" s="302">
        <f t="shared" si="35"/>
        <v>172.7440824842576</v>
      </c>
      <c r="BI41" s="300">
        <f t="shared" si="36"/>
        <v>69.118658667218284</v>
      </c>
      <c r="BJ41" s="301">
        <f t="shared" si="37"/>
        <v>103.62542381703933</v>
      </c>
      <c r="BK41" s="1080">
        <f t="shared" si="38"/>
        <v>0</v>
      </c>
      <c r="BL41" s="301">
        <f t="shared" si="39"/>
        <v>172.7440824842576</v>
      </c>
      <c r="BM41" s="104">
        <v>0</v>
      </c>
      <c r="BN41" s="302">
        <f t="shared" si="40"/>
        <v>172.7440824842576</v>
      </c>
    </row>
    <row r="42" spans="1:66">
      <c r="A42" s="127">
        <f>'Input data'!A72</f>
        <v>1972</v>
      </c>
      <c r="B42" s="866">
        <f>'Input data'!B72</f>
        <v>21.04466</v>
      </c>
      <c r="C42" s="866">
        <f>'Baseline data (from input)'!B28</f>
        <v>578.73</v>
      </c>
      <c r="D42" s="777">
        <f>'Baseline data (from input)'!T28</f>
        <v>0.8</v>
      </c>
      <c r="E42" s="777">
        <f t="shared" si="41"/>
        <v>0.24001298204245269</v>
      </c>
      <c r="F42" s="777">
        <f t="shared" si="42"/>
        <v>0.30440139352934503</v>
      </c>
      <c r="G42" s="777">
        <f t="shared" si="43"/>
        <v>5.8998240613430578E-2</v>
      </c>
      <c r="H42" s="777">
        <f t="shared" si="44"/>
        <v>0</v>
      </c>
      <c r="I42" s="777">
        <f t="shared" si="45"/>
        <v>0</v>
      </c>
      <c r="J42" s="777">
        <f t="shared" si="46"/>
        <v>0</v>
      </c>
      <c r="K42" s="777">
        <f t="shared" si="47"/>
        <v>0.39658738381477154</v>
      </c>
      <c r="L42" s="874">
        <f t="shared" si="48"/>
        <v>0.99999999999999989</v>
      </c>
      <c r="N42" s="300">
        <f t="shared" si="1"/>
        <v>9743.3408654400009</v>
      </c>
      <c r="O42" s="908">
        <f>Parameters!R143</f>
        <v>0.73</v>
      </c>
      <c r="P42" s="908">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906">
        <f t="shared" si="2"/>
        <v>428.47077686018849</v>
      </c>
      <c r="R42" s="906">
        <f t="shared" si="3"/>
        <v>428.47077686018849</v>
      </c>
      <c r="S42" s="286">
        <f t="shared" si="4"/>
        <v>0</v>
      </c>
      <c r="T42" s="906">
        <f t="shared" si="5"/>
        <v>2750.3409667073738</v>
      </c>
      <c r="U42" s="906">
        <f t="shared" si="6"/>
        <v>119.04483027627226</v>
      </c>
      <c r="V42" s="1072">
        <f t="shared" si="7"/>
        <v>79.363220184181515</v>
      </c>
      <c r="W42" s="1450">
        <f t="shared" si="8"/>
        <v>0.13527885904981399</v>
      </c>
      <c r="X42" s="914">
        <f>'Baseline data (from input)'!AS28*W42</f>
        <v>3594.9906944801801</v>
      </c>
      <c r="Y42" s="907">
        <f>Parameters!S143</f>
        <v>0.71500000000000008</v>
      </c>
      <c r="Z42" s="907">
        <f t="shared" si="9"/>
        <v>0.4</v>
      </c>
      <c r="AA42" s="906">
        <f t="shared" si="10"/>
        <v>514.08366931066587</v>
      </c>
      <c r="AB42" s="906">
        <f t="shared" si="11"/>
        <v>514.08366931066587</v>
      </c>
      <c r="AC42" s="286">
        <f t="shared" si="12"/>
        <v>0</v>
      </c>
      <c r="AD42" s="906">
        <f t="shared" si="13"/>
        <v>3878.9688787495438</v>
      </c>
      <c r="AE42" s="906">
        <f t="shared" si="14"/>
        <v>172.52135386739852</v>
      </c>
      <c r="AF42" s="1072">
        <f t="shared" si="15"/>
        <v>115.01423591159902</v>
      </c>
      <c r="AG42" s="1448">
        <f t="shared" si="16"/>
        <v>0.13527885904981399</v>
      </c>
      <c r="AH42" s="914">
        <f>'Baseline data (from input)'!AS28*AG42</f>
        <v>3594.9906944801801</v>
      </c>
      <c r="AI42" s="907">
        <f>Parameters!S143</f>
        <v>0.71500000000000008</v>
      </c>
      <c r="AJ42" s="907">
        <f t="shared" si="17"/>
        <v>0.4</v>
      </c>
      <c r="AK42" s="906">
        <f t="shared" si="18"/>
        <v>514.08366931066587</v>
      </c>
      <c r="AL42" s="906">
        <f t="shared" si="19"/>
        <v>514.08366931066587</v>
      </c>
      <c r="AM42" s="286">
        <f t="shared" si="20"/>
        <v>0</v>
      </c>
      <c r="AN42" s="906">
        <f t="shared" si="21"/>
        <v>3878.9688787495438</v>
      </c>
      <c r="AO42" s="906">
        <f t="shared" si="22"/>
        <v>172.52135386739852</v>
      </c>
      <c r="AP42" s="1072">
        <f t="shared" si="23"/>
        <v>115.01423591159902</v>
      </c>
      <c r="AR42" s="914">
        <v>0</v>
      </c>
      <c r="AS42" s="907">
        <v>1</v>
      </c>
      <c r="AT42" s="907">
        <f t="shared" si="24"/>
        <v>0.05</v>
      </c>
      <c r="AU42" s="906">
        <f t="shared" si="25"/>
        <v>0</v>
      </c>
      <c r="AV42" s="906">
        <f t="shared" si="26"/>
        <v>0</v>
      </c>
      <c r="AW42" s="286">
        <f t="shared" si="27"/>
        <v>0</v>
      </c>
      <c r="AX42" s="922">
        <f t="shared" si="28"/>
        <v>0</v>
      </c>
      <c r="AY42" s="922">
        <f t="shared" si="29"/>
        <v>0</v>
      </c>
      <c r="AZ42" s="1072">
        <f t="shared" si="30"/>
        <v>0</v>
      </c>
      <c r="BB42" s="300">
        <f t="shared" si="31"/>
        <v>79.363220184181515</v>
      </c>
      <c r="BC42" s="301">
        <f t="shared" si="32"/>
        <v>115.01423591159902</v>
      </c>
      <c r="BD42" s="1080">
        <f t="shared" si="33"/>
        <v>0</v>
      </c>
      <c r="BE42" s="301">
        <f t="shared" si="34"/>
        <v>194.37745609578053</v>
      </c>
      <c r="BF42" s="104">
        <v>0</v>
      </c>
      <c r="BG42" s="302">
        <f t="shared" si="35"/>
        <v>194.37745609578053</v>
      </c>
      <c r="BI42" s="300">
        <f t="shared" si="36"/>
        <v>79.363220184181515</v>
      </c>
      <c r="BJ42" s="301">
        <f t="shared" si="37"/>
        <v>115.01423591159902</v>
      </c>
      <c r="BK42" s="1080">
        <f t="shared" si="38"/>
        <v>0</v>
      </c>
      <c r="BL42" s="301">
        <f t="shared" si="39"/>
        <v>194.37745609578053</v>
      </c>
      <c r="BM42" s="104">
        <v>0</v>
      </c>
      <c r="BN42" s="302">
        <f t="shared" si="40"/>
        <v>194.37745609578053</v>
      </c>
    </row>
    <row r="43" spans="1:66">
      <c r="A43" s="127">
        <f>'Input data'!A73</f>
        <v>1973</v>
      </c>
      <c r="B43" s="866">
        <f>'Input data'!B73</f>
        <v>21.526959999999999</v>
      </c>
      <c r="C43" s="866">
        <f>'Baseline data (from input)'!B29</f>
        <v>578.73</v>
      </c>
      <c r="D43" s="777">
        <f>'Baseline data (from input)'!T29</f>
        <v>0.8</v>
      </c>
      <c r="E43" s="777">
        <f t="shared" si="41"/>
        <v>0.24001298204245269</v>
      </c>
      <c r="F43" s="777">
        <f t="shared" si="42"/>
        <v>0.30440139352934503</v>
      </c>
      <c r="G43" s="777">
        <f t="shared" si="43"/>
        <v>5.8998240613430578E-2</v>
      </c>
      <c r="H43" s="777">
        <f t="shared" si="44"/>
        <v>0</v>
      </c>
      <c r="I43" s="777">
        <f t="shared" si="45"/>
        <v>0</v>
      </c>
      <c r="J43" s="777">
        <f t="shared" si="46"/>
        <v>0</v>
      </c>
      <c r="K43" s="777">
        <f t="shared" si="47"/>
        <v>0.39658738381477154</v>
      </c>
      <c r="L43" s="874">
        <f t="shared" si="48"/>
        <v>0.99999999999999989</v>
      </c>
      <c r="N43" s="300">
        <f t="shared" si="1"/>
        <v>9966.6380486400012</v>
      </c>
      <c r="O43" s="908">
        <f>Parameters!R144</f>
        <v>0.73</v>
      </c>
      <c r="P43" s="908">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906">
        <f t="shared" si="2"/>
        <v>438.29043922012539</v>
      </c>
      <c r="R43" s="906">
        <f t="shared" si="3"/>
        <v>438.29043922012539</v>
      </c>
      <c r="S43" s="286">
        <f t="shared" si="4"/>
        <v>0</v>
      </c>
      <c r="T43" s="906">
        <f t="shared" si="5"/>
        <v>3054.495694161918</v>
      </c>
      <c r="U43" s="906">
        <f t="shared" si="6"/>
        <v>134.13571176558116</v>
      </c>
      <c r="V43" s="1072">
        <f t="shared" si="7"/>
        <v>89.42380784372078</v>
      </c>
      <c r="W43" s="1450">
        <f t="shared" si="8"/>
        <v>0.13527885904981399</v>
      </c>
      <c r="X43" s="914">
        <f>'Baseline data (from input)'!AS29*W43</f>
        <v>3759.3535903374673</v>
      </c>
      <c r="Y43" s="907">
        <f>Parameters!S144</f>
        <v>0.71500000000000008</v>
      </c>
      <c r="Z43" s="907">
        <f t="shared" si="9"/>
        <v>0.4</v>
      </c>
      <c r="AA43" s="906">
        <f t="shared" si="10"/>
        <v>537.5875634182579</v>
      </c>
      <c r="AB43" s="906">
        <f t="shared" si="11"/>
        <v>537.5875634182579</v>
      </c>
      <c r="AC43" s="286">
        <f t="shared" si="12"/>
        <v>0</v>
      </c>
      <c r="AD43" s="906">
        <f t="shared" si="13"/>
        <v>4227.3768976073661</v>
      </c>
      <c r="AE43" s="906">
        <f t="shared" si="14"/>
        <v>189.17954456043532</v>
      </c>
      <c r="AF43" s="1072">
        <f t="shared" si="15"/>
        <v>126.11969637362354</v>
      </c>
      <c r="AG43" s="1448">
        <f t="shared" si="16"/>
        <v>0.13527885904981399</v>
      </c>
      <c r="AH43" s="914">
        <f>'Baseline data (from input)'!AS29*AG43</f>
        <v>3759.3535903374673</v>
      </c>
      <c r="AI43" s="907">
        <f>Parameters!S144</f>
        <v>0.71500000000000008</v>
      </c>
      <c r="AJ43" s="907">
        <f t="shared" si="17"/>
        <v>0.4</v>
      </c>
      <c r="AK43" s="906">
        <f t="shared" si="18"/>
        <v>537.5875634182579</v>
      </c>
      <c r="AL43" s="906">
        <f t="shared" si="19"/>
        <v>537.5875634182579</v>
      </c>
      <c r="AM43" s="286">
        <f t="shared" si="20"/>
        <v>0</v>
      </c>
      <c r="AN43" s="906">
        <f t="shared" si="21"/>
        <v>4227.3768976073661</v>
      </c>
      <c r="AO43" s="906">
        <f t="shared" si="22"/>
        <v>189.17954456043532</v>
      </c>
      <c r="AP43" s="1072">
        <f t="shared" si="23"/>
        <v>126.11969637362354</v>
      </c>
      <c r="AR43" s="914">
        <v>0</v>
      </c>
      <c r="AS43" s="907">
        <v>1</v>
      </c>
      <c r="AT43" s="907">
        <f t="shared" si="24"/>
        <v>0.05</v>
      </c>
      <c r="AU43" s="906">
        <f t="shared" si="25"/>
        <v>0</v>
      </c>
      <c r="AV43" s="906">
        <f t="shared" si="26"/>
        <v>0</v>
      </c>
      <c r="AW43" s="286">
        <f t="shared" si="27"/>
        <v>0</v>
      </c>
      <c r="AX43" s="922">
        <f t="shared" si="28"/>
        <v>0</v>
      </c>
      <c r="AY43" s="922">
        <f t="shared" si="29"/>
        <v>0</v>
      </c>
      <c r="AZ43" s="1072">
        <f t="shared" si="30"/>
        <v>0</v>
      </c>
      <c r="BB43" s="300">
        <f t="shared" si="31"/>
        <v>89.42380784372078</v>
      </c>
      <c r="BC43" s="301">
        <f t="shared" si="32"/>
        <v>126.11969637362354</v>
      </c>
      <c r="BD43" s="1080">
        <f t="shared" si="33"/>
        <v>0</v>
      </c>
      <c r="BE43" s="301">
        <f t="shared" si="34"/>
        <v>215.54350421734432</v>
      </c>
      <c r="BF43" s="104">
        <v>0</v>
      </c>
      <c r="BG43" s="302">
        <f t="shared" si="35"/>
        <v>215.54350421734432</v>
      </c>
      <c r="BI43" s="300">
        <f t="shared" si="36"/>
        <v>89.42380784372078</v>
      </c>
      <c r="BJ43" s="301">
        <f t="shared" si="37"/>
        <v>126.11969637362354</v>
      </c>
      <c r="BK43" s="1080">
        <f t="shared" si="38"/>
        <v>0</v>
      </c>
      <c r="BL43" s="301">
        <f t="shared" si="39"/>
        <v>215.54350421734432</v>
      </c>
      <c r="BM43" s="104">
        <v>0</v>
      </c>
      <c r="BN43" s="302">
        <f t="shared" si="40"/>
        <v>215.54350421734432</v>
      </c>
    </row>
    <row r="44" spans="1:66">
      <c r="A44" s="127">
        <f>'Input data'!A74</f>
        <v>1974</v>
      </c>
      <c r="B44" s="866">
        <f>'Input data'!B74</f>
        <v>22.012900000000002</v>
      </c>
      <c r="C44" s="866">
        <f>'Baseline data (from input)'!B30</f>
        <v>578.73</v>
      </c>
      <c r="D44" s="777">
        <f>'Baseline data (from input)'!T30</f>
        <v>0.8</v>
      </c>
      <c r="E44" s="777">
        <f t="shared" si="41"/>
        <v>0.24001298204245269</v>
      </c>
      <c r="F44" s="777">
        <f t="shared" si="42"/>
        <v>0.30440139352934503</v>
      </c>
      <c r="G44" s="777">
        <f t="shared" si="43"/>
        <v>5.8998240613430578E-2</v>
      </c>
      <c r="H44" s="777">
        <f t="shared" si="44"/>
        <v>0</v>
      </c>
      <c r="I44" s="777">
        <f t="shared" si="45"/>
        <v>0</v>
      </c>
      <c r="J44" s="777">
        <f t="shared" si="46"/>
        <v>0</v>
      </c>
      <c r="K44" s="777">
        <f t="shared" si="47"/>
        <v>0.39658738381477154</v>
      </c>
      <c r="L44" s="874">
        <f t="shared" si="48"/>
        <v>0.99999999999999989</v>
      </c>
      <c r="N44" s="300">
        <f t="shared" si="1"/>
        <v>10191.620493600001</v>
      </c>
      <c r="O44" s="908">
        <f>Parameters!R145</f>
        <v>0.73</v>
      </c>
      <c r="P44" s="908">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906">
        <f t="shared" si="2"/>
        <v>448.18421223938253</v>
      </c>
      <c r="R44" s="906">
        <f t="shared" si="3"/>
        <v>448.18421223938253</v>
      </c>
      <c r="S44" s="286">
        <f t="shared" si="4"/>
        <v>0</v>
      </c>
      <c r="T44" s="906">
        <f t="shared" si="5"/>
        <v>3353.7103935369323</v>
      </c>
      <c r="U44" s="906">
        <f t="shared" si="6"/>
        <v>148.96951286436777</v>
      </c>
      <c r="V44" s="1072">
        <f t="shared" si="7"/>
        <v>99.313008576245181</v>
      </c>
      <c r="W44" s="1450">
        <f t="shared" si="8"/>
        <v>0.13527885904981399</v>
      </c>
      <c r="X44" s="914">
        <f>'Baseline data (from input)'!AS30*W44</f>
        <v>3989.0897356245496</v>
      </c>
      <c r="Y44" s="907">
        <f>Parameters!S145</f>
        <v>0.71500000000000008</v>
      </c>
      <c r="Z44" s="907">
        <f t="shared" si="9"/>
        <v>0.4</v>
      </c>
      <c r="AA44" s="906">
        <f t="shared" si="10"/>
        <v>570.43983219431072</v>
      </c>
      <c r="AB44" s="906">
        <f t="shared" si="11"/>
        <v>570.43983219431072</v>
      </c>
      <c r="AC44" s="286">
        <f t="shared" si="12"/>
        <v>0</v>
      </c>
      <c r="AD44" s="906">
        <f t="shared" si="13"/>
        <v>4591.645125652979</v>
      </c>
      <c r="AE44" s="906">
        <f t="shared" si="14"/>
        <v>206.17160414869741</v>
      </c>
      <c r="AF44" s="1072">
        <f t="shared" si="15"/>
        <v>137.44773609913162</v>
      </c>
      <c r="AG44" s="1448">
        <f t="shared" si="16"/>
        <v>0.13527885904981399</v>
      </c>
      <c r="AH44" s="914">
        <f>'Baseline data (from input)'!AS30*AG44</f>
        <v>3989.0897356245496</v>
      </c>
      <c r="AI44" s="907">
        <f>Parameters!S145</f>
        <v>0.71500000000000008</v>
      </c>
      <c r="AJ44" s="907">
        <f t="shared" si="17"/>
        <v>0.4</v>
      </c>
      <c r="AK44" s="906">
        <f t="shared" si="18"/>
        <v>570.43983219431072</v>
      </c>
      <c r="AL44" s="906">
        <f t="shared" si="19"/>
        <v>570.43983219431072</v>
      </c>
      <c r="AM44" s="286">
        <f t="shared" si="20"/>
        <v>0</v>
      </c>
      <c r="AN44" s="906">
        <f t="shared" si="21"/>
        <v>4591.645125652979</v>
      </c>
      <c r="AO44" s="906">
        <f t="shared" si="22"/>
        <v>206.17160414869741</v>
      </c>
      <c r="AP44" s="1072">
        <f t="shared" si="23"/>
        <v>137.44773609913162</v>
      </c>
      <c r="AR44" s="914">
        <v>0</v>
      </c>
      <c r="AS44" s="907">
        <v>1</v>
      </c>
      <c r="AT44" s="907">
        <f t="shared" si="24"/>
        <v>0.05</v>
      </c>
      <c r="AU44" s="906">
        <f t="shared" si="25"/>
        <v>0</v>
      </c>
      <c r="AV44" s="906">
        <f t="shared" si="26"/>
        <v>0</v>
      </c>
      <c r="AW44" s="286">
        <f t="shared" si="27"/>
        <v>0</v>
      </c>
      <c r="AX44" s="922">
        <f t="shared" si="28"/>
        <v>0</v>
      </c>
      <c r="AY44" s="922">
        <f t="shared" si="29"/>
        <v>0</v>
      </c>
      <c r="AZ44" s="1072">
        <f t="shared" si="30"/>
        <v>0</v>
      </c>
      <c r="BB44" s="300">
        <f t="shared" si="31"/>
        <v>99.313008576245181</v>
      </c>
      <c r="BC44" s="301">
        <f t="shared" si="32"/>
        <v>137.44773609913162</v>
      </c>
      <c r="BD44" s="1080">
        <f t="shared" si="33"/>
        <v>0</v>
      </c>
      <c r="BE44" s="301">
        <f t="shared" si="34"/>
        <v>236.7607446753768</v>
      </c>
      <c r="BF44" s="104">
        <v>0</v>
      </c>
      <c r="BG44" s="302">
        <f t="shared" si="35"/>
        <v>236.7607446753768</v>
      </c>
      <c r="BI44" s="300">
        <f t="shared" si="36"/>
        <v>99.313008576245181</v>
      </c>
      <c r="BJ44" s="301">
        <f t="shared" si="37"/>
        <v>137.44773609913162</v>
      </c>
      <c r="BK44" s="1080">
        <f t="shared" si="38"/>
        <v>0</v>
      </c>
      <c r="BL44" s="301">
        <f t="shared" si="39"/>
        <v>236.7607446753768</v>
      </c>
      <c r="BM44" s="104">
        <v>0</v>
      </c>
      <c r="BN44" s="302">
        <f t="shared" si="40"/>
        <v>236.7607446753768</v>
      </c>
    </row>
    <row r="45" spans="1:66">
      <c r="A45" s="127">
        <f>'Input data'!A75</f>
        <v>1975</v>
      </c>
      <c r="B45" s="866">
        <f>'Input data'!B75</f>
        <v>22.502480000000002</v>
      </c>
      <c r="C45" s="866">
        <f>'Baseline data (from input)'!B31</f>
        <v>578.73</v>
      </c>
      <c r="D45" s="777">
        <f>'Baseline data (from input)'!T31</f>
        <v>0.8</v>
      </c>
      <c r="E45" s="777">
        <f t="shared" si="41"/>
        <v>0.24001298204245269</v>
      </c>
      <c r="F45" s="777">
        <f t="shared" si="42"/>
        <v>0.30440139352934503</v>
      </c>
      <c r="G45" s="777">
        <f t="shared" si="43"/>
        <v>5.8998240613430578E-2</v>
      </c>
      <c r="H45" s="777">
        <f t="shared" si="44"/>
        <v>0</v>
      </c>
      <c r="I45" s="777">
        <f t="shared" si="45"/>
        <v>0</v>
      </c>
      <c r="J45" s="777">
        <f t="shared" si="46"/>
        <v>0</v>
      </c>
      <c r="K45" s="777">
        <f t="shared" si="47"/>
        <v>0.39658738381477154</v>
      </c>
      <c r="L45" s="874">
        <f t="shared" si="48"/>
        <v>0.99999999999999989</v>
      </c>
      <c r="N45" s="300">
        <f t="shared" si="1"/>
        <v>10418.288200320001</v>
      </c>
      <c r="O45" s="908">
        <f>Parameters!R146</f>
        <v>0.73</v>
      </c>
      <c r="P45" s="908">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906">
        <f t="shared" si="2"/>
        <v>458.15209591795991</v>
      </c>
      <c r="R45" s="906">
        <f t="shared" si="3"/>
        <v>458.15209591795991</v>
      </c>
      <c r="S45" s="286">
        <f t="shared" si="4"/>
        <v>0</v>
      </c>
      <c r="T45" s="906">
        <f t="shared" si="5"/>
        <v>3648.3001035041589</v>
      </c>
      <c r="U45" s="906">
        <f t="shared" si="6"/>
        <v>163.56238595073307</v>
      </c>
      <c r="V45" s="1072">
        <f t="shared" si="7"/>
        <v>109.04159063382205</v>
      </c>
      <c r="W45" s="1450">
        <f t="shared" si="8"/>
        <v>0.13527885904981399</v>
      </c>
      <c r="X45" s="914">
        <f>'Baseline data (from input)'!AS31*W45</f>
        <v>4056.7226848260902</v>
      </c>
      <c r="Y45" s="907">
        <f>Parameters!S146</f>
        <v>0.71500000000000008</v>
      </c>
      <c r="Z45" s="907">
        <f t="shared" si="9"/>
        <v>0.4</v>
      </c>
      <c r="AA45" s="906">
        <f t="shared" si="10"/>
        <v>580.11134393013106</v>
      </c>
      <c r="AB45" s="906">
        <f t="shared" si="11"/>
        <v>580.11134393013106</v>
      </c>
      <c r="AC45" s="286">
        <f t="shared" si="12"/>
        <v>0</v>
      </c>
      <c r="AD45" s="906">
        <f t="shared" si="13"/>
        <v>4947.8192943165222</v>
      </c>
      <c r="AE45" s="906">
        <f t="shared" si="14"/>
        <v>223.9371752665871</v>
      </c>
      <c r="AF45" s="1072">
        <f t="shared" si="15"/>
        <v>149.29145017772473</v>
      </c>
      <c r="AG45" s="1448">
        <f t="shared" si="16"/>
        <v>0.13527885904981399</v>
      </c>
      <c r="AH45" s="914">
        <f>'Baseline data (from input)'!AS31*AG45</f>
        <v>4056.7226848260902</v>
      </c>
      <c r="AI45" s="907">
        <f>Parameters!S146</f>
        <v>0.71500000000000008</v>
      </c>
      <c r="AJ45" s="907">
        <f t="shared" si="17"/>
        <v>0.4</v>
      </c>
      <c r="AK45" s="906">
        <f t="shared" si="18"/>
        <v>580.11134393013106</v>
      </c>
      <c r="AL45" s="906">
        <f t="shared" si="19"/>
        <v>580.11134393013106</v>
      </c>
      <c r="AM45" s="286">
        <f t="shared" si="20"/>
        <v>0</v>
      </c>
      <c r="AN45" s="906">
        <f t="shared" si="21"/>
        <v>4947.8192943165222</v>
      </c>
      <c r="AO45" s="906">
        <f t="shared" si="22"/>
        <v>223.9371752665871</v>
      </c>
      <c r="AP45" s="1072">
        <f t="shared" si="23"/>
        <v>149.29145017772473</v>
      </c>
      <c r="AR45" s="914">
        <v>0</v>
      </c>
      <c r="AS45" s="907">
        <v>1</v>
      </c>
      <c r="AT45" s="907">
        <f t="shared" si="24"/>
        <v>0.05</v>
      </c>
      <c r="AU45" s="906">
        <f t="shared" si="25"/>
        <v>0</v>
      </c>
      <c r="AV45" s="906">
        <f t="shared" si="26"/>
        <v>0</v>
      </c>
      <c r="AW45" s="286">
        <f t="shared" si="27"/>
        <v>0</v>
      </c>
      <c r="AX45" s="922">
        <f t="shared" si="28"/>
        <v>0</v>
      </c>
      <c r="AY45" s="922">
        <f t="shared" si="29"/>
        <v>0</v>
      </c>
      <c r="AZ45" s="1072">
        <f t="shared" si="30"/>
        <v>0</v>
      </c>
      <c r="BB45" s="300">
        <f t="shared" si="31"/>
        <v>109.04159063382205</v>
      </c>
      <c r="BC45" s="301">
        <f t="shared" si="32"/>
        <v>149.29145017772473</v>
      </c>
      <c r="BD45" s="1080">
        <f t="shared" si="33"/>
        <v>0</v>
      </c>
      <c r="BE45" s="301">
        <f t="shared" si="34"/>
        <v>258.33304081154677</v>
      </c>
      <c r="BF45" s="104">
        <v>0</v>
      </c>
      <c r="BG45" s="302">
        <f t="shared" si="35"/>
        <v>258.33304081154677</v>
      </c>
      <c r="BI45" s="300">
        <f t="shared" si="36"/>
        <v>109.04159063382205</v>
      </c>
      <c r="BJ45" s="301">
        <f t="shared" si="37"/>
        <v>149.29145017772473</v>
      </c>
      <c r="BK45" s="1080">
        <f t="shared" si="38"/>
        <v>0</v>
      </c>
      <c r="BL45" s="301">
        <f t="shared" si="39"/>
        <v>258.33304081154677</v>
      </c>
      <c r="BM45" s="104">
        <v>0</v>
      </c>
      <c r="BN45" s="302">
        <f t="shared" si="40"/>
        <v>258.33304081154677</v>
      </c>
    </row>
    <row r="46" spans="1:66">
      <c r="A46" s="127">
        <f>'Input data'!A76</f>
        <v>1976</v>
      </c>
      <c r="B46" s="866">
        <f>'Input data'!B76</f>
        <v>22.993880000000001</v>
      </c>
      <c r="C46" s="866">
        <f>'Baseline data (from input)'!B32</f>
        <v>578.73</v>
      </c>
      <c r="D46" s="777">
        <f>'Baseline data (from input)'!T32</f>
        <v>0.8</v>
      </c>
      <c r="E46" s="777">
        <f t="shared" si="41"/>
        <v>0.24001298204245269</v>
      </c>
      <c r="F46" s="777">
        <f t="shared" si="42"/>
        <v>0.30440139352934503</v>
      </c>
      <c r="G46" s="777">
        <f t="shared" si="43"/>
        <v>5.8998240613430578E-2</v>
      </c>
      <c r="H46" s="777">
        <f t="shared" si="44"/>
        <v>0</v>
      </c>
      <c r="I46" s="777">
        <f t="shared" si="45"/>
        <v>0</v>
      </c>
      <c r="J46" s="777">
        <f t="shared" si="46"/>
        <v>0</v>
      </c>
      <c r="K46" s="777">
        <f t="shared" si="47"/>
        <v>0.39658738381477154</v>
      </c>
      <c r="L46" s="874">
        <f t="shared" si="48"/>
        <v>0.99999999999999989</v>
      </c>
      <c r="N46" s="300">
        <f t="shared" si="1"/>
        <v>10645.798537920002</v>
      </c>
      <c r="O46" s="908">
        <f>Parameters!R147</f>
        <v>0.73</v>
      </c>
      <c r="P46" s="908">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906">
        <f t="shared" si="2"/>
        <v>468.15703492619758</v>
      </c>
      <c r="R46" s="906">
        <f t="shared" si="3"/>
        <v>468.15703492619758</v>
      </c>
      <c r="S46" s="286">
        <f t="shared" si="4"/>
        <v>0</v>
      </c>
      <c r="T46" s="906">
        <f t="shared" si="5"/>
        <v>3938.5274427883537</v>
      </c>
      <c r="U46" s="906">
        <f t="shared" si="6"/>
        <v>177.92969564200246</v>
      </c>
      <c r="V46" s="1072">
        <f t="shared" si="7"/>
        <v>118.6197970946683</v>
      </c>
      <c r="W46" s="1450">
        <f t="shared" si="8"/>
        <v>0.13527885904981399</v>
      </c>
      <c r="X46" s="914">
        <f>'Baseline data (from input)'!AS32*W46</f>
        <v>4147.9950529715297</v>
      </c>
      <c r="Y46" s="907">
        <f>Parameters!S147</f>
        <v>0.71500000000000008</v>
      </c>
      <c r="Z46" s="907">
        <f t="shared" si="9"/>
        <v>0.4</v>
      </c>
      <c r="AA46" s="906">
        <f t="shared" si="10"/>
        <v>593.16329257492885</v>
      </c>
      <c r="AB46" s="906">
        <f t="shared" si="11"/>
        <v>593.16329257492885</v>
      </c>
      <c r="AC46" s="286">
        <f t="shared" si="12"/>
        <v>0</v>
      </c>
      <c r="AD46" s="906">
        <f t="shared" si="13"/>
        <v>5299.6745924411634</v>
      </c>
      <c r="AE46" s="906">
        <f t="shared" si="14"/>
        <v>241.30799445028785</v>
      </c>
      <c r="AF46" s="1072">
        <f t="shared" si="15"/>
        <v>160.87199630019191</v>
      </c>
      <c r="AG46" s="1448">
        <f t="shared" si="16"/>
        <v>0.13527885904981399</v>
      </c>
      <c r="AH46" s="914">
        <f>'Baseline data (from input)'!AS32*AG46</f>
        <v>4147.9950529715297</v>
      </c>
      <c r="AI46" s="907">
        <f>Parameters!S147</f>
        <v>0.71500000000000008</v>
      </c>
      <c r="AJ46" s="907">
        <f t="shared" si="17"/>
        <v>0.4</v>
      </c>
      <c r="AK46" s="906">
        <f t="shared" si="18"/>
        <v>593.16329257492885</v>
      </c>
      <c r="AL46" s="906">
        <f t="shared" si="19"/>
        <v>593.16329257492885</v>
      </c>
      <c r="AM46" s="286">
        <f t="shared" si="20"/>
        <v>0</v>
      </c>
      <c r="AN46" s="906">
        <f t="shared" si="21"/>
        <v>5299.6745924411634</v>
      </c>
      <c r="AO46" s="906">
        <f t="shared" si="22"/>
        <v>241.30799445028785</v>
      </c>
      <c r="AP46" s="1072">
        <f t="shared" si="23"/>
        <v>160.87199630019191</v>
      </c>
      <c r="AR46" s="914">
        <v>0</v>
      </c>
      <c r="AS46" s="907">
        <v>1</v>
      </c>
      <c r="AT46" s="907">
        <f t="shared" si="24"/>
        <v>0.05</v>
      </c>
      <c r="AU46" s="906">
        <f t="shared" si="25"/>
        <v>0</v>
      </c>
      <c r="AV46" s="906">
        <f t="shared" si="26"/>
        <v>0</v>
      </c>
      <c r="AW46" s="286">
        <f t="shared" si="27"/>
        <v>0</v>
      </c>
      <c r="AX46" s="922">
        <f t="shared" si="28"/>
        <v>0</v>
      </c>
      <c r="AY46" s="922">
        <f t="shared" si="29"/>
        <v>0</v>
      </c>
      <c r="AZ46" s="1072">
        <f t="shared" si="30"/>
        <v>0</v>
      </c>
      <c r="BB46" s="300">
        <f t="shared" si="31"/>
        <v>118.6197970946683</v>
      </c>
      <c r="BC46" s="301">
        <f t="shared" si="32"/>
        <v>160.87199630019191</v>
      </c>
      <c r="BD46" s="1080">
        <f t="shared" si="33"/>
        <v>0</v>
      </c>
      <c r="BE46" s="301">
        <f t="shared" si="34"/>
        <v>279.49179339486022</v>
      </c>
      <c r="BF46" s="104">
        <v>0</v>
      </c>
      <c r="BG46" s="302">
        <f t="shared" si="35"/>
        <v>279.49179339486022</v>
      </c>
      <c r="BI46" s="300">
        <f t="shared" si="36"/>
        <v>118.6197970946683</v>
      </c>
      <c r="BJ46" s="301">
        <f t="shared" si="37"/>
        <v>160.87199630019191</v>
      </c>
      <c r="BK46" s="1080">
        <f t="shared" si="38"/>
        <v>0</v>
      </c>
      <c r="BL46" s="301">
        <f t="shared" si="39"/>
        <v>279.49179339486022</v>
      </c>
      <c r="BM46" s="104">
        <v>0</v>
      </c>
      <c r="BN46" s="302">
        <f t="shared" si="40"/>
        <v>279.49179339486022</v>
      </c>
    </row>
    <row r="47" spans="1:66">
      <c r="A47" s="127">
        <f>'Input data'!A77</f>
        <v>1977</v>
      </c>
      <c r="B47" s="866">
        <f>'Input data'!B77</f>
        <v>23.483460000000001</v>
      </c>
      <c r="C47" s="866">
        <f>'Baseline data (from input)'!B33</f>
        <v>578.73</v>
      </c>
      <c r="D47" s="777">
        <f>'Baseline data (from input)'!T33</f>
        <v>0.8</v>
      </c>
      <c r="E47" s="777">
        <f t="shared" si="41"/>
        <v>0.24001298204245269</v>
      </c>
      <c r="F47" s="777">
        <f t="shared" si="42"/>
        <v>0.30440139352934503</v>
      </c>
      <c r="G47" s="777">
        <f t="shared" si="43"/>
        <v>5.8998240613430578E-2</v>
      </c>
      <c r="H47" s="777">
        <f t="shared" si="44"/>
        <v>0</v>
      </c>
      <c r="I47" s="777">
        <f t="shared" si="45"/>
        <v>0</v>
      </c>
      <c r="J47" s="777">
        <f t="shared" si="46"/>
        <v>0</v>
      </c>
      <c r="K47" s="777">
        <f t="shared" si="47"/>
        <v>0.39658738381477154</v>
      </c>
      <c r="L47" s="874">
        <f t="shared" si="48"/>
        <v>0.99999999999999989</v>
      </c>
      <c r="N47" s="300">
        <f t="shared" si="1"/>
        <v>10872.466244640002</v>
      </c>
      <c r="O47" s="908">
        <f>Parameters!R148</f>
        <v>0.73</v>
      </c>
      <c r="P47" s="908">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906">
        <f t="shared" si="2"/>
        <v>478.12491860477496</v>
      </c>
      <c r="R47" s="906">
        <f t="shared" si="3"/>
        <v>478.12491860477496</v>
      </c>
      <c r="S47" s="286">
        <f t="shared" si="4"/>
        <v>0</v>
      </c>
      <c r="T47" s="906">
        <f t="shared" si="5"/>
        <v>4224.5681113886094</v>
      </c>
      <c r="U47" s="906">
        <f t="shared" si="6"/>
        <v>192.08425000451916</v>
      </c>
      <c r="V47" s="1072">
        <f t="shared" si="7"/>
        <v>128.05616666967944</v>
      </c>
      <c r="W47" s="1450">
        <f t="shared" si="8"/>
        <v>0.13527885904981399</v>
      </c>
      <c r="X47" s="914">
        <f>'Baseline data (from input)'!AS33*W47</f>
        <v>4144.0943807132735</v>
      </c>
      <c r="Y47" s="907">
        <f>Parameters!S148</f>
        <v>0.71500000000000008</v>
      </c>
      <c r="Z47" s="907">
        <f t="shared" si="9"/>
        <v>0.4</v>
      </c>
      <c r="AA47" s="906">
        <f t="shared" si="10"/>
        <v>592.60549644199818</v>
      </c>
      <c r="AB47" s="906">
        <f t="shared" si="11"/>
        <v>592.60549644199818</v>
      </c>
      <c r="AC47" s="286">
        <f t="shared" si="12"/>
        <v>0</v>
      </c>
      <c r="AD47" s="906">
        <f t="shared" si="13"/>
        <v>5633.8119090508626</v>
      </c>
      <c r="AE47" s="906">
        <f t="shared" si="14"/>
        <v>258.46817983229943</v>
      </c>
      <c r="AF47" s="1072">
        <f t="shared" si="15"/>
        <v>172.31211988819962</v>
      </c>
      <c r="AG47" s="1448">
        <f t="shared" si="16"/>
        <v>0.13527885904981399</v>
      </c>
      <c r="AH47" s="914">
        <f>'Baseline data (from input)'!AS33*AG47</f>
        <v>4144.0943807132735</v>
      </c>
      <c r="AI47" s="907">
        <f>Parameters!S148</f>
        <v>0.71500000000000008</v>
      </c>
      <c r="AJ47" s="907">
        <f t="shared" si="17"/>
        <v>0.4</v>
      </c>
      <c r="AK47" s="906">
        <f t="shared" si="18"/>
        <v>592.60549644199818</v>
      </c>
      <c r="AL47" s="906">
        <f t="shared" si="19"/>
        <v>592.60549644199818</v>
      </c>
      <c r="AM47" s="286">
        <f t="shared" si="20"/>
        <v>0</v>
      </c>
      <c r="AN47" s="906">
        <f t="shared" si="21"/>
        <v>5633.8119090508626</v>
      </c>
      <c r="AO47" s="906">
        <f t="shared" si="22"/>
        <v>258.46817983229943</v>
      </c>
      <c r="AP47" s="1072">
        <f t="shared" si="23"/>
        <v>172.31211988819962</v>
      </c>
      <c r="AR47" s="914">
        <v>0</v>
      </c>
      <c r="AS47" s="907">
        <v>1</v>
      </c>
      <c r="AT47" s="907">
        <f t="shared" si="24"/>
        <v>0.05</v>
      </c>
      <c r="AU47" s="906">
        <f t="shared" si="25"/>
        <v>0</v>
      </c>
      <c r="AV47" s="906">
        <f t="shared" si="26"/>
        <v>0</v>
      </c>
      <c r="AW47" s="286">
        <f t="shared" si="27"/>
        <v>0</v>
      </c>
      <c r="AX47" s="922">
        <f t="shared" si="28"/>
        <v>0</v>
      </c>
      <c r="AY47" s="922">
        <f t="shared" si="29"/>
        <v>0</v>
      </c>
      <c r="AZ47" s="1072">
        <f t="shared" si="30"/>
        <v>0</v>
      </c>
      <c r="BB47" s="300">
        <f t="shared" si="31"/>
        <v>128.05616666967944</v>
      </c>
      <c r="BC47" s="301">
        <f t="shared" si="32"/>
        <v>172.31211988819962</v>
      </c>
      <c r="BD47" s="1080">
        <f t="shared" si="33"/>
        <v>0</v>
      </c>
      <c r="BE47" s="301">
        <f t="shared" si="34"/>
        <v>300.36828655787906</v>
      </c>
      <c r="BF47" s="104">
        <v>0</v>
      </c>
      <c r="BG47" s="302">
        <f t="shared" si="35"/>
        <v>300.36828655787906</v>
      </c>
      <c r="BI47" s="300">
        <f t="shared" si="36"/>
        <v>128.05616666967944</v>
      </c>
      <c r="BJ47" s="301">
        <f t="shared" si="37"/>
        <v>172.31211988819962</v>
      </c>
      <c r="BK47" s="1080">
        <f t="shared" si="38"/>
        <v>0</v>
      </c>
      <c r="BL47" s="301">
        <f t="shared" si="39"/>
        <v>300.36828655787906</v>
      </c>
      <c r="BM47" s="104">
        <v>0</v>
      </c>
      <c r="BN47" s="302">
        <f t="shared" si="40"/>
        <v>300.36828655787906</v>
      </c>
    </row>
    <row r="48" spans="1:66">
      <c r="A48" s="127">
        <f>'Input data'!A78</f>
        <v>1978</v>
      </c>
      <c r="B48" s="866">
        <f>'Input data'!B78</f>
        <v>23.983049999999999</v>
      </c>
      <c r="C48" s="866">
        <f>'Baseline data (from input)'!B34</f>
        <v>578.73</v>
      </c>
      <c r="D48" s="777">
        <f>'Baseline data (from input)'!T34</f>
        <v>0.8</v>
      </c>
      <c r="E48" s="777">
        <f t="shared" si="41"/>
        <v>0.24001298204245269</v>
      </c>
      <c r="F48" s="777">
        <f t="shared" si="42"/>
        <v>0.30440139352934503</v>
      </c>
      <c r="G48" s="777">
        <f t="shared" si="43"/>
        <v>5.8998240613430578E-2</v>
      </c>
      <c r="H48" s="777">
        <f t="shared" si="44"/>
        <v>0</v>
      </c>
      <c r="I48" s="777">
        <f t="shared" si="45"/>
        <v>0</v>
      </c>
      <c r="J48" s="777">
        <f t="shared" si="46"/>
        <v>0</v>
      </c>
      <c r="K48" s="777">
        <f t="shared" si="47"/>
        <v>0.39658738381477154</v>
      </c>
      <c r="L48" s="874">
        <f t="shared" si="48"/>
        <v>0.99999999999999989</v>
      </c>
      <c r="N48" s="300">
        <f t="shared" si="1"/>
        <v>11103.7684212</v>
      </c>
      <c r="O48" s="908">
        <f>Parameters!R149</f>
        <v>0.73</v>
      </c>
      <c r="P48" s="908">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906">
        <f t="shared" si="2"/>
        <v>488.29660659648306</v>
      </c>
      <c r="R48" s="906">
        <f t="shared" si="3"/>
        <v>488.29660659648306</v>
      </c>
      <c r="S48" s="286">
        <f t="shared" si="4"/>
        <v>0</v>
      </c>
      <c r="T48" s="906">
        <f t="shared" si="5"/>
        <v>4506.8300999567382</v>
      </c>
      <c r="U48" s="906">
        <f t="shared" si="6"/>
        <v>206.03461802835417</v>
      </c>
      <c r="V48" s="1072">
        <f t="shared" si="7"/>
        <v>137.35641201890277</v>
      </c>
      <c r="W48" s="1450">
        <f t="shared" si="8"/>
        <v>0.13527885904981399</v>
      </c>
      <c r="X48" s="914">
        <f>'Baseline data (from input)'!AS34*W48</f>
        <v>4269.0201350171292</v>
      </c>
      <c r="Y48" s="907">
        <f>Parameters!S149</f>
        <v>0.71500000000000008</v>
      </c>
      <c r="Z48" s="907">
        <f t="shared" si="9"/>
        <v>0.4</v>
      </c>
      <c r="AA48" s="906">
        <f t="shared" si="10"/>
        <v>610.46987930744956</v>
      </c>
      <c r="AB48" s="906">
        <f t="shared" si="11"/>
        <v>610.46987930744956</v>
      </c>
      <c r="AC48" s="286">
        <f t="shared" si="12"/>
        <v>0</v>
      </c>
      <c r="AD48" s="906">
        <f t="shared" si="13"/>
        <v>5969.5175392991705</v>
      </c>
      <c r="AE48" s="906">
        <f t="shared" si="14"/>
        <v>274.7642490591416</v>
      </c>
      <c r="AF48" s="1072">
        <f t="shared" si="15"/>
        <v>183.17616603942773</v>
      </c>
      <c r="AG48" s="1448">
        <f t="shared" si="16"/>
        <v>0.13527885904981399</v>
      </c>
      <c r="AH48" s="914">
        <f>'Baseline data (from input)'!AS34*AG48</f>
        <v>4269.0201350171292</v>
      </c>
      <c r="AI48" s="907">
        <f>Parameters!S149</f>
        <v>0.71500000000000008</v>
      </c>
      <c r="AJ48" s="907">
        <f t="shared" si="17"/>
        <v>0.4</v>
      </c>
      <c r="AK48" s="906">
        <f t="shared" si="18"/>
        <v>610.46987930744956</v>
      </c>
      <c r="AL48" s="906">
        <f t="shared" si="19"/>
        <v>610.46987930744956</v>
      </c>
      <c r="AM48" s="286">
        <f t="shared" si="20"/>
        <v>0</v>
      </c>
      <c r="AN48" s="906">
        <f t="shared" si="21"/>
        <v>5969.5175392991705</v>
      </c>
      <c r="AO48" s="906">
        <f t="shared" si="22"/>
        <v>274.7642490591416</v>
      </c>
      <c r="AP48" s="1072">
        <f t="shared" si="23"/>
        <v>183.17616603942773</v>
      </c>
      <c r="AR48" s="914">
        <v>0</v>
      </c>
      <c r="AS48" s="907">
        <v>1</v>
      </c>
      <c r="AT48" s="907">
        <f t="shared" si="24"/>
        <v>0.05</v>
      </c>
      <c r="AU48" s="906">
        <f t="shared" si="25"/>
        <v>0</v>
      </c>
      <c r="AV48" s="906">
        <f t="shared" si="26"/>
        <v>0</v>
      </c>
      <c r="AW48" s="286">
        <f t="shared" si="27"/>
        <v>0</v>
      </c>
      <c r="AX48" s="922">
        <f t="shared" si="28"/>
        <v>0</v>
      </c>
      <c r="AY48" s="922">
        <f t="shared" si="29"/>
        <v>0</v>
      </c>
      <c r="AZ48" s="1072">
        <f t="shared" si="30"/>
        <v>0</v>
      </c>
      <c r="BB48" s="300">
        <f t="shared" si="31"/>
        <v>137.35641201890277</v>
      </c>
      <c r="BC48" s="301">
        <f t="shared" si="32"/>
        <v>183.17616603942773</v>
      </c>
      <c r="BD48" s="1080">
        <f t="shared" si="33"/>
        <v>0</v>
      </c>
      <c r="BE48" s="301">
        <f t="shared" si="34"/>
        <v>320.5325780583305</v>
      </c>
      <c r="BF48" s="104">
        <v>0</v>
      </c>
      <c r="BG48" s="302">
        <f t="shared" si="35"/>
        <v>320.5325780583305</v>
      </c>
      <c r="BI48" s="300">
        <f t="shared" si="36"/>
        <v>137.35641201890277</v>
      </c>
      <c r="BJ48" s="301">
        <f t="shared" si="37"/>
        <v>183.17616603942773</v>
      </c>
      <c r="BK48" s="1080">
        <f t="shared" si="38"/>
        <v>0</v>
      </c>
      <c r="BL48" s="301">
        <f t="shared" si="39"/>
        <v>320.5325780583305</v>
      </c>
      <c r="BM48" s="104">
        <v>0</v>
      </c>
      <c r="BN48" s="302">
        <f t="shared" si="40"/>
        <v>320.5325780583305</v>
      </c>
    </row>
    <row r="49" spans="1:66">
      <c r="A49" s="127">
        <f>'Input data'!A79</f>
        <v>1979</v>
      </c>
      <c r="B49" s="866">
        <f>'Input data'!B79</f>
        <v>24.516309999999997</v>
      </c>
      <c r="C49" s="866">
        <f>'Baseline data (from input)'!B35</f>
        <v>578.73</v>
      </c>
      <c r="D49" s="777">
        <f>'Baseline data (from input)'!T35</f>
        <v>0.8</v>
      </c>
      <c r="E49" s="777">
        <f t="shared" si="41"/>
        <v>0.24001298204245269</v>
      </c>
      <c r="F49" s="777">
        <f t="shared" si="42"/>
        <v>0.30440139352934503</v>
      </c>
      <c r="G49" s="777">
        <f t="shared" si="43"/>
        <v>5.8998240613430578E-2</v>
      </c>
      <c r="H49" s="777">
        <f t="shared" si="44"/>
        <v>0</v>
      </c>
      <c r="I49" s="777">
        <f t="shared" si="45"/>
        <v>0</v>
      </c>
      <c r="J49" s="777">
        <f t="shared" si="46"/>
        <v>0</v>
      </c>
      <c r="K49" s="777">
        <f t="shared" si="47"/>
        <v>0.39658738381477154</v>
      </c>
      <c r="L49" s="874">
        <f t="shared" si="48"/>
        <v>0.99999999999999989</v>
      </c>
      <c r="N49" s="300">
        <f t="shared" si="1"/>
        <v>11350.659269039999</v>
      </c>
      <c r="O49" s="908">
        <f>Parameters!R150</f>
        <v>0.73</v>
      </c>
      <c r="P49" s="908">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906">
        <f t="shared" si="2"/>
        <v>499.15381818690378</v>
      </c>
      <c r="R49" s="906">
        <f t="shared" si="3"/>
        <v>499.15381818690378</v>
      </c>
      <c r="S49" s="286">
        <f t="shared" si="4"/>
        <v>0</v>
      </c>
      <c r="T49" s="906">
        <f t="shared" si="5"/>
        <v>4786.1832204912471</v>
      </c>
      <c r="U49" s="906">
        <f t="shared" si="6"/>
        <v>219.80069765239469</v>
      </c>
      <c r="V49" s="1072">
        <f t="shared" si="7"/>
        <v>146.53379843492979</v>
      </c>
      <c r="W49" s="1450">
        <f t="shared" si="8"/>
        <v>0.13527885904981399</v>
      </c>
      <c r="X49" s="914">
        <f>'Baseline data (from input)'!AS35*W49</f>
        <v>4430.8375059700011</v>
      </c>
      <c r="Y49" s="907">
        <f>Parameters!S150</f>
        <v>0.71500000000000008</v>
      </c>
      <c r="Z49" s="907">
        <f t="shared" si="9"/>
        <v>0.4</v>
      </c>
      <c r="AA49" s="906">
        <f t="shared" si="10"/>
        <v>633.60976335371026</v>
      </c>
      <c r="AB49" s="906">
        <f t="shared" si="11"/>
        <v>633.60976335371026</v>
      </c>
      <c r="AC49" s="286">
        <f t="shared" si="12"/>
        <v>0</v>
      </c>
      <c r="AD49" s="906">
        <f t="shared" si="13"/>
        <v>6311.9904968081782</v>
      </c>
      <c r="AE49" s="906">
        <f t="shared" si="14"/>
        <v>291.13680584470205</v>
      </c>
      <c r="AF49" s="1072">
        <f t="shared" si="15"/>
        <v>194.09120389646804</v>
      </c>
      <c r="AG49" s="1448">
        <f t="shared" si="16"/>
        <v>0.13527885904981399</v>
      </c>
      <c r="AH49" s="914">
        <f>'Baseline data (from input)'!AS35*AG49</f>
        <v>4430.8375059700011</v>
      </c>
      <c r="AI49" s="907">
        <f>Parameters!S150</f>
        <v>0.71500000000000008</v>
      </c>
      <c r="AJ49" s="907">
        <f t="shared" si="17"/>
        <v>0.4</v>
      </c>
      <c r="AK49" s="906">
        <f t="shared" si="18"/>
        <v>633.60976335371026</v>
      </c>
      <c r="AL49" s="906">
        <f t="shared" si="19"/>
        <v>633.60976335371026</v>
      </c>
      <c r="AM49" s="286">
        <f t="shared" si="20"/>
        <v>0</v>
      </c>
      <c r="AN49" s="906">
        <f t="shared" si="21"/>
        <v>6311.9904968081782</v>
      </c>
      <c r="AO49" s="906">
        <f t="shared" si="22"/>
        <v>291.13680584470205</v>
      </c>
      <c r="AP49" s="1072">
        <f t="shared" si="23"/>
        <v>194.09120389646804</v>
      </c>
      <c r="AR49" s="914">
        <v>0</v>
      </c>
      <c r="AS49" s="907">
        <v>1</v>
      </c>
      <c r="AT49" s="907">
        <f t="shared" si="24"/>
        <v>0.05</v>
      </c>
      <c r="AU49" s="906">
        <f t="shared" si="25"/>
        <v>0</v>
      </c>
      <c r="AV49" s="906">
        <f t="shared" si="26"/>
        <v>0</v>
      </c>
      <c r="AW49" s="198">
        <f t="shared" si="27"/>
        <v>0</v>
      </c>
      <c r="AX49" s="922">
        <f t="shared" si="28"/>
        <v>0</v>
      </c>
      <c r="AY49" s="922">
        <f t="shared" si="29"/>
        <v>0</v>
      </c>
      <c r="AZ49" s="1072">
        <f t="shared" si="30"/>
        <v>0</v>
      </c>
      <c r="BB49" s="300">
        <f t="shared" si="31"/>
        <v>146.53379843492979</v>
      </c>
      <c r="BC49" s="301">
        <f t="shared" si="32"/>
        <v>194.09120389646804</v>
      </c>
      <c r="BD49" s="1080">
        <f t="shared" si="33"/>
        <v>0</v>
      </c>
      <c r="BE49" s="301">
        <f t="shared" si="34"/>
        <v>340.62500233139781</v>
      </c>
      <c r="BF49" s="104">
        <v>0</v>
      </c>
      <c r="BG49" s="302">
        <f t="shared" si="35"/>
        <v>340.62500233139781</v>
      </c>
      <c r="BI49" s="300">
        <f t="shared" si="36"/>
        <v>146.53379843492979</v>
      </c>
      <c r="BJ49" s="301">
        <f t="shared" si="37"/>
        <v>194.09120389646804</v>
      </c>
      <c r="BK49" s="1080">
        <f t="shared" si="38"/>
        <v>0</v>
      </c>
      <c r="BL49" s="301">
        <f t="shared" si="39"/>
        <v>340.62500233139781</v>
      </c>
      <c r="BM49" s="104">
        <v>0</v>
      </c>
      <c r="BN49" s="302">
        <f t="shared" si="40"/>
        <v>340.62500233139781</v>
      </c>
    </row>
    <row r="50" spans="1:66">
      <c r="A50" s="127">
        <f>'Input data'!A80</f>
        <v>1980</v>
      </c>
      <c r="B50" s="866">
        <f>'Input data'!B80</f>
        <v>25.094160000000002</v>
      </c>
      <c r="C50" s="866">
        <f>'Baseline data (from input)'!B36</f>
        <v>578.73</v>
      </c>
      <c r="D50" s="777">
        <f>'Baseline data (from input)'!T36</f>
        <v>0.8</v>
      </c>
      <c r="E50" s="777">
        <f t="shared" si="41"/>
        <v>0.24001298204245269</v>
      </c>
      <c r="F50" s="777">
        <f t="shared" si="42"/>
        <v>0.30440139352934503</v>
      </c>
      <c r="G50" s="777">
        <f t="shared" si="43"/>
        <v>5.8998240613430578E-2</v>
      </c>
      <c r="H50" s="777">
        <f t="shared" si="44"/>
        <v>0</v>
      </c>
      <c r="I50" s="777">
        <f t="shared" si="45"/>
        <v>0</v>
      </c>
      <c r="J50" s="777">
        <f t="shared" si="46"/>
        <v>0</v>
      </c>
      <c r="K50" s="777">
        <f t="shared" si="47"/>
        <v>0.39658738381477154</v>
      </c>
      <c r="L50" s="874">
        <f t="shared" si="48"/>
        <v>0.99999999999999989</v>
      </c>
      <c r="N50" s="300">
        <f t="shared" si="1"/>
        <v>11618.194573440001</v>
      </c>
      <c r="O50" s="908">
        <f>Parameters!R151</f>
        <v>0.73</v>
      </c>
      <c r="P50" s="908">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906">
        <f t="shared" si="2"/>
        <v>510.91888535399806</v>
      </c>
      <c r="R50" s="906">
        <f t="shared" si="3"/>
        <v>510.91888535399806</v>
      </c>
      <c r="S50" s="286">
        <f t="shared" si="4"/>
        <v>0</v>
      </c>
      <c r="T50" s="906">
        <f t="shared" si="5"/>
        <v>5063.677195736861</v>
      </c>
      <c r="U50" s="906">
        <f t="shared" si="6"/>
        <v>233.4249101083841</v>
      </c>
      <c r="V50" s="1072">
        <f t="shared" si="7"/>
        <v>155.61660673892274</v>
      </c>
      <c r="W50" s="1450">
        <f t="shared" si="8"/>
        <v>0.13527885904981399</v>
      </c>
      <c r="X50" s="914">
        <f>'Baseline data (from input)'!AS36*W50</f>
        <v>4724.1848728536042</v>
      </c>
      <c r="Y50" s="907">
        <f>Parameters!S151</f>
        <v>0.71500000000000008</v>
      </c>
      <c r="Z50" s="907">
        <f t="shared" si="9"/>
        <v>0.4</v>
      </c>
      <c r="AA50" s="906">
        <f t="shared" si="10"/>
        <v>675.5584368180655</v>
      </c>
      <c r="AB50" s="906">
        <f t="shared" si="11"/>
        <v>675.5584368180655</v>
      </c>
      <c r="AC50" s="286">
        <f t="shared" si="12"/>
        <v>0</v>
      </c>
      <c r="AD50" s="906">
        <f t="shared" si="13"/>
        <v>6679.7095245508845</v>
      </c>
      <c r="AE50" s="906">
        <f t="shared" si="14"/>
        <v>307.8394090753589</v>
      </c>
      <c r="AF50" s="1072">
        <f t="shared" si="15"/>
        <v>205.22627271690592</v>
      </c>
      <c r="AG50" s="1448">
        <f t="shared" si="16"/>
        <v>0.13527885904981399</v>
      </c>
      <c r="AH50" s="914">
        <f>'Baseline data (from input)'!AS36*AG50</f>
        <v>4724.1848728536042</v>
      </c>
      <c r="AI50" s="907">
        <f>Parameters!S151</f>
        <v>0.71500000000000008</v>
      </c>
      <c r="AJ50" s="907">
        <f t="shared" si="17"/>
        <v>0.4</v>
      </c>
      <c r="AK50" s="906">
        <f t="shared" si="18"/>
        <v>675.5584368180655</v>
      </c>
      <c r="AL50" s="906">
        <f t="shared" si="19"/>
        <v>675.5584368180655</v>
      </c>
      <c r="AM50" s="286">
        <f t="shared" si="20"/>
        <v>0</v>
      </c>
      <c r="AN50" s="906">
        <f t="shared" si="21"/>
        <v>6679.7095245508845</v>
      </c>
      <c r="AO50" s="906">
        <f t="shared" si="22"/>
        <v>307.8394090753589</v>
      </c>
      <c r="AP50" s="1072">
        <f t="shared" si="23"/>
        <v>205.22627271690592</v>
      </c>
      <c r="AR50" s="914">
        <v>0</v>
      </c>
      <c r="AS50" s="907">
        <v>1</v>
      </c>
      <c r="AT50" s="907">
        <f t="shared" si="24"/>
        <v>0.05</v>
      </c>
      <c r="AU50" s="906">
        <f t="shared" si="25"/>
        <v>0</v>
      </c>
      <c r="AV50" s="906">
        <f t="shared" si="26"/>
        <v>0</v>
      </c>
      <c r="AW50" s="198">
        <f t="shared" si="27"/>
        <v>0</v>
      </c>
      <c r="AX50" s="922">
        <f t="shared" ref="AX50:AX70" si="49">AV50+(AX49*$E$8)</f>
        <v>0</v>
      </c>
      <c r="AY50" s="922">
        <f t="shared" si="29"/>
        <v>0</v>
      </c>
      <c r="AZ50" s="1072">
        <f t="shared" si="30"/>
        <v>0</v>
      </c>
      <c r="BB50" s="300">
        <f t="shared" si="31"/>
        <v>155.61660673892274</v>
      </c>
      <c r="BC50" s="301">
        <f t="shared" si="32"/>
        <v>205.22627271690592</v>
      </c>
      <c r="BD50" s="1080">
        <f t="shared" si="33"/>
        <v>0</v>
      </c>
      <c r="BE50" s="301">
        <f t="shared" si="34"/>
        <v>360.84287945582867</v>
      </c>
      <c r="BF50" s="104">
        <v>0</v>
      </c>
      <c r="BG50" s="302">
        <f t="shared" si="35"/>
        <v>360.84287945582867</v>
      </c>
      <c r="BI50" s="300">
        <f t="shared" si="36"/>
        <v>155.61660673892274</v>
      </c>
      <c r="BJ50" s="301">
        <f t="shared" si="37"/>
        <v>205.22627271690592</v>
      </c>
      <c r="BK50" s="1080">
        <f t="shared" si="38"/>
        <v>0</v>
      </c>
      <c r="BL50" s="301">
        <f t="shared" si="39"/>
        <v>360.84287945582867</v>
      </c>
      <c r="BM50" s="104">
        <v>0</v>
      </c>
      <c r="BN50" s="302">
        <f t="shared" si="40"/>
        <v>360.84287945582867</v>
      </c>
    </row>
    <row r="51" spans="1:66">
      <c r="A51" s="127">
        <f>'Input data'!A81</f>
        <v>1981</v>
      </c>
      <c r="B51" s="866">
        <f>'Input data'!B81</f>
        <v>25.712049999999998</v>
      </c>
      <c r="C51" s="866">
        <f>'Baseline data (from input)'!B37</f>
        <v>578.73</v>
      </c>
      <c r="D51" s="777">
        <f>'Baseline data (from input)'!T37</f>
        <v>0.8</v>
      </c>
      <c r="E51" s="777">
        <f t="shared" si="41"/>
        <v>0.24001298204245269</v>
      </c>
      <c r="F51" s="777">
        <f t="shared" si="42"/>
        <v>0.30440139352934503</v>
      </c>
      <c r="G51" s="777">
        <f t="shared" si="43"/>
        <v>5.8998240613430578E-2</v>
      </c>
      <c r="H51" s="777">
        <f t="shared" si="44"/>
        <v>0</v>
      </c>
      <c r="I51" s="777">
        <f t="shared" si="45"/>
        <v>0</v>
      </c>
      <c r="J51" s="777">
        <f t="shared" si="46"/>
        <v>0</v>
      </c>
      <c r="K51" s="777">
        <f t="shared" si="47"/>
        <v>0.39658738381477154</v>
      </c>
      <c r="L51" s="874">
        <f t="shared" si="48"/>
        <v>0.99999999999999989</v>
      </c>
      <c r="N51" s="300">
        <f t="shared" si="1"/>
        <v>11904.267757200001</v>
      </c>
      <c r="O51" s="908">
        <f>Parameters!R152</f>
        <v>0.73</v>
      </c>
      <c r="P51" s="908">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906">
        <f t="shared" si="2"/>
        <v>523.49916977361522</v>
      </c>
      <c r="R51" s="906">
        <f t="shared" si="3"/>
        <v>523.49916977361522</v>
      </c>
      <c r="S51" s="286">
        <f t="shared" si="4"/>
        <v>0</v>
      </c>
      <c r="T51" s="906">
        <f t="shared" si="5"/>
        <v>5340.2179145317787</v>
      </c>
      <c r="U51" s="906">
        <f t="shared" si="6"/>
        <v>246.9584509786973</v>
      </c>
      <c r="V51" s="1072">
        <f t="shared" si="7"/>
        <v>164.63896731913152</v>
      </c>
      <c r="W51" s="1450">
        <f t="shared" si="8"/>
        <v>0.13527885904981399</v>
      </c>
      <c r="X51" s="914">
        <f>'Baseline data (from input)'!AS37*W51</f>
        <v>4977.4360190754041</v>
      </c>
      <c r="Y51" s="907">
        <f>Parameters!S152</f>
        <v>0.71500000000000008</v>
      </c>
      <c r="Z51" s="907">
        <f t="shared" si="9"/>
        <v>0.4</v>
      </c>
      <c r="AA51" s="906">
        <f t="shared" si="10"/>
        <v>711.77335072778294</v>
      </c>
      <c r="AB51" s="906">
        <f t="shared" si="11"/>
        <v>711.77335072778294</v>
      </c>
      <c r="AC51" s="286">
        <f t="shared" si="12"/>
        <v>0</v>
      </c>
      <c r="AD51" s="906">
        <f t="shared" si="13"/>
        <v>7065.7095975982584</v>
      </c>
      <c r="AE51" s="906">
        <f t="shared" si="14"/>
        <v>325.77327768040857</v>
      </c>
      <c r="AF51" s="1072">
        <f t="shared" si="15"/>
        <v>217.18218512027238</v>
      </c>
      <c r="AG51" s="1448">
        <f t="shared" si="16"/>
        <v>0.13527885904981399</v>
      </c>
      <c r="AH51" s="914">
        <f>'Baseline data (from input)'!AS37*AG51</f>
        <v>4977.4360190754041</v>
      </c>
      <c r="AI51" s="907">
        <f>Parameters!S152</f>
        <v>0.71500000000000008</v>
      </c>
      <c r="AJ51" s="907">
        <f t="shared" si="17"/>
        <v>0.4</v>
      </c>
      <c r="AK51" s="906">
        <f t="shared" si="18"/>
        <v>711.77335072778294</v>
      </c>
      <c r="AL51" s="906">
        <f t="shared" si="19"/>
        <v>711.77335072778294</v>
      </c>
      <c r="AM51" s="286">
        <f t="shared" si="20"/>
        <v>0</v>
      </c>
      <c r="AN51" s="906">
        <f t="shared" si="21"/>
        <v>7065.7095975982584</v>
      </c>
      <c r="AO51" s="906">
        <f t="shared" si="22"/>
        <v>325.77327768040857</v>
      </c>
      <c r="AP51" s="1072">
        <f t="shared" si="23"/>
        <v>217.18218512027238</v>
      </c>
      <c r="AR51" s="914">
        <v>0</v>
      </c>
      <c r="AS51" s="907">
        <v>1</v>
      </c>
      <c r="AT51" s="907">
        <f t="shared" si="24"/>
        <v>0.05</v>
      </c>
      <c r="AU51" s="906">
        <f t="shared" si="25"/>
        <v>0</v>
      </c>
      <c r="AV51" s="906">
        <f t="shared" si="26"/>
        <v>0</v>
      </c>
      <c r="AW51" s="198">
        <f t="shared" si="27"/>
        <v>0</v>
      </c>
      <c r="AX51" s="922">
        <f t="shared" si="49"/>
        <v>0</v>
      </c>
      <c r="AY51" s="922">
        <f t="shared" si="29"/>
        <v>0</v>
      </c>
      <c r="AZ51" s="1072">
        <f t="shared" si="30"/>
        <v>0</v>
      </c>
      <c r="BB51" s="300">
        <f t="shared" si="31"/>
        <v>164.63896731913152</v>
      </c>
      <c r="BC51" s="301">
        <f t="shared" si="32"/>
        <v>217.18218512027238</v>
      </c>
      <c r="BD51" s="1080">
        <f t="shared" si="33"/>
        <v>0</v>
      </c>
      <c r="BE51" s="301">
        <f t="shared" si="34"/>
        <v>381.82115243940393</v>
      </c>
      <c r="BF51" s="104">
        <v>0</v>
      </c>
      <c r="BG51" s="302">
        <f t="shared" si="35"/>
        <v>381.82115243940393</v>
      </c>
      <c r="BI51" s="300">
        <f t="shared" si="36"/>
        <v>164.63896731913152</v>
      </c>
      <c r="BJ51" s="301">
        <f t="shared" si="37"/>
        <v>217.18218512027238</v>
      </c>
      <c r="BK51" s="1080">
        <f t="shared" si="38"/>
        <v>0</v>
      </c>
      <c r="BL51" s="301">
        <f t="shared" si="39"/>
        <v>381.82115243940393</v>
      </c>
      <c r="BM51" s="104">
        <v>0</v>
      </c>
      <c r="BN51" s="302">
        <f t="shared" si="40"/>
        <v>381.82115243940393</v>
      </c>
    </row>
    <row r="52" spans="1:66">
      <c r="A52" s="127">
        <f>'Input data'!A82</f>
        <v>1982</v>
      </c>
      <c r="B52" s="866">
        <f>'Input data'!B82</f>
        <v>26.364520000000002</v>
      </c>
      <c r="C52" s="866">
        <f>'Baseline data (from input)'!B38</f>
        <v>578.73</v>
      </c>
      <c r="D52" s="777">
        <f>'Baseline data (from input)'!T38</f>
        <v>0.8</v>
      </c>
      <c r="E52" s="777">
        <f t="shared" si="41"/>
        <v>0.24001298204245269</v>
      </c>
      <c r="F52" s="777">
        <f t="shared" si="42"/>
        <v>0.30440139352934503</v>
      </c>
      <c r="G52" s="777">
        <f t="shared" si="43"/>
        <v>5.8998240613430578E-2</v>
      </c>
      <c r="H52" s="777">
        <f t="shared" si="44"/>
        <v>0</v>
      </c>
      <c r="I52" s="777">
        <f t="shared" si="45"/>
        <v>0</v>
      </c>
      <c r="J52" s="777">
        <f t="shared" si="46"/>
        <v>0</v>
      </c>
      <c r="K52" s="777">
        <f t="shared" si="47"/>
        <v>0.39658738381477154</v>
      </c>
      <c r="L52" s="874">
        <f t="shared" si="48"/>
        <v>0.99999999999999989</v>
      </c>
      <c r="N52" s="300">
        <f t="shared" ref="N52:N83" si="50">B52*C52*D52</f>
        <v>12206.350927680003</v>
      </c>
      <c r="O52" s="908">
        <f>Parameters!R153</f>
        <v>0.73</v>
      </c>
      <c r="P52" s="908">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906">
        <f t="shared" si="2"/>
        <v>536.78350545677517</v>
      </c>
      <c r="R52" s="906">
        <f t="shared" si="3"/>
        <v>536.78350545677517</v>
      </c>
      <c r="S52" s="286">
        <f t="shared" si="4"/>
        <v>0</v>
      </c>
      <c r="T52" s="906">
        <f t="shared" si="5"/>
        <v>5616.5559190052418</v>
      </c>
      <c r="U52" s="906">
        <f t="shared" si="6"/>
        <v>260.44550098331166</v>
      </c>
      <c r="V52" s="1072">
        <f t="shared" si="7"/>
        <v>173.63033398887444</v>
      </c>
      <c r="W52" s="1450">
        <f t="shared" si="8"/>
        <v>0.13527885904981399</v>
      </c>
      <c r="X52" s="914">
        <f>'Baseline data (from input)'!AS38*W52</f>
        <v>4958.3529888453886</v>
      </c>
      <c r="Y52" s="907">
        <f>Parameters!S153</f>
        <v>0.71500000000000008</v>
      </c>
      <c r="Z52" s="907">
        <f t="shared" si="9"/>
        <v>0.4</v>
      </c>
      <c r="AA52" s="906">
        <f t="shared" si="10"/>
        <v>709.0444774048907</v>
      </c>
      <c r="AB52" s="906">
        <f t="shared" si="11"/>
        <v>709.0444774048907</v>
      </c>
      <c r="AC52" s="286">
        <f t="shared" si="12"/>
        <v>0</v>
      </c>
      <c r="AD52" s="906">
        <f t="shared" si="13"/>
        <v>7430.1553516174536</v>
      </c>
      <c r="AE52" s="906">
        <f t="shared" si="14"/>
        <v>344.59872338569545</v>
      </c>
      <c r="AF52" s="1072">
        <f t="shared" si="15"/>
        <v>229.7324822571303</v>
      </c>
      <c r="AG52" s="1448">
        <f t="shared" si="16"/>
        <v>0.13527885904981399</v>
      </c>
      <c r="AH52" s="914">
        <f>'Baseline data (from input)'!AS38*AG52</f>
        <v>4958.3529888453886</v>
      </c>
      <c r="AI52" s="907">
        <f>Parameters!S153</f>
        <v>0.71500000000000008</v>
      </c>
      <c r="AJ52" s="907">
        <f t="shared" si="17"/>
        <v>0.4</v>
      </c>
      <c r="AK52" s="906">
        <f t="shared" si="18"/>
        <v>709.0444774048907</v>
      </c>
      <c r="AL52" s="906">
        <f t="shared" si="19"/>
        <v>709.0444774048907</v>
      </c>
      <c r="AM52" s="286">
        <f t="shared" si="20"/>
        <v>0</v>
      </c>
      <c r="AN52" s="906">
        <f t="shared" si="21"/>
        <v>7430.1553516174536</v>
      </c>
      <c r="AO52" s="906">
        <f t="shared" si="22"/>
        <v>344.59872338569545</v>
      </c>
      <c r="AP52" s="1072">
        <f t="shared" si="23"/>
        <v>229.7324822571303</v>
      </c>
      <c r="AR52" s="914">
        <v>0</v>
      </c>
      <c r="AS52" s="907">
        <v>1</v>
      </c>
      <c r="AT52" s="907">
        <f t="shared" si="24"/>
        <v>0.05</v>
      </c>
      <c r="AU52" s="906">
        <f t="shared" si="25"/>
        <v>0</v>
      </c>
      <c r="AV52" s="906">
        <f t="shared" si="26"/>
        <v>0</v>
      </c>
      <c r="AW52" s="198">
        <f t="shared" si="27"/>
        <v>0</v>
      </c>
      <c r="AX52" s="922">
        <f t="shared" si="49"/>
        <v>0</v>
      </c>
      <c r="AY52" s="922">
        <f t="shared" si="29"/>
        <v>0</v>
      </c>
      <c r="AZ52" s="1072">
        <f t="shared" si="30"/>
        <v>0</v>
      </c>
      <c r="BB52" s="300">
        <f t="shared" si="31"/>
        <v>173.63033398887444</v>
      </c>
      <c r="BC52" s="301">
        <f t="shared" si="32"/>
        <v>229.7324822571303</v>
      </c>
      <c r="BD52" s="1080">
        <f t="shared" si="33"/>
        <v>0</v>
      </c>
      <c r="BE52" s="301">
        <f t="shared" si="34"/>
        <v>403.36281624600474</v>
      </c>
      <c r="BF52" s="104">
        <v>0</v>
      </c>
      <c r="BG52" s="302">
        <f t="shared" si="35"/>
        <v>403.36281624600474</v>
      </c>
      <c r="BI52" s="300">
        <f t="shared" si="36"/>
        <v>173.63033398887444</v>
      </c>
      <c r="BJ52" s="301">
        <f t="shared" si="37"/>
        <v>229.7324822571303</v>
      </c>
      <c r="BK52" s="1080">
        <f t="shared" si="38"/>
        <v>0</v>
      </c>
      <c r="BL52" s="301">
        <f t="shared" si="39"/>
        <v>403.36281624600474</v>
      </c>
      <c r="BM52" s="104">
        <v>0</v>
      </c>
      <c r="BN52" s="302">
        <f t="shared" si="40"/>
        <v>403.36281624600474</v>
      </c>
    </row>
    <row r="53" spans="1:66">
      <c r="A53" s="127">
        <f>'Input data'!A83</f>
        <v>1983</v>
      </c>
      <c r="B53" s="866">
        <f>'Input data'!B83</f>
        <v>27.048839999999998</v>
      </c>
      <c r="C53" s="866">
        <f>'Baseline data (from input)'!B39</f>
        <v>578.73</v>
      </c>
      <c r="D53" s="777">
        <f>'Baseline data (from input)'!T39</f>
        <v>0.8</v>
      </c>
      <c r="E53" s="777">
        <f t="shared" si="41"/>
        <v>0.24001298204245269</v>
      </c>
      <c r="F53" s="777">
        <f t="shared" si="42"/>
        <v>0.30440139352934503</v>
      </c>
      <c r="G53" s="777">
        <f t="shared" si="43"/>
        <v>5.8998240613430578E-2</v>
      </c>
      <c r="H53" s="777">
        <f t="shared" si="44"/>
        <v>0</v>
      </c>
      <c r="I53" s="777">
        <f t="shared" si="45"/>
        <v>0</v>
      </c>
      <c r="J53" s="777">
        <f t="shared" si="46"/>
        <v>0</v>
      </c>
      <c r="K53" s="777">
        <f t="shared" si="47"/>
        <v>0.39658738381477154</v>
      </c>
      <c r="L53" s="874">
        <f t="shared" si="48"/>
        <v>0.99999999999999989</v>
      </c>
      <c r="N53" s="300">
        <f t="shared" si="50"/>
        <v>12523.180138560001</v>
      </c>
      <c r="O53" s="908">
        <f>Parameters!R154</f>
        <v>0.73</v>
      </c>
      <c r="P53" s="908">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906">
        <f t="shared" si="2"/>
        <v>550.7163094089874</v>
      </c>
      <c r="R53" s="906">
        <f t="shared" si="3"/>
        <v>550.7163094089874</v>
      </c>
      <c r="S53" s="286">
        <f t="shared" si="4"/>
        <v>0</v>
      </c>
      <c r="T53" s="906">
        <f t="shared" si="5"/>
        <v>5893.349563920422</v>
      </c>
      <c r="U53" s="906">
        <f t="shared" si="6"/>
        <v>273.92266449380674</v>
      </c>
      <c r="V53" s="1072">
        <f t="shared" si="7"/>
        <v>182.61510966253783</v>
      </c>
      <c r="W53" s="1450">
        <f t="shared" si="8"/>
        <v>0.13527885904981399</v>
      </c>
      <c r="X53" s="914">
        <f>'Baseline data (from input)'!AS39*W53</f>
        <v>4866.7947955796999</v>
      </c>
      <c r="Y53" s="907">
        <f>Parameters!S154</f>
        <v>0.71500000000000008</v>
      </c>
      <c r="Z53" s="907">
        <f t="shared" si="9"/>
        <v>0.4</v>
      </c>
      <c r="AA53" s="906">
        <f t="shared" si="10"/>
        <v>695.95165576789725</v>
      </c>
      <c r="AB53" s="906">
        <f t="shared" si="11"/>
        <v>695.95165576789725</v>
      </c>
      <c r="AC53" s="286">
        <f t="shared" si="12"/>
        <v>0</v>
      </c>
      <c r="AD53" s="906">
        <f t="shared" si="13"/>
        <v>7763.7340548378679</v>
      </c>
      <c r="AE53" s="906">
        <f t="shared" si="14"/>
        <v>362.37295254748284</v>
      </c>
      <c r="AF53" s="1072">
        <f t="shared" si="15"/>
        <v>241.58196836498857</v>
      </c>
      <c r="AG53" s="1448">
        <f t="shared" si="16"/>
        <v>0.13527885904981399</v>
      </c>
      <c r="AH53" s="914">
        <f>'Baseline data (from input)'!AS39*AG53</f>
        <v>4866.7947955796999</v>
      </c>
      <c r="AI53" s="907">
        <f>Parameters!S154</f>
        <v>0.71500000000000008</v>
      </c>
      <c r="AJ53" s="907">
        <f t="shared" si="17"/>
        <v>0.4</v>
      </c>
      <c r="AK53" s="906">
        <f t="shared" si="18"/>
        <v>695.95165576789725</v>
      </c>
      <c r="AL53" s="906">
        <f t="shared" si="19"/>
        <v>695.95165576789725</v>
      </c>
      <c r="AM53" s="286">
        <f t="shared" si="20"/>
        <v>0</v>
      </c>
      <c r="AN53" s="906">
        <f t="shared" si="21"/>
        <v>7763.7340548378679</v>
      </c>
      <c r="AO53" s="906">
        <f t="shared" si="22"/>
        <v>362.37295254748284</v>
      </c>
      <c r="AP53" s="1072">
        <f t="shared" si="23"/>
        <v>241.58196836498857</v>
      </c>
      <c r="AR53" s="914">
        <v>0</v>
      </c>
      <c r="AS53" s="907">
        <v>1</v>
      </c>
      <c r="AT53" s="907">
        <f t="shared" si="24"/>
        <v>0.05</v>
      </c>
      <c r="AU53" s="906">
        <f t="shared" si="25"/>
        <v>0</v>
      </c>
      <c r="AV53" s="906">
        <f t="shared" si="26"/>
        <v>0</v>
      </c>
      <c r="AW53" s="198">
        <f t="shared" si="27"/>
        <v>0</v>
      </c>
      <c r="AX53" s="922">
        <f t="shared" si="49"/>
        <v>0</v>
      </c>
      <c r="AY53" s="922">
        <f t="shared" si="29"/>
        <v>0</v>
      </c>
      <c r="AZ53" s="1072">
        <f t="shared" si="30"/>
        <v>0</v>
      </c>
      <c r="BB53" s="300">
        <f t="shared" si="31"/>
        <v>182.61510966253783</v>
      </c>
      <c r="BC53" s="301">
        <f t="shared" si="32"/>
        <v>241.58196836498857</v>
      </c>
      <c r="BD53" s="1080">
        <f t="shared" si="33"/>
        <v>0</v>
      </c>
      <c r="BE53" s="301">
        <f t="shared" si="34"/>
        <v>424.1970780275264</v>
      </c>
      <c r="BF53" s="104">
        <v>0</v>
      </c>
      <c r="BG53" s="302">
        <f t="shared" si="35"/>
        <v>424.1970780275264</v>
      </c>
      <c r="BI53" s="300">
        <f t="shared" si="36"/>
        <v>182.61510966253783</v>
      </c>
      <c r="BJ53" s="301">
        <f t="shared" si="37"/>
        <v>241.58196836498857</v>
      </c>
      <c r="BK53" s="1080">
        <f t="shared" si="38"/>
        <v>0</v>
      </c>
      <c r="BL53" s="301">
        <f t="shared" si="39"/>
        <v>424.1970780275264</v>
      </c>
      <c r="BM53" s="104">
        <v>0</v>
      </c>
      <c r="BN53" s="302">
        <f t="shared" si="40"/>
        <v>424.1970780275264</v>
      </c>
    </row>
    <row r="54" spans="1:66">
      <c r="A54" s="127">
        <f>'Input data'!A84</f>
        <v>1984</v>
      </c>
      <c r="B54" s="866">
        <f>'Input data'!B84</f>
        <v>27.759549999999997</v>
      </c>
      <c r="C54" s="866">
        <f>'Baseline data (from input)'!B40</f>
        <v>578.73</v>
      </c>
      <c r="D54" s="777">
        <f>'Baseline data (from input)'!T40</f>
        <v>0.8</v>
      </c>
      <c r="E54" s="777">
        <f t="shared" si="41"/>
        <v>0.24001298204245269</v>
      </c>
      <c r="F54" s="777">
        <f t="shared" si="42"/>
        <v>0.30440139352934503</v>
      </c>
      <c r="G54" s="777">
        <f t="shared" si="43"/>
        <v>5.8998240613430578E-2</v>
      </c>
      <c r="H54" s="777">
        <f t="shared" si="44"/>
        <v>0</v>
      </c>
      <c r="I54" s="777">
        <f t="shared" si="45"/>
        <v>0</v>
      </c>
      <c r="J54" s="777">
        <f t="shared" si="46"/>
        <v>0</v>
      </c>
      <c r="K54" s="777">
        <f t="shared" si="47"/>
        <v>0.39658738381477154</v>
      </c>
      <c r="L54" s="874">
        <f t="shared" si="48"/>
        <v>0.99999999999999989</v>
      </c>
      <c r="N54" s="300">
        <f t="shared" si="50"/>
        <v>12852.2274972</v>
      </c>
      <c r="O54" s="908">
        <f>Parameters!R155</f>
        <v>0.73</v>
      </c>
      <c r="P54" s="908">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906">
        <f t="shared" si="2"/>
        <v>565.18641564127176</v>
      </c>
      <c r="R54" s="906">
        <f t="shared" si="3"/>
        <v>565.18641564127176</v>
      </c>
      <c r="S54" s="286">
        <f t="shared" si="4"/>
        <v>0</v>
      </c>
      <c r="T54" s="906">
        <f t="shared" si="5"/>
        <v>6171.1139297108293</v>
      </c>
      <c r="U54" s="906">
        <f t="shared" si="6"/>
        <v>287.42204985086505</v>
      </c>
      <c r="V54" s="1072">
        <f t="shared" si="7"/>
        <v>191.61469990057671</v>
      </c>
      <c r="W54" s="1450">
        <f t="shared" si="8"/>
        <v>0.13527885904981399</v>
      </c>
      <c r="X54" s="914">
        <f>'Baseline data (from input)'!AS40*W54</f>
        <v>5114.9582546402071</v>
      </c>
      <c r="Y54" s="907">
        <f>Parameters!S155</f>
        <v>0.71500000000000008</v>
      </c>
      <c r="Z54" s="907">
        <f t="shared" si="9"/>
        <v>0.4</v>
      </c>
      <c r="AA54" s="906">
        <f t="shared" si="10"/>
        <v>731.43903041354974</v>
      </c>
      <c r="AB54" s="906">
        <f t="shared" si="11"/>
        <v>731.43903041354974</v>
      </c>
      <c r="AC54" s="286">
        <f t="shared" si="12"/>
        <v>0</v>
      </c>
      <c r="AD54" s="906">
        <f t="shared" si="13"/>
        <v>8116.5313073735697</v>
      </c>
      <c r="AE54" s="906">
        <f t="shared" si="14"/>
        <v>378.64177787784797</v>
      </c>
      <c r="AF54" s="1072">
        <f t="shared" si="15"/>
        <v>252.42785191856532</v>
      </c>
      <c r="AG54" s="1448">
        <f t="shared" si="16"/>
        <v>0.13527885904981399</v>
      </c>
      <c r="AH54" s="914">
        <f>'Baseline data (from input)'!AS40*AG54</f>
        <v>5114.9582546402071</v>
      </c>
      <c r="AI54" s="907">
        <f>Parameters!S155</f>
        <v>0.71500000000000008</v>
      </c>
      <c r="AJ54" s="907">
        <f t="shared" si="17"/>
        <v>0.4</v>
      </c>
      <c r="AK54" s="906">
        <f t="shared" si="18"/>
        <v>731.43903041354974</v>
      </c>
      <c r="AL54" s="906">
        <f t="shared" si="19"/>
        <v>731.43903041354974</v>
      </c>
      <c r="AM54" s="286">
        <f t="shared" si="20"/>
        <v>0</v>
      </c>
      <c r="AN54" s="906">
        <f t="shared" si="21"/>
        <v>8116.5313073735697</v>
      </c>
      <c r="AO54" s="906">
        <f t="shared" si="22"/>
        <v>378.64177787784797</v>
      </c>
      <c r="AP54" s="1072">
        <f t="shared" si="23"/>
        <v>252.42785191856532</v>
      </c>
      <c r="AR54" s="914">
        <v>0</v>
      </c>
      <c r="AS54" s="907">
        <v>1</v>
      </c>
      <c r="AT54" s="907">
        <f t="shared" si="24"/>
        <v>0.05</v>
      </c>
      <c r="AU54" s="906">
        <f t="shared" si="25"/>
        <v>0</v>
      </c>
      <c r="AV54" s="906">
        <f t="shared" si="26"/>
        <v>0</v>
      </c>
      <c r="AW54" s="198">
        <f t="shared" si="27"/>
        <v>0</v>
      </c>
      <c r="AX54" s="922">
        <f t="shared" si="49"/>
        <v>0</v>
      </c>
      <c r="AY54" s="922">
        <f t="shared" si="29"/>
        <v>0</v>
      </c>
      <c r="AZ54" s="1072">
        <f t="shared" si="30"/>
        <v>0</v>
      </c>
      <c r="BB54" s="300">
        <f t="shared" si="31"/>
        <v>191.61469990057671</v>
      </c>
      <c r="BC54" s="301">
        <f t="shared" si="32"/>
        <v>252.42785191856532</v>
      </c>
      <c r="BD54" s="1080">
        <f t="shared" si="33"/>
        <v>0</v>
      </c>
      <c r="BE54" s="301">
        <f t="shared" si="34"/>
        <v>444.04255181914203</v>
      </c>
      <c r="BF54" s="104">
        <v>0</v>
      </c>
      <c r="BG54" s="302">
        <f t="shared" si="35"/>
        <v>444.04255181914203</v>
      </c>
      <c r="BI54" s="300">
        <f t="shared" si="36"/>
        <v>191.61469990057671</v>
      </c>
      <c r="BJ54" s="301">
        <f t="shared" si="37"/>
        <v>252.42785191856532</v>
      </c>
      <c r="BK54" s="1080">
        <f t="shared" si="38"/>
        <v>0</v>
      </c>
      <c r="BL54" s="301">
        <f t="shared" si="39"/>
        <v>444.04255181914203</v>
      </c>
      <c r="BM54" s="104">
        <v>0</v>
      </c>
      <c r="BN54" s="302">
        <f t="shared" si="40"/>
        <v>444.04255181914203</v>
      </c>
    </row>
    <row r="55" spans="1:66">
      <c r="A55" s="127">
        <f>'Input data'!A85</f>
        <v>1985</v>
      </c>
      <c r="B55" s="866">
        <f>'Input data'!B85</f>
        <v>28.490279999999998</v>
      </c>
      <c r="C55" s="866">
        <f>'Baseline data (from input)'!B41</f>
        <v>578.73</v>
      </c>
      <c r="D55" s="777">
        <f>'Baseline data (from input)'!T41</f>
        <v>0.8</v>
      </c>
      <c r="E55" s="777">
        <f t="shared" si="41"/>
        <v>0.24001298204245269</v>
      </c>
      <c r="F55" s="777">
        <f t="shared" si="42"/>
        <v>0.30440139352934503</v>
      </c>
      <c r="G55" s="777">
        <f t="shared" si="43"/>
        <v>5.8998240613430578E-2</v>
      </c>
      <c r="H55" s="777">
        <f t="shared" si="44"/>
        <v>0</v>
      </c>
      <c r="I55" s="777">
        <f t="shared" si="45"/>
        <v>0</v>
      </c>
      <c r="J55" s="777">
        <f t="shared" si="46"/>
        <v>0</v>
      </c>
      <c r="K55" s="777">
        <f t="shared" si="47"/>
        <v>0.39658738381477154</v>
      </c>
      <c r="L55" s="874">
        <f t="shared" si="48"/>
        <v>0.99999999999999989</v>
      </c>
      <c r="N55" s="300">
        <f t="shared" si="50"/>
        <v>13190.543795520001</v>
      </c>
      <c r="O55" s="908">
        <f>Parameters!R156</f>
        <v>0.73</v>
      </c>
      <c r="P55" s="908">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906">
        <f t="shared" si="2"/>
        <v>580.06413049981757</v>
      </c>
      <c r="R55" s="906">
        <f t="shared" si="3"/>
        <v>580.06413049981757</v>
      </c>
      <c r="S55" s="286">
        <f t="shared" si="4"/>
        <v>0</v>
      </c>
      <c r="T55" s="906">
        <f t="shared" si="5"/>
        <v>6450.2092823869898</v>
      </c>
      <c r="U55" s="906">
        <f t="shared" si="6"/>
        <v>300.96877782365743</v>
      </c>
      <c r="V55" s="1072">
        <f t="shared" si="7"/>
        <v>200.64585188243828</v>
      </c>
      <c r="W55" s="1450">
        <f t="shared" si="8"/>
        <v>0.13527885904981399</v>
      </c>
      <c r="X55" s="914">
        <f>'Baseline data (from input)'!AS41*W55</f>
        <v>5052.9913681515936</v>
      </c>
      <c r="Y55" s="907">
        <f>Parameters!S156</f>
        <v>0.71500000000000008</v>
      </c>
      <c r="Z55" s="907">
        <f t="shared" si="9"/>
        <v>0.4</v>
      </c>
      <c r="AA55" s="906">
        <f t="shared" si="10"/>
        <v>722.57776564567803</v>
      </c>
      <c r="AB55" s="906">
        <f t="shared" si="11"/>
        <v>722.57776564567803</v>
      </c>
      <c r="AC55" s="286">
        <f t="shared" si="12"/>
        <v>0</v>
      </c>
      <c r="AD55" s="906">
        <f t="shared" si="13"/>
        <v>8443.2611701006663</v>
      </c>
      <c r="AE55" s="906">
        <f t="shared" si="14"/>
        <v>395.84790291858104</v>
      </c>
      <c r="AF55" s="1072">
        <f t="shared" si="15"/>
        <v>263.89860194572071</v>
      </c>
      <c r="AG55" s="1448">
        <f t="shared" si="16"/>
        <v>0.13527885904981399</v>
      </c>
      <c r="AH55" s="914">
        <f>'Baseline data (from input)'!AS41*AG55</f>
        <v>5052.9913681515936</v>
      </c>
      <c r="AI55" s="907">
        <f>Parameters!S156</f>
        <v>0.71500000000000008</v>
      </c>
      <c r="AJ55" s="907">
        <f t="shared" si="17"/>
        <v>0.4</v>
      </c>
      <c r="AK55" s="906">
        <f t="shared" si="18"/>
        <v>722.57776564567803</v>
      </c>
      <c r="AL55" s="906">
        <f t="shared" si="19"/>
        <v>722.57776564567803</v>
      </c>
      <c r="AM55" s="286">
        <f t="shared" si="20"/>
        <v>0</v>
      </c>
      <c r="AN55" s="906">
        <f t="shared" si="21"/>
        <v>8443.2611701006663</v>
      </c>
      <c r="AO55" s="906">
        <f t="shared" si="22"/>
        <v>395.84790291858104</v>
      </c>
      <c r="AP55" s="1072">
        <f t="shared" si="23"/>
        <v>263.89860194572071</v>
      </c>
      <c r="AR55" s="914">
        <v>0</v>
      </c>
      <c r="AS55" s="907">
        <v>1</v>
      </c>
      <c r="AT55" s="907">
        <f t="shared" si="24"/>
        <v>0.05</v>
      </c>
      <c r="AU55" s="906">
        <f t="shared" si="25"/>
        <v>0</v>
      </c>
      <c r="AV55" s="906">
        <f t="shared" si="26"/>
        <v>0</v>
      </c>
      <c r="AW55" s="198">
        <f t="shared" si="27"/>
        <v>0</v>
      </c>
      <c r="AX55" s="922">
        <f t="shared" si="49"/>
        <v>0</v>
      </c>
      <c r="AY55" s="922">
        <f t="shared" si="29"/>
        <v>0</v>
      </c>
      <c r="AZ55" s="1072">
        <f t="shared" si="30"/>
        <v>0</v>
      </c>
      <c r="BB55" s="300">
        <f t="shared" si="31"/>
        <v>200.64585188243828</v>
      </c>
      <c r="BC55" s="301">
        <f t="shared" si="32"/>
        <v>263.89860194572071</v>
      </c>
      <c r="BD55" s="1080">
        <f t="shared" si="33"/>
        <v>0</v>
      </c>
      <c r="BE55" s="301">
        <f t="shared" si="34"/>
        <v>464.54445382815902</v>
      </c>
      <c r="BF55" s="104">
        <v>0</v>
      </c>
      <c r="BG55" s="302">
        <f t="shared" si="35"/>
        <v>464.54445382815902</v>
      </c>
      <c r="BI55" s="300">
        <f t="shared" si="36"/>
        <v>200.64585188243828</v>
      </c>
      <c r="BJ55" s="301">
        <f t="shared" si="37"/>
        <v>263.89860194572071</v>
      </c>
      <c r="BK55" s="1080">
        <f t="shared" si="38"/>
        <v>0</v>
      </c>
      <c r="BL55" s="301">
        <f t="shared" si="39"/>
        <v>464.54445382815902</v>
      </c>
      <c r="BM55" s="104">
        <v>0</v>
      </c>
      <c r="BN55" s="302">
        <f t="shared" si="40"/>
        <v>464.54445382815902</v>
      </c>
    </row>
    <row r="56" spans="1:66">
      <c r="A56" s="127">
        <f>'Input data'!A86</f>
        <v>1986</v>
      </c>
      <c r="B56" s="866">
        <f>'Input data'!B86</f>
        <v>29.230110000000003</v>
      </c>
      <c r="C56" s="866">
        <f>'Baseline data (from input)'!B42</f>
        <v>578.73</v>
      </c>
      <c r="D56" s="777">
        <f>'Baseline data (from input)'!T42</f>
        <v>0.8</v>
      </c>
      <c r="E56" s="777">
        <f t="shared" si="41"/>
        <v>0.24001298204245269</v>
      </c>
      <c r="F56" s="777">
        <f t="shared" si="42"/>
        <v>0.30440139352934503</v>
      </c>
      <c r="G56" s="777">
        <f t="shared" si="43"/>
        <v>5.8998240613430578E-2</v>
      </c>
      <c r="H56" s="777">
        <f t="shared" si="44"/>
        <v>0</v>
      </c>
      <c r="I56" s="777">
        <f t="shared" si="45"/>
        <v>0</v>
      </c>
      <c r="J56" s="777">
        <f t="shared" si="46"/>
        <v>0</v>
      </c>
      <c r="K56" s="777">
        <f t="shared" si="47"/>
        <v>0.39658738381477154</v>
      </c>
      <c r="L56" s="874">
        <f t="shared" si="48"/>
        <v>0.99999999999999989</v>
      </c>
      <c r="N56" s="300">
        <f t="shared" si="50"/>
        <v>13533.073248240004</v>
      </c>
      <c r="O56" s="908">
        <f>Parameters!R157</f>
        <v>0.73</v>
      </c>
      <c r="P56" s="908">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906">
        <f t="shared" si="2"/>
        <v>595.12712200666419</v>
      </c>
      <c r="R56" s="906">
        <f t="shared" si="3"/>
        <v>595.12712200666419</v>
      </c>
      <c r="S56" s="286">
        <f t="shared" si="4"/>
        <v>0</v>
      </c>
      <c r="T56" s="906">
        <f t="shared" si="5"/>
        <v>6730.7559856008047</v>
      </c>
      <c r="U56" s="906">
        <f t="shared" si="6"/>
        <v>314.58041879284997</v>
      </c>
      <c r="V56" s="1072">
        <f t="shared" si="7"/>
        <v>209.7202791952333</v>
      </c>
      <c r="W56" s="1450">
        <f t="shared" si="8"/>
        <v>0.13527885904981399</v>
      </c>
      <c r="X56" s="914">
        <f>'Baseline data (from input)'!AS42*W56</f>
        <v>5053.8925579444631</v>
      </c>
      <c r="Y56" s="907">
        <f>Parameters!S157</f>
        <v>0.71500000000000008</v>
      </c>
      <c r="Z56" s="907">
        <f t="shared" si="9"/>
        <v>0.4</v>
      </c>
      <c r="AA56" s="906">
        <f t="shared" si="10"/>
        <v>722.70663578605831</v>
      </c>
      <c r="AB56" s="906">
        <f t="shared" si="11"/>
        <v>722.70663578605831</v>
      </c>
      <c r="AC56" s="286">
        <f t="shared" si="12"/>
        <v>0</v>
      </c>
      <c r="AD56" s="906">
        <f t="shared" si="13"/>
        <v>8754.1850995301393</v>
      </c>
      <c r="AE56" s="906">
        <f t="shared" si="14"/>
        <v>411.78270635658424</v>
      </c>
      <c r="AF56" s="1072">
        <f t="shared" si="15"/>
        <v>274.52180423772285</v>
      </c>
      <c r="AG56" s="1448">
        <f t="shared" si="16"/>
        <v>0.13527885904981399</v>
      </c>
      <c r="AH56" s="914">
        <f>'Baseline data (from input)'!AS42*AG56</f>
        <v>5053.8925579444631</v>
      </c>
      <c r="AI56" s="907">
        <f>Parameters!S157</f>
        <v>0.71500000000000008</v>
      </c>
      <c r="AJ56" s="907">
        <f t="shared" si="17"/>
        <v>0.4</v>
      </c>
      <c r="AK56" s="906">
        <f t="shared" si="18"/>
        <v>722.70663578605831</v>
      </c>
      <c r="AL56" s="906">
        <f t="shared" si="19"/>
        <v>722.70663578605831</v>
      </c>
      <c r="AM56" s="286">
        <f t="shared" si="20"/>
        <v>0</v>
      </c>
      <c r="AN56" s="906">
        <f t="shared" si="21"/>
        <v>8754.1850995301393</v>
      </c>
      <c r="AO56" s="906">
        <f t="shared" si="22"/>
        <v>411.78270635658424</v>
      </c>
      <c r="AP56" s="1072">
        <f t="shared" si="23"/>
        <v>274.52180423772285</v>
      </c>
      <c r="AR56" s="914">
        <v>0</v>
      </c>
      <c r="AS56" s="907">
        <v>1</v>
      </c>
      <c r="AT56" s="907">
        <f t="shared" si="24"/>
        <v>0.05</v>
      </c>
      <c r="AU56" s="906">
        <f t="shared" si="25"/>
        <v>0</v>
      </c>
      <c r="AV56" s="906">
        <f t="shared" si="26"/>
        <v>0</v>
      </c>
      <c r="AW56" s="198">
        <f t="shared" si="27"/>
        <v>0</v>
      </c>
      <c r="AX56" s="922">
        <f t="shared" si="49"/>
        <v>0</v>
      </c>
      <c r="AY56" s="922">
        <f t="shared" si="29"/>
        <v>0</v>
      </c>
      <c r="AZ56" s="1072">
        <f t="shared" si="30"/>
        <v>0</v>
      </c>
      <c r="BB56" s="300">
        <f t="shared" si="31"/>
        <v>209.7202791952333</v>
      </c>
      <c r="BC56" s="301">
        <f t="shared" si="32"/>
        <v>274.52180423772285</v>
      </c>
      <c r="BD56" s="1080">
        <f t="shared" si="33"/>
        <v>0</v>
      </c>
      <c r="BE56" s="301">
        <f t="shared" si="34"/>
        <v>484.24208343295618</v>
      </c>
      <c r="BF56" s="104">
        <v>0</v>
      </c>
      <c r="BG56" s="302">
        <f t="shared" si="35"/>
        <v>484.24208343295618</v>
      </c>
      <c r="BI56" s="300">
        <f t="shared" si="36"/>
        <v>209.7202791952333</v>
      </c>
      <c r="BJ56" s="301">
        <f t="shared" si="37"/>
        <v>274.52180423772285</v>
      </c>
      <c r="BK56" s="1080">
        <f t="shared" si="38"/>
        <v>0</v>
      </c>
      <c r="BL56" s="301">
        <f t="shared" si="39"/>
        <v>484.24208343295618</v>
      </c>
      <c r="BM56" s="104">
        <v>0</v>
      </c>
      <c r="BN56" s="302">
        <f t="shared" si="40"/>
        <v>484.24208343295618</v>
      </c>
    </row>
    <row r="57" spans="1:66">
      <c r="A57" s="127">
        <f>'Input data'!A87</f>
        <v>1987</v>
      </c>
      <c r="B57" s="866">
        <f>'Input data'!B87</f>
        <v>29.96903</v>
      </c>
      <c r="C57" s="866">
        <f>'Baseline data (from input)'!B43</f>
        <v>578.73</v>
      </c>
      <c r="D57" s="777">
        <f>'Baseline data (from input)'!T43</f>
        <v>0.8</v>
      </c>
      <c r="E57" s="777">
        <f t="shared" si="41"/>
        <v>0.24001298204245269</v>
      </c>
      <c r="F57" s="777">
        <f t="shared" si="42"/>
        <v>0.30440139352934503</v>
      </c>
      <c r="G57" s="777">
        <f t="shared" si="43"/>
        <v>5.8998240613430578E-2</v>
      </c>
      <c r="H57" s="777">
        <f t="shared" si="44"/>
        <v>0</v>
      </c>
      <c r="I57" s="777">
        <f t="shared" si="45"/>
        <v>0</v>
      </c>
      <c r="J57" s="777">
        <f t="shared" si="46"/>
        <v>0</v>
      </c>
      <c r="K57" s="777">
        <f t="shared" si="47"/>
        <v>0.39658738381477154</v>
      </c>
      <c r="L57" s="874">
        <f t="shared" si="48"/>
        <v>0.99999999999999989</v>
      </c>
      <c r="N57" s="300">
        <f t="shared" si="50"/>
        <v>13875.181385520002</v>
      </c>
      <c r="O57" s="908">
        <f>Parameters!R158</f>
        <v>0.73</v>
      </c>
      <c r="P57" s="908">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906">
        <f t="shared" si="2"/>
        <v>610.17158584868059</v>
      </c>
      <c r="R57" s="906">
        <f t="shared" si="3"/>
        <v>610.17158584868059</v>
      </c>
      <c r="S57" s="286">
        <f t="shared" si="4"/>
        <v>0</v>
      </c>
      <c r="T57" s="906">
        <f t="shared" si="5"/>
        <v>7012.6647284864703</v>
      </c>
      <c r="U57" s="906">
        <f t="shared" si="6"/>
        <v>328.26284296301509</v>
      </c>
      <c r="V57" s="1072">
        <f t="shared" si="7"/>
        <v>218.84189530867673</v>
      </c>
      <c r="W57" s="1450">
        <f t="shared" si="8"/>
        <v>0.13527885904981399</v>
      </c>
      <c r="X57" s="914">
        <f>'Baseline data (from input)'!AS43*W57</f>
        <v>5160.0614589407005</v>
      </c>
      <c r="Y57" s="907">
        <f>Parameters!S158</f>
        <v>0.71500000000000008</v>
      </c>
      <c r="Z57" s="907">
        <f t="shared" si="9"/>
        <v>0.4</v>
      </c>
      <c r="AA57" s="906">
        <f t="shared" si="10"/>
        <v>737.88878862852027</v>
      </c>
      <c r="AB57" s="906">
        <f t="shared" si="11"/>
        <v>737.88878862852027</v>
      </c>
      <c r="AC57" s="286">
        <f t="shared" si="12"/>
        <v>0</v>
      </c>
      <c r="AD57" s="906">
        <f t="shared" si="13"/>
        <v>9065.1272428273005</v>
      </c>
      <c r="AE57" s="906">
        <f t="shared" si="14"/>
        <v>426.94664533135904</v>
      </c>
      <c r="AF57" s="1072">
        <f t="shared" si="15"/>
        <v>284.63109688757271</v>
      </c>
      <c r="AG57" s="1448">
        <f t="shared" si="16"/>
        <v>0.13527885904981399</v>
      </c>
      <c r="AH57" s="914">
        <f>'Baseline data (from input)'!AS43*AG57</f>
        <v>5160.0614589407005</v>
      </c>
      <c r="AI57" s="907">
        <f>Parameters!S158</f>
        <v>0.71500000000000008</v>
      </c>
      <c r="AJ57" s="907">
        <f t="shared" si="17"/>
        <v>0.4</v>
      </c>
      <c r="AK57" s="906">
        <f t="shared" si="18"/>
        <v>737.88878862852027</v>
      </c>
      <c r="AL57" s="906">
        <f t="shared" si="19"/>
        <v>737.88878862852027</v>
      </c>
      <c r="AM57" s="286">
        <f t="shared" si="20"/>
        <v>0</v>
      </c>
      <c r="AN57" s="906">
        <f t="shared" si="21"/>
        <v>9065.1272428273005</v>
      </c>
      <c r="AO57" s="906">
        <f t="shared" si="22"/>
        <v>426.94664533135904</v>
      </c>
      <c r="AP57" s="1072">
        <f t="shared" si="23"/>
        <v>284.63109688757271</v>
      </c>
      <c r="AR57" s="914">
        <v>0</v>
      </c>
      <c r="AS57" s="907">
        <v>1</v>
      </c>
      <c r="AT57" s="907">
        <f t="shared" si="24"/>
        <v>0.05</v>
      </c>
      <c r="AU57" s="906">
        <f t="shared" si="25"/>
        <v>0</v>
      </c>
      <c r="AV57" s="906">
        <f t="shared" si="26"/>
        <v>0</v>
      </c>
      <c r="AW57" s="198">
        <f t="shared" si="27"/>
        <v>0</v>
      </c>
      <c r="AX57" s="922">
        <f t="shared" si="49"/>
        <v>0</v>
      </c>
      <c r="AY57" s="922">
        <f t="shared" si="29"/>
        <v>0</v>
      </c>
      <c r="AZ57" s="1072">
        <f t="shared" si="30"/>
        <v>0</v>
      </c>
      <c r="BB57" s="300">
        <f t="shared" si="31"/>
        <v>218.84189530867673</v>
      </c>
      <c r="BC57" s="301">
        <f t="shared" si="32"/>
        <v>284.63109688757271</v>
      </c>
      <c r="BD57" s="1080">
        <f t="shared" si="33"/>
        <v>0</v>
      </c>
      <c r="BE57" s="301">
        <f t="shared" si="34"/>
        <v>503.47299219624944</v>
      </c>
      <c r="BF57" s="104">
        <v>0</v>
      </c>
      <c r="BG57" s="302">
        <f t="shared" si="35"/>
        <v>503.47299219624944</v>
      </c>
      <c r="BI57" s="300">
        <f t="shared" si="36"/>
        <v>218.84189530867673</v>
      </c>
      <c r="BJ57" s="301">
        <f t="shared" si="37"/>
        <v>284.63109688757271</v>
      </c>
      <c r="BK57" s="1080">
        <f t="shared" si="38"/>
        <v>0</v>
      </c>
      <c r="BL57" s="301">
        <f t="shared" si="39"/>
        <v>503.47299219624944</v>
      </c>
      <c r="BM57" s="104">
        <v>0</v>
      </c>
      <c r="BN57" s="302">
        <f t="shared" si="40"/>
        <v>503.47299219624944</v>
      </c>
    </row>
    <row r="58" spans="1:66">
      <c r="A58" s="127">
        <f>'Input data'!A88</f>
        <v>1988</v>
      </c>
      <c r="B58" s="866">
        <f>'Input data'!B88</f>
        <v>30.692480000000003</v>
      </c>
      <c r="C58" s="866">
        <f>'Baseline data (from input)'!B44</f>
        <v>578.73</v>
      </c>
      <c r="D58" s="777">
        <f>'Baseline data (from input)'!T44</f>
        <v>0.8</v>
      </c>
      <c r="E58" s="777">
        <f t="shared" si="41"/>
        <v>0.24001298204245269</v>
      </c>
      <c r="F58" s="777">
        <f t="shared" si="42"/>
        <v>0.30440139352934503</v>
      </c>
      <c r="G58" s="777">
        <f t="shared" si="43"/>
        <v>5.8998240613430578E-2</v>
      </c>
      <c r="H58" s="777">
        <f t="shared" si="44"/>
        <v>0</v>
      </c>
      <c r="I58" s="777">
        <f t="shared" si="45"/>
        <v>0</v>
      </c>
      <c r="J58" s="777">
        <f t="shared" si="46"/>
        <v>0</v>
      </c>
      <c r="K58" s="777">
        <f t="shared" si="47"/>
        <v>0.39658738381477154</v>
      </c>
      <c r="L58" s="874">
        <f t="shared" si="48"/>
        <v>0.99999999999999989</v>
      </c>
      <c r="N58" s="300">
        <f t="shared" si="50"/>
        <v>14210.127160320004</v>
      </c>
      <c r="O58" s="908">
        <f>Parameters!R159</f>
        <v>0.73</v>
      </c>
      <c r="P58" s="908">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906">
        <f t="shared" si="2"/>
        <v>624.90107938858603</v>
      </c>
      <c r="R58" s="906">
        <f t="shared" si="3"/>
        <v>624.90107938858603</v>
      </c>
      <c r="S58" s="286">
        <f t="shared" si="4"/>
        <v>0</v>
      </c>
      <c r="T58" s="906">
        <f t="shared" si="5"/>
        <v>7295.5541132832277</v>
      </c>
      <c r="U58" s="906">
        <f t="shared" si="6"/>
        <v>342.01169459182927</v>
      </c>
      <c r="V58" s="1072">
        <f t="shared" si="7"/>
        <v>228.00779639455286</v>
      </c>
      <c r="W58" s="1450">
        <f t="shared" si="8"/>
        <v>0.13527885904981399</v>
      </c>
      <c r="X58" s="914">
        <f>'Baseline data (from input)'!AS44*W58</f>
        <v>5376.7908798260733</v>
      </c>
      <c r="Y58" s="907">
        <f>Parameters!S159</f>
        <v>0.71500000000000008</v>
      </c>
      <c r="Z58" s="907">
        <f t="shared" si="9"/>
        <v>0.4</v>
      </c>
      <c r="AA58" s="906">
        <f t="shared" si="10"/>
        <v>768.88109581512867</v>
      </c>
      <c r="AB58" s="906">
        <f t="shared" si="11"/>
        <v>768.88109581512867</v>
      </c>
      <c r="AC58" s="286">
        <f t="shared" si="12"/>
        <v>0</v>
      </c>
      <c r="AD58" s="906">
        <f t="shared" si="13"/>
        <v>9391.8968660354858</v>
      </c>
      <c r="AE58" s="906">
        <f t="shared" si="14"/>
        <v>442.11147260694304</v>
      </c>
      <c r="AF58" s="1072">
        <f t="shared" si="15"/>
        <v>294.74098173796204</v>
      </c>
      <c r="AG58" s="1448">
        <f t="shared" si="16"/>
        <v>0.13527885904981399</v>
      </c>
      <c r="AH58" s="914">
        <f>'Baseline data (from input)'!AS44*AG58</f>
        <v>5376.7908798260733</v>
      </c>
      <c r="AI58" s="907">
        <f>Parameters!S159</f>
        <v>0.71500000000000008</v>
      </c>
      <c r="AJ58" s="907">
        <f t="shared" si="17"/>
        <v>0.4</v>
      </c>
      <c r="AK58" s="906">
        <f t="shared" si="18"/>
        <v>768.88109581512867</v>
      </c>
      <c r="AL58" s="906">
        <f t="shared" si="19"/>
        <v>768.88109581512867</v>
      </c>
      <c r="AM58" s="286">
        <f t="shared" si="20"/>
        <v>0</v>
      </c>
      <c r="AN58" s="906">
        <f t="shared" si="21"/>
        <v>9391.8968660354858</v>
      </c>
      <c r="AO58" s="906">
        <f t="shared" si="22"/>
        <v>442.11147260694304</v>
      </c>
      <c r="AP58" s="1072">
        <f t="shared" si="23"/>
        <v>294.74098173796204</v>
      </c>
      <c r="AR58" s="914">
        <v>0</v>
      </c>
      <c r="AS58" s="907">
        <v>1</v>
      </c>
      <c r="AT58" s="907">
        <f t="shared" si="24"/>
        <v>0.05</v>
      </c>
      <c r="AU58" s="906">
        <f t="shared" si="25"/>
        <v>0</v>
      </c>
      <c r="AV58" s="906">
        <f t="shared" si="26"/>
        <v>0</v>
      </c>
      <c r="AW58" s="198">
        <f t="shared" si="27"/>
        <v>0</v>
      </c>
      <c r="AX58" s="922">
        <f t="shared" si="49"/>
        <v>0</v>
      </c>
      <c r="AY58" s="922">
        <f t="shared" si="29"/>
        <v>0</v>
      </c>
      <c r="AZ58" s="1072">
        <f t="shared" si="30"/>
        <v>0</v>
      </c>
      <c r="BB58" s="300">
        <f t="shared" si="31"/>
        <v>228.00779639455286</v>
      </c>
      <c r="BC58" s="301">
        <f t="shared" si="32"/>
        <v>294.74098173796204</v>
      </c>
      <c r="BD58" s="1080">
        <f t="shared" si="33"/>
        <v>0</v>
      </c>
      <c r="BE58" s="301">
        <f t="shared" si="34"/>
        <v>522.74877813251487</v>
      </c>
      <c r="BF58" s="104">
        <v>0</v>
      </c>
      <c r="BG58" s="302">
        <f t="shared" si="35"/>
        <v>522.74877813251487</v>
      </c>
      <c r="BI58" s="300">
        <f t="shared" si="36"/>
        <v>228.00779639455286</v>
      </c>
      <c r="BJ58" s="301">
        <f t="shared" si="37"/>
        <v>294.74098173796204</v>
      </c>
      <c r="BK58" s="1080">
        <f t="shared" si="38"/>
        <v>0</v>
      </c>
      <c r="BL58" s="301">
        <f t="shared" si="39"/>
        <v>522.74877813251487</v>
      </c>
      <c r="BM58" s="104">
        <v>0</v>
      </c>
      <c r="BN58" s="302">
        <f t="shared" si="40"/>
        <v>522.74877813251487</v>
      </c>
    </row>
    <row r="59" spans="1:66">
      <c r="A59" s="127">
        <f>'Input data'!A89</f>
        <v>1989</v>
      </c>
      <c r="B59" s="866">
        <f>'Input data'!B89</f>
        <v>31.386810000000001</v>
      </c>
      <c r="C59" s="866">
        <f>'Baseline data (from input)'!B45</f>
        <v>578.73</v>
      </c>
      <c r="D59" s="777">
        <f>'Baseline data (from input)'!T45</f>
        <v>0.8</v>
      </c>
      <c r="E59" s="777">
        <f t="shared" si="41"/>
        <v>0.24001298204245269</v>
      </c>
      <c r="F59" s="777">
        <f t="shared" si="42"/>
        <v>0.30440139352934503</v>
      </c>
      <c r="G59" s="777">
        <f t="shared" si="43"/>
        <v>5.8998240613430578E-2</v>
      </c>
      <c r="H59" s="777">
        <f t="shared" si="44"/>
        <v>0</v>
      </c>
      <c r="I59" s="777">
        <f t="shared" si="45"/>
        <v>0</v>
      </c>
      <c r="J59" s="777">
        <f t="shared" si="46"/>
        <v>0</v>
      </c>
      <c r="K59" s="777">
        <f t="shared" si="47"/>
        <v>0.39658738381477154</v>
      </c>
      <c r="L59" s="874">
        <f t="shared" si="48"/>
        <v>0.99999999999999989</v>
      </c>
      <c r="N59" s="300">
        <f t="shared" si="50"/>
        <v>14531.590841040001</v>
      </c>
      <c r="O59" s="908">
        <f>Parameters!R160</f>
        <v>0.73</v>
      </c>
      <c r="P59" s="908">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906">
        <f t="shared" si="2"/>
        <v>639.03768765392897</v>
      </c>
      <c r="R59" s="906">
        <f t="shared" si="3"/>
        <v>639.03768765392897</v>
      </c>
      <c r="S59" s="286">
        <f t="shared" si="4"/>
        <v>0</v>
      </c>
      <c r="T59" s="906">
        <f t="shared" si="5"/>
        <v>7578.7834282461499</v>
      </c>
      <c r="U59" s="906">
        <f t="shared" si="6"/>
        <v>355.80837269100607</v>
      </c>
      <c r="V59" s="1072">
        <f t="shared" si="7"/>
        <v>237.20558179400405</v>
      </c>
      <c r="W59" s="1450">
        <f t="shared" si="8"/>
        <v>0.13527885904981399</v>
      </c>
      <c r="X59" s="914">
        <f>'Baseline data (from input)'!AS45*W59</f>
        <v>5505.5534160787047</v>
      </c>
      <c r="Y59" s="907">
        <f>Parameters!S160</f>
        <v>0.71500000000000008</v>
      </c>
      <c r="Z59" s="907">
        <f t="shared" si="9"/>
        <v>0.4</v>
      </c>
      <c r="AA59" s="906">
        <f t="shared" si="10"/>
        <v>787.29413849925481</v>
      </c>
      <c r="AB59" s="906">
        <f t="shared" si="11"/>
        <v>787.29413849925481</v>
      </c>
      <c r="AC59" s="286">
        <f t="shared" si="12"/>
        <v>0</v>
      </c>
      <c r="AD59" s="906">
        <f t="shared" si="13"/>
        <v>9721.1427893482505</v>
      </c>
      <c r="AE59" s="906">
        <f t="shared" si="14"/>
        <v>458.04821518649106</v>
      </c>
      <c r="AF59" s="1072">
        <f t="shared" si="15"/>
        <v>305.36547679099402</v>
      </c>
      <c r="AG59" s="1448">
        <f t="shared" si="16"/>
        <v>0.13527885904981399</v>
      </c>
      <c r="AH59" s="914">
        <f>'Baseline data (from input)'!AS45*AG59</f>
        <v>5505.5534160787047</v>
      </c>
      <c r="AI59" s="907">
        <f>Parameters!S160</f>
        <v>0.71500000000000008</v>
      </c>
      <c r="AJ59" s="907">
        <f t="shared" si="17"/>
        <v>0.4</v>
      </c>
      <c r="AK59" s="906">
        <f t="shared" si="18"/>
        <v>787.29413849925481</v>
      </c>
      <c r="AL59" s="906">
        <f t="shared" si="19"/>
        <v>787.29413849925481</v>
      </c>
      <c r="AM59" s="286">
        <f t="shared" si="20"/>
        <v>0</v>
      </c>
      <c r="AN59" s="906">
        <f t="shared" si="21"/>
        <v>9721.1427893482505</v>
      </c>
      <c r="AO59" s="906">
        <f t="shared" si="22"/>
        <v>458.04821518649106</v>
      </c>
      <c r="AP59" s="1072">
        <f t="shared" si="23"/>
        <v>305.36547679099402</v>
      </c>
      <c r="AR59" s="914">
        <v>0</v>
      </c>
      <c r="AS59" s="907">
        <v>1</v>
      </c>
      <c r="AT59" s="907">
        <f t="shared" si="24"/>
        <v>0.05</v>
      </c>
      <c r="AU59" s="906">
        <f t="shared" si="25"/>
        <v>0</v>
      </c>
      <c r="AV59" s="906">
        <f t="shared" si="26"/>
        <v>0</v>
      </c>
      <c r="AW59" s="198">
        <f t="shared" si="27"/>
        <v>0</v>
      </c>
      <c r="AX59" s="922">
        <f t="shared" si="49"/>
        <v>0</v>
      </c>
      <c r="AY59" s="922">
        <f t="shared" si="29"/>
        <v>0</v>
      </c>
      <c r="AZ59" s="1072">
        <f t="shared" si="30"/>
        <v>0</v>
      </c>
      <c r="BB59" s="300">
        <f t="shared" si="31"/>
        <v>237.20558179400405</v>
      </c>
      <c r="BC59" s="301">
        <f t="shared" si="32"/>
        <v>305.36547679099402</v>
      </c>
      <c r="BD59" s="1080">
        <f t="shared" si="33"/>
        <v>0</v>
      </c>
      <c r="BE59" s="301">
        <f t="shared" si="34"/>
        <v>542.57105858499813</v>
      </c>
      <c r="BF59" s="104">
        <v>0</v>
      </c>
      <c r="BG59" s="302">
        <f t="shared" si="35"/>
        <v>542.57105858499813</v>
      </c>
      <c r="BI59" s="300">
        <f t="shared" si="36"/>
        <v>237.20558179400405</v>
      </c>
      <c r="BJ59" s="301">
        <f t="shared" si="37"/>
        <v>305.36547679099402</v>
      </c>
      <c r="BK59" s="1080">
        <f t="shared" si="38"/>
        <v>0</v>
      </c>
      <c r="BL59" s="301">
        <f t="shared" si="39"/>
        <v>542.57105858499813</v>
      </c>
      <c r="BM59" s="104">
        <v>0</v>
      </c>
      <c r="BN59" s="302">
        <f t="shared" si="40"/>
        <v>542.57105858499813</v>
      </c>
    </row>
    <row r="60" spans="1:66">
      <c r="A60" s="127">
        <f>'Input data'!A90</f>
        <v>1990</v>
      </c>
      <c r="B60" s="866">
        <f>'Input data'!B90</f>
        <v>32.032000000000004</v>
      </c>
      <c r="C60" s="866">
        <f>'Baseline data (from input)'!B46</f>
        <v>578.73</v>
      </c>
      <c r="D60" s="777">
        <f>'Baseline data (from input)'!T46</f>
        <v>0.8</v>
      </c>
      <c r="E60" s="777">
        <f t="shared" si="41"/>
        <v>0.24001298204245269</v>
      </c>
      <c r="F60" s="777">
        <f t="shared" si="42"/>
        <v>0.30440139352934503</v>
      </c>
      <c r="G60" s="777">
        <f t="shared" si="43"/>
        <v>5.8998240613430578E-2</v>
      </c>
      <c r="H60" s="777">
        <f t="shared" si="44"/>
        <v>0</v>
      </c>
      <c r="I60" s="777">
        <f t="shared" si="45"/>
        <v>0</v>
      </c>
      <c r="J60" s="777">
        <f t="shared" si="46"/>
        <v>0</v>
      </c>
      <c r="K60" s="777">
        <f t="shared" si="47"/>
        <v>0.39658738381477154</v>
      </c>
      <c r="L60" s="874">
        <f t="shared" si="48"/>
        <v>0.99999999999999989</v>
      </c>
      <c r="N60" s="300">
        <f t="shared" si="50"/>
        <v>14830.303488000003</v>
      </c>
      <c r="O60" s="908">
        <f>Parameters!R161</f>
        <v>0.73</v>
      </c>
      <c r="P60" s="908">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906">
        <f t="shared" si="2"/>
        <v>652.17380201844844</v>
      </c>
      <c r="R60" s="906">
        <f t="shared" si="3"/>
        <v>652.17380201844844</v>
      </c>
      <c r="S60" s="286">
        <f t="shared" si="4"/>
        <v>0</v>
      </c>
      <c r="T60" s="906">
        <f t="shared" si="5"/>
        <v>7861.3356008845822</v>
      </c>
      <c r="U60" s="906">
        <f t="shared" si="6"/>
        <v>369.62162938001632</v>
      </c>
      <c r="V60" s="1072">
        <f t="shared" si="7"/>
        <v>246.41441958667755</v>
      </c>
      <c r="W60" s="1450">
        <f t="shared" si="8"/>
        <v>0.13527885904981399</v>
      </c>
      <c r="X60" s="914">
        <f>'Baseline data (from input)'!AS46*W60</f>
        <v>5488.0575559378776</v>
      </c>
      <c r="Y60" s="907">
        <f>Parameters!S161</f>
        <v>0.71500000000000008</v>
      </c>
      <c r="Z60" s="907">
        <f t="shared" si="9"/>
        <v>0.4</v>
      </c>
      <c r="AA60" s="906">
        <f t="shared" si="10"/>
        <v>784.79223049911661</v>
      </c>
      <c r="AB60" s="906">
        <f t="shared" si="11"/>
        <v>784.79223049911661</v>
      </c>
      <c r="AC60" s="286">
        <f t="shared" si="12"/>
        <v>0</v>
      </c>
      <c r="AD60" s="906">
        <f t="shared" si="13"/>
        <v>10031.829291500118</v>
      </c>
      <c r="AE60" s="906">
        <f t="shared" si="14"/>
        <v>474.10572834724837</v>
      </c>
      <c r="AF60" s="1072">
        <f t="shared" si="15"/>
        <v>316.07048556483227</v>
      </c>
      <c r="AG60" s="1448">
        <f t="shared" si="16"/>
        <v>0.13527885904981399</v>
      </c>
      <c r="AH60" s="914">
        <f>'Baseline data (from input)'!AS46*AG60</f>
        <v>5488.0575559378776</v>
      </c>
      <c r="AI60" s="907">
        <f>Parameters!S161</f>
        <v>0.71500000000000008</v>
      </c>
      <c r="AJ60" s="907">
        <f t="shared" si="17"/>
        <v>0.4</v>
      </c>
      <c r="AK60" s="906">
        <f t="shared" si="18"/>
        <v>784.79223049911661</v>
      </c>
      <c r="AL60" s="906">
        <f t="shared" si="19"/>
        <v>784.79223049911661</v>
      </c>
      <c r="AM60" s="286">
        <f t="shared" si="20"/>
        <v>0</v>
      </c>
      <c r="AN60" s="906">
        <f t="shared" si="21"/>
        <v>10031.829291500118</v>
      </c>
      <c r="AO60" s="906">
        <f t="shared" si="22"/>
        <v>474.10572834724837</v>
      </c>
      <c r="AP60" s="1072">
        <f t="shared" si="23"/>
        <v>316.07048556483227</v>
      </c>
      <c r="AR60" s="914">
        <v>0</v>
      </c>
      <c r="AS60" s="907">
        <v>1</v>
      </c>
      <c r="AT60" s="907">
        <f t="shared" si="24"/>
        <v>0.05</v>
      </c>
      <c r="AU60" s="906">
        <f t="shared" si="25"/>
        <v>0</v>
      </c>
      <c r="AV60" s="906">
        <f t="shared" si="26"/>
        <v>0</v>
      </c>
      <c r="AW60" s="198">
        <f t="shared" si="27"/>
        <v>0</v>
      </c>
      <c r="AX60" s="922">
        <f t="shared" si="49"/>
        <v>0</v>
      </c>
      <c r="AY60" s="922">
        <f t="shared" si="29"/>
        <v>0</v>
      </c>
      <c r="AZ60" s="1072">
        <f t="shared" si="30"/>
        <v>0</v>
      </c>
      <c r="BB60" s="300">
        <f t="shared" si="31"/>
        <v>246.41441958667755</v>
      </c>
      <c r="BC60" s="301">
        <f t="shared" si="32"/>
        <v>316.07048556483227</v>
      </c>
      <c r="BD60" s="1080">
        <f t="shared" si="33"/>
        <v>0</v>
      </c>
      <c r="BE60" s="301">
        <f t="shared" si="34"/>
        <v>562.48490515150979</v>
      </c>
      <c r="BF60" s="104">
        <v>0</v>
      </c>
      <c r="BG60" s="302">
        <f t="shared" si="35"/>
        <v>562.48490515150979</v>
      </c>
      <c r="BI60" s="300">
        <f t="shared" si="36"/>
        <v>246.41441958667755</v>
      </c>
      <c r="BJ60" s="301">
        <f t="shared" si="37"/>
        <v>316.07048556483227</v>
      </c>
      <c r="BK60" s="1080">
        <f t="shared" si="38"/>
        <v>0</v>
      </c>
      <c r="BL60" s="301">
        <f t="shared" si="39"/>
        <v>562.48490515150979</v>
      </c>
      <c r="BM60" s="104">
        <v>0</v>
      </c>
      <c r="BN60" s="302">
        <f t="shared" si="40"/>
        <v>562.48490515150979</v>
      </c>
    </row>
    <row r="61" spans="1:66">
      <c r="A61" s="127">
        <f>'Input data'!A91</f>
        <v>1991</v>
      </c>
      <c r="B61" s="866">
        <f>'Input data'!B91</f>
        <v>32.69903</v>
      </c>
      <c r="C61" s="866">
        <f>'Baseline data (from input)'!B47</f>
        <v>578.73</v>
      </c>
      <c r="D61" s="777">
        <f>'Baseline data (from input)'!T47</f>
        <v>0.8</v>
      </c>
      <c r="E61" s="777">
        <f t="shared" si="41"/>
        <v>0.24001298204245269</v>
      </c>
      <c r="F61" s="777">
        <f t="shared" si="42"/>
        <v>0.30440139352934503</v>
      </c>
      <c r="G61" s="777">
        <f t="shared" si="43"/>
        <v>5.8998240613430578E-2</v>
      </c>
      <c r="H61" s="777">
        <f t="shared" si="44"/>
        <v>0</v>
      </c>
      <c r="I61" s="777">
        <f t="shared" si="45"/>
        <v>0</v>
      </c>
      <c r="J61" s="777">
        <f t="shared" si="46"/>
        <v>0</v>
      </c>
      <c r="K61" s="777">
        <f t="shared" si="47"/>
        <v>0.39658738381477154</v>
      </c>
      <c r="L61" s="874">
        <f t="shared" si="48"/>
        <v>0.99999999999999989</v>
      </c>
      <c r="N61" s="300">
        <f t="shared" si="50"/>
        <v>15139.127705520003</v>
      </c>
      <c r="O61" s="908">
        <f>Parameters!R162</f>
        <v>0.73</v>
      </c>
      <c r="P61" s="908">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906">
        <f t="shared" si="2"/>
        <v>665.75458033888935</v>
      </c>
      <c r="R61" s="906">
        <f t="shared" si="3"/>
        <v>665.75458033888935</v>
      </c>
      <c r="S61" s="286">
        <f t="shared" si="4"/>
        <v>0</v>
      </c>
      <c r="T61" s="906">
        <f t="shared" si="5"/>
        <v>8143.688319775305</v>
      </c>
      <c r="U61" s="906">
        <f t="shared" si="6"/>
        <v>383.40186144816624</v>
      </c>
      <c r="V61" s="1072">
        <f t="shared" si="7"/>
        <v>255.60124096544416</v>
      </c>
      <c r="W61" s="1450">
        <f t="shared" si="8"/>
        <v>0.13527885904981399</v>
      </c>
      <c r="X61" s="914">
        <f>'Baseline data (from input)'!AS47*W61</f>
        <v>5432.177063261639</v>
      </c>
      <c r="Y61" s="907">
        <f>Parameters!S162</f>
        <v>0.71500000000000008</v>
      </c>
      <c r="Z61" s="907">
        <f t="shared" si="9"/>
        <v>0.4</v>
      </c>
      <c r="AA61" s="906">
        <f t="shared" si="10"/>
        <v>776.8013200464145</v>
      </c>
      <c r="AB61" s="906">
        <f t="shared" si="11"/>
        <v>776.8013200464145</v>
      </c>
      <c r="AC61" s="286">
        <f t="shared" si="12"/>
        <v>0</v>
      </c>
      <c r="AD61" s="906">
        <f t="shared" si="13"/>
        <v>10319.372523689477</v>
      </c>
      <c r="AE61" s="906">
        <f t="shared" si="14"/>
        <v>489.25808785705516</v>
      </c>
      <c r="AF61" s="1072">
        <f t="shared" si="15"/>
        <v>326.17205857137009</v>
      </c>
      <c r="AG61" s="1448">
        <f t="shared" si="16"/>
        <v>0.13527885904981399</v>
      </c>
      <c r="AH61" s="914">
        <f>'Baseline data (from input)'!AS47*AG61</f>
        <v>5432.177063261639</v>
      </c>
      <c r="AI61" s="907">
        <f>Parameters!S162</f>
        <v>0.71500000000000008</v>
      </c>
      <c r="AJ61" s="907">
        <f t="shared" si="17"/>
        <v>0.4</v>
      </c>
      <c r="AK61" s="906">
        <f t="shared" si="18"/>
        <v>776.8013200464145</v>
      </c>
      <c r="AL61" s="906">
        <f t="shared" si="19"/>
        <v>776.8013200464145</v>
      </c>
      <c r="AM61" s="286">
        <f t="shared" si="20"/>
        <v>0</v>
      </c>
      <c r="AN61" s="906">
        <f t="shared" si="21"/>
        <v>10319.372523689477</v>
      </c>
      <c r="AO61" s="906">
        <f t="shared" si="22"/>
        <v>489.25808785705516</v>
      </c>
      <c r="AP61" s="1072">
        <f t="shared" si="23"/>
        <v>326.17205857137009</v>
      </c>
      <c r="AR61" s="914">
        <v>0</v>
      </c>
      <c r="AS61" s="907">
        <v>1</v>
      </c>
      <c r="AT61" s="907">
        <f t="shared" si="24"/>
        <v>0.05</v>
      </c>
      <c r="AU61" s="906">
        <f t="shared" si="25"/>
        <v>0</v>
      </c>
      <c r="AV61" s="906">
        <f t="shared" si="26"/>
        <v>0</v>
      </c>
      <c r="AW61" s="198">
        <f t="shared" si="27"/>
        <v>0</v>
      </c>
      <c r="AX61" s="922">
        <f t="shared" si="49"/>
        <v>0</v>
      </c>
      <c r="AY61" s="922">
        <f t="shared" si="29"/>
        <v>0</v>
      </c>
      <c r="AZ61" s="1072">
        <f t="shared" si="30"/>
        <v>0</v>
      </c>
      <c r="BB61" s="300">
        <f t="shared" si="31"/>
        <v>255.60124096544416</v>
      </c>
      <c r="BC61" s="301">
        <f t="shared" si="32"/>
        <v>326.17205857137009</v>
      </c>
      <c r="BD61" s="1080">
        <f t="shared" si="33"/>
        <v>0</v>
      </c>
      <c r="BE61" s="301">
        <f t="shared" si="34"/>
        <v>581.77329953681419</v>
      </c>
      <c r="BF61" s="104">
        <v>0</v>
      </c>
      <c r="BG61" s="302">
        <f t="shared" si="35"/>
        <v>581.77329953681419</v>
      </c>
      <c r="BI61" s="300">
        <f t="shared" si="36"/>
        <v>255.60124096544416</v>
      </c>
      <c r="BJ61" s="301">
        <f t="shared" si="37"/>
        <v>326.17205857137009</v>
      </c>
      <c r="BK61" s="1080">
        <f t="shared" si="38"/>
        <v>0</v>
      </c>
      <c r="BL61" s="301">
        <f t="shared" si="39"/>
        <v>581.77329953681419</v>
      </c>
      <c r="BM61" s="104">
        <v>0</v>
      </c>
      <c r="BN61" s="302">
        <f t="shared" si="40"/>
        <v>581.77329953681419</v>
      </c>
    </row>
    <row r="62" spans="1:66">
      <c r="A62" s="127">
        <f>'Input data'!A92</f>
        <v>1992</v>
      </c>
      <c r="B62" s="866">
        <f>'Input data'!B92</f>
        <v>33.388809999999999</v>
      </c>
      <c r="C62" s="866">
        <f>'Baseline data (from input)'!B48</f>
        <v>578.73</v>
      </c>
      <c r="D62" s="777">
        <f>'Baseline data (from input)'!T48</f>
        <v>0.8</v>
      </c>
      <c r="E62" s="777">
        <f t="shared" si="41"/>
        <v>0.24001298204245269</v>
      </c>
      <c r="F62" s="777">
        <f t="shared" si="42"/>
        <v>0.30440139352934503</v>
      </c>
      <c r="G62" s="777">
        <f t="shared" si="43"/>
        <v>5.8998240613430578E-2</v>
      </c>
      <c r="H62" s="777">
        <f t="shared" si="44"/>
        <v>0</v>
      </c>
      <c r="I62" s="777">
        <f t="shared" si="45"/>
        <v>0</v>
      </c>
      <c r="J62" s="777">
        <f t="shared" si="46"/>
        <v>0</v>
      </c>
      <c r="K62" s="777">
        <f t="shared" si="47"/>
        <v>0.39658738381477154</v>
      </c>
      <c r="L62" s="874">
        <f t="shared" si="48"/>
        <v>0.99999999999999989</v>
      </c>
      <c r="N62" s="300">
        <f t="shared" si="50"/>
        <v>15458.484809039999</v>
      </c>
      <c r="O62" s="908">
        <f>Parameters!R163</f>
        <v>0.73</v>
      </c>
      <c r="P62" s="908">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906">
        <f t="shared" si="2"/>
        <v>679.79855028008194</v>
      </c>
      <c r="R62" s="906">
        <f t="shared" si="3"/>
        <v>679.79855028008194</v>
      </c>
      <c r="S62" s="286">
        <f t="shared" si="4"/>
        <v>0</v>
      </c>
      <c r="T62" s="906">
        <f t="shared" si="5"/>
        <v>8426.3145040131312</v>
      </c>
      <c r="U62" s="906">
        <f t="shared" si="6"/>
        <v>397.17236604225491</v>
      </c>
      <c r="V62" s="1072">
        <f t="shared" si="7"/>
        <v>264.78157736150325</v>
      </c>
      <c r="W62" s="1450">
        <f t="shared" si="8"/>
        <v>0.13527885904981399</v>
      </c>
      <c r="X62" s="914">
        <f>'Baseline data (from input)'!AS48*W62</f>
        <v>5316.0883491085297</v>
      </c>
      <c r="Y62" s="907">
        <f>Parameters!S163</f>
        <v>0.71500000000000008</v>
      </c>
      <c r="Z62" s="907">
        <f t="shared" si="9"/>
        <v>0.4</v>
      </c>
      <c r="AA62" s="906">
        <f t="shared" si="10"/>
        <v>760.20063392251996</v>
      </c>
      <c r="AB62" s="906">
        <f t="shared" si="11"/>
        <v>760.20063392251996</v>
      </c>
      <c r="AC62" s="286">
        <f t="shared" si="12"/>
        <v>0</v>
      </c>
      <c r="AD62" s="906">
        <f t="shared" si="13"/>
        <v>10576.291420840142</v>
      </c>
      <c r="AE62" s="906">
        <f t="shared" si="14"/>
        <v>503.28173677185498</v>
      </c>
      <c r="AF62" s="1072">
        <f t="shared" si="15"/>
        <v>335.52115784790334</v>
      </c>
      <c r="AG62" s="1448">
        <f t="shared" si="16"/>
        <v>0.13527885904981399</v>
      </c>
      <c r="AH62" s="914">
        <f>'Baseline data (from input)'!AS48*AG62</f>
        <v>5316.0883491085297</v>
      </c>
      <c r="AI62" s="907">
        <f>Parameters!S163</f>
        <v>0.71500000000000008</v>
      </c>
      <c r="AJ62" s="907">
        <f t="shared" si="17"/>
        <v>0.4</v>
      </c>
      <c r="AK62" s="906">
        <f t="shared" si="18"/>
        <v>760.20063392251996</v>
      </c>
      <c r="AL62" s="906">
        <f t="shared" si="19"/>
        <v>760.20063392251996</v>
      </c>
      <c r="AM62" s="286">
        <f t="shared" si="20"/>
        <v>0</v>
      </c>
      <c r="AN62" s="906">
        <f t="shared" si="21"/>
        <v>10576.291420840142</v>
      </c>
      <c r="AO62" s="906">
        <f t="shared" si="22"/>
        <v>503.28173677185498</v>
      </c>
      <c r="AP62" s="1072">
        <f t="shared" si="23"/>
        <v>335.52115784790334</v>
      </c>
      <c r="AR62" s="914">
        <v>0</v>
      </c>
      <c r="AS62" s="907">
        <v>1</v>
      </c>
      <c r="AT62" s="907">
        <f t="shared" si="24"/>
        <v>0.05</v>
      </c>
      <c r="AU62" s="906">
        <f t="shared" si="25"/>
        <v>0</v>
      </c>
      <c r="AV62" s="906">
        <f t="shared" si="26"/>
        <v>0</v>
      </c>
      <c r="AW62" s="198">
        <f t="shared" si="27"/>
        <v>0</v>
      </c>
      <c r="AX62" s="922">
        <f t="shared" si="49"/>
        <v>0</v>
      </c>
      <c r="AY62" s="922">
        <f t="shared" si="29"/>
        <v>0</v>
      </c>
      <c r="AZ62" s="1072">
        <f t="shared" si="30"/>
        <v>0</v>
      </c>
      <c r="BB62" s="300">
        <f t="shared" si="31"/>
        <v>264.78157736150325</v>
      </c>
      <c r="BC62" s="301">
        <f t="shared" si="32"/>
        <v>335.52115784790334</v>
      </c>
      <c r="BD62" s="1080">
        <f t="shared" si="33"/>
        <v>0</v>
      </c>
      <c r="BE62" s="301">
        <f t="shared" si="34"/>
        <v>600.30273520940659</v>
      </c>
      <c r="BF62" s="104">
        <v>0</v>
      </c>
      <c r="BG62" s="302">
        <f t="shared" si="35"/>
        <v>600.30273520940659</v>
      </c>
      <c r="BI62" s="300">
        <f t="shared" si="36"/>
        <v>264.78157736150325</v>
      </c>
      <c r="BJ62" s="301">
        <f t="shared" si="37"/>
        <v>335.52115784790334</v>
      </c>
      <c r="BK62" s="1080">
        <f t="shared" si="38"/>
        <v>0</v>
      </c>
      <c r="BL62" s="301">
        <f t="shared" si="39"/>
        <v>600.30273520940659</v>
      </c>
      <c r="BM62" s="104">
        <v>0</v>
      </c>
      <c r="BN62" s="302">
        <f t="shared" si="40"/>
        <v>600.30273520940659</v>
      </c>
    </row>
    <row r="63" spans="1:66">
      <c r="A63" s="127">
        <f>'Input data'!A93</f>
        <v>1993</v>
      </c>
      <c r="B63" s="866">
        <f>'Input data'!B93</f>
        <v>34.101339999999993</v>
      </c>
      <c r="C63" s="866">
        <f>'Baseline data (from input)'!B49</f>
        <v>578.73</v>
      </c>
      <c r="D63" s="777">
        <f>'Baseline data (from input)'!T49</f>
        <v>0.8</v>
      </c>
      <c r="E63" s="777">
        <f t="shared" si="41"/>
        <v>0.24001298204245269</v>
      </c>
      <c r="F63" s="777">
        <f t="shared" si="42"/>
        <v>0.30440139352934503</v>
      </c>
      <c r="G63" s="777">
        <f t="shared" si="43"/>
        <v>5.8998240613430578E-2</v>
      </c>
      <c r="H63" s="777">
        <f t="shared" si="44"/>
        <v>0</v>
      </c>
      <c r="I63" s="777">
        <f t="shared" si="45"/>
        <v>0</v>
      </c>
      <c r="J63" s="777">
        <f t="shared" si="46"/>
        <v>0</v>
      </c>
      <c r="K63" s="777">
        <f t="shared" si="47"/>
        <v>0.39658738381477154</v>
      </c>
      <c r="L63" s="874">
        <f t="shared" si="48"/>
        <v>0.99999999999999989</v>
      </c>
      <c r="N63" s="300">
        <f t="shared" si="50"/>
        <v>15788.374798559998</v>
      </c>
      <c r="O63" s="908">
        <f>Parameters!R164</f>
        <v>0.73</v>
      </c>
      <c r="P63" s="908">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906">
        <f t="shared" si="2"/>
        <v>694.30571184202631</v>
      </c>
      <c r="R63" s="906">
        <f t="shared" si="3"/>
        <v>694.30571184202631</v>
      </c>
      <c r="S63" s="286">
        <f t="shared" si="4"/>
        <v>0</v>
      </c>
      <c r="T63" s="906">
        <f t="shared" si="5"/>
        <v>8709.6640081564565</v>
      </c>
      <c r="U63" s="906">
        <f t="shared" si="6"/>
        <v>410.95620769870095</v>
      </c>
      <c r="V63" s="1072">
        <f t="shared" si="7"/>
        <v>273.97080513246732</v>
      </c>
      <c r="W63" s="1450">
        <f t="shared" si="8"/>
        <v>0.13527885904981399</v>
      </c>
      <c r="X63" s="914">
        <f>'Baseline data (from input)'!AS49*W63</f>
        <v>5381.6633574874559</v>
      </c>
      <c r="Y63" s="907">
        <f>Parameters!S164</f>
        <v>0.71500000000000008</v>
      </c>
      <c r="Z63" s="907">
        <f t="shared" si="9"/>
        <v>0.4</v>
      </c>
      <c r="AA63" s="906">
        <f t="shared" si="10"/>
        <v>769.5778601207063</v>
      </c>
      <c r="AB63" s="906">
        <f t="shared" si="11"/>
        <v>769.5778601207063</v>
      </c>
      <c r="AC63" s="286">
        <f t="shared" si="12"/>
        <v>0</v>
      </c>
      <c r="AD63" s="906">
        <f t="shared" si="13"/>
        <v>10830.057461718312</v>
      </c>
      <c r="AE63" s="906">
        <f t="shared" si="14"/>
        <v>515.81181924253474</v>
      </c>
      <c r="AF63" s="1072">
        <f t="shared" si="15"/>
        <v>343.87454616168981</v>
      </c>
      <c r="AG63" s="1448">
        <f t="shared" si="16"/>
        <v>0.13527885904981399</v>
      </c>
      <c r="AH63" s="914">
        <f>'Baseline data (from input)'!AS49*AG63</f>
        <v>5381.6633574874559</v>
      </c>
      <c r="AI63" s="907">
        <f>Parameters!S164</f>
        <v>0.71500000000000008</v>
      </c>
      <c r="AJ63" s="907">
        <f t="shared" si="17"/>
        <v>0.4</v>
      </c>
      <c r="AK63" s="906">
        <f t="shared" si="18"/>
        <v>769.5778601207063</v>
      </c>
      <c r="AL63" s="906">
        <f t="shared" si="19"/>
        <v>769.5778601207063</v>
      </c>
      <c r="AM63" s="286">
        <f t="shared" si="20"/>
        <v>0</v>
      </c>
      <c r="AN63" s="906">
        <f t="shared" si="21"/>
        <v>10830.057461718312</v>
      </c>
      <c r="AO63" s="906">
        <f t="shared" si="22"/>
        <v>515.81181924253474</v>
      </c>
      <c r="AP63" s="1072">
        <f t="shared" si="23"/>
        <v>343.87454616168981</v>
      </c>
      <c r="AR63" s="914">
        <v>0</v>
      </c>
      <c r="AS63" s="907">
        <v>1</v>
      </c>
      <c r="AT63" s="907">
        <f t="shared" si="24"/>
        <v>0.05</v>
      </c>
      <c r="AU63" s="906">
        <f t="shared" si="25"/>
        <v>0</v>
      </c>
      <c r="AV63" s="906">
        <f t="shared" si="26"/>
        <v>0</v>
      </c>
      <c r="AW63" s="198">
        <f t="shared" si="27"/>
        <v>0</v>
      </c>
      <c r="AX63" s="922">
        <f t="shared" si="49"/>
        <v>0</v>
      </c>
      <c r="AY63" s="922">
        <f t="shared" si="29"/>
        <v>0</v>
      </c>
      <c r="AZ63" s="1072">
        <f t="shared" si="30"/>
        <v>0</v>
      </c>
      <c r="BB63" s="300">
        <f t="shared" si="31"/>
        <v>273.97080513246732</v>
      </c>
      <c r="BC63" s="301">
        <f t="shared" si="32"/>
        <v>343.87454616168981</v>
      </c>
      <c r="BD63" s="1080">
        <f t="shared" si="33"/>
        <v>0</v>
      </c>
      <c r="BE63" s="301">
        <f t="shared" si="34"/>
        <v>617.84535129415713</v>
      </c>
      <c r="BF63" s="104">
        <v>0</v>
      </c>
      <c r="BG63" s="302">
        <f t="shared" si="35"/>
        <v>617.84535129415713</v>
      </c>
      <c r="BI63" s="300">
        <f t="shared" si="36"/>
        <v>273.97080513246732</v>
      </c>
      <c r="BJ63" s="301">
        <f t="shared" si="37"/>
        <v>343.87454616168981</v>
      </c>
      <c r="BK63" s="1080">
        <f t="shared" si="38"/>
        <v>0</v>
      </c>
      <c r="BL63" s="301">
        <f t="shared" si="39"/>
        <v>617.84535129415713</v>
      </c>
      <c r="BM63" s="104">
        <v>0</v>
      </c>
      <c r="BN63" s="302">
        <f t="shared" si="40"/>
        <v>617.84535129415713</v>
      </c>
    </row>
    <row r="64" spans="1:66">
      <c r="A64" s="127">
        <f>'Input data'!A94</f>
        <v>1994</v>
      </c>
      <c r="B64" s="866">
        <f>'Input data'!B94</f>
        <v>34.837530000000001</v>
      </c>
      <c r="C64" s="866">
        <f>'Baseline data (from input)'!B50</f>
        <v>578.73</v>
      </c>
      <c r="D64" s="777">
        <f>'Baseline data (from input)'!T50</f>
        <v>0.8</v>
      </c>
      <c r="E64" s="777">
        <f t="shared" si="41"/>
        <v>0.24001298204245269</v>
      </c>
      <c r="F64" s="777">
        <f t="shared" si="42"/>
        <v>0.30440139352934503</v>
      </c>
      <c r="G64" s="777">
        <f t="shared" si="43"/>
        <v>5.8998240613430578E-2</v>
      </c>
      <c r="H64" s="777">
        <f t="shared" si="44"/>
        <v>0</v>
      </c>
      <c r="I64" s="777">
        <f t="shared" si="45"/>
        <v>0</v>
      </c>
      <c r="J64" s="777">
        <f t="shared" si="46"/>
        <v>0</v>
      </c>
      <c r="K64" s="777">
        <f t="shared" si="47"/>
        <v>0.39658738381477154</v>
      </c>
      <c r="L64" s="874">
        <f t="shared" si="48"/>
        <v>0.99999999999999989</v>
      </c>
      <c r="N64" s="300">
        <f t="shared" si="50"/>
        <v>16129.218989520003</v>
      </c>
      <c r="O64" s="908">
        <f>Parameters!R165</f>
        <v>0.73</v>
      </c>
      <c r="P64" s="908">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906">
        <f t="shared" si="2"/>
        <v>709.29459268955281</v>
      </c>
      <c r="R64" s="906">
        <f t="shared" si="3"/>
        <v>709.29459268955281</v>
      </c>
      <c r="S64" s="286">
        <f t="shared" si="4"/>
        <v>0</v>
      </c>
      <c r="T64" s="906">
        <f t="shared" si="5"/>
        <v>8994.1832747628014</v>
      </c>
      <c r="U64" s="906">
        <f t="shared" si="6"/>
        <v>424.77532608320826</v>
      </c>
      <c r="V64" s="1072">
        <f t="shared" si="7"/>
        <v>283.18355072213882</v>
      </c>
      <c r="W64" s="1450">
        <f t="shared" si="8"/>
        <v>0.13527885904981399</v>
      </c>
      <c r="X64" s="914">
        <f>'Baseline data (from input)'!AS50*W64</f>
        <v>5553.8766413807025</v>
      </c>
      <c r="Y64" s="907">
        <f>Parameters!S165</f>
        <v>0.71500000000000008</v>
      </c>
      <c r="Z64" s="907">
        <f t="shared" si="9"/>
        <v>0.4</v>
      </c>
      <c r="AA64" s="906">
        <f t="shared" si="10"/>
        <v>794.20435971744052</v>
      </c>
      <c r="AB64" s="906">
        <f t="shared" si="11"/>
        <v>794.20435971744052</v>
      </c>
      <c r="AC64" s="286">
        <f t="shared" si="12"/>
        <v>0</v>
      </c>
      <c r="AD64" s="906">
        <f t="shared" si="13"/>
        <v>11096.073686337413</v>
      </c>
      <c r="AE64" s="906">
        <f t="shared" si="14"/>
        <v>528.18813509833842</v>
      </c>
      <c r="AF64" s="1072">
        <f t="shared" si="15"/>
        <v>352.12542339889228</v>
      </c>
      <c r="AG64" s="1448">
        <f t="shared" si="16"/>
        <v>0.13527885904981399</v>
      </c>
      <c r="AH64" s="914">
        <f>'Baseline data (from input)'!AS50*AG64</f>
        <v>5553.8766413807025</v>
      </c>
      <c r="AI64" s="907">
        <f>Parameters!S165</f>
        <v>0.71500000000000008</v>
      </c>
      <c r="AJ64" s="907">
        <f t="shared" si="17"/>
        <v>0.4</v>
      </c>
      <c r="AK64" s="906">
        <f t="shared" si="18"/>
        <v>794.20435971744052</v>
      </c>
      <c r="AL64" s="906">
        <f t="shared" si="19"/>
        <v>794.20435971744052</v>
      </c>
      <c r="AM64" s="286">
        <f t="shared" si="20"/>
        <v>0</v>
      </c>
      <c r="AN64" s="906">
        <f t="shared" si="21"/>
        <v>11096.073686337413</v>
      </c>
      <c r="AO64" s="906">
        <f t="shared" si="22"/>
        <v>528.18813509833842</v>
      </c>
      <c r="AP64" s="1072">
        <f t="shared" si="23"/>
        <v>352.12542339889228</v>
      </c>
      <c r="AR64" s="914">
        <v>0</v>
      </c>
      <c r="AS64" s="907">
        <v>1</v>
      </c>
      <c r="AT64" s="907">
        <f t="shared" si="24"/>
        <v>0.05</v>
      </c>
      <c r="AU64" s="906">
        <f t="shared" si="25"/>
        <v>0</v>
      </c>
      <c r="AV64" s="906">
        <f t="shared" si="26"/>
        <v>0</v>
      </c>
      <c r="AW64" s="198">
        <f t="shared" si="27"/>
        <v>0</v>
      </c>
      <c r="AX64" s="922">
        <f t="shared" si="49"/>
        <v>0</v>
      </c>
      <c r="AY64" s="922">
        <f t="shared" si="29"/>
        <v>0</v>
      </c>
      <c r="AZ64" s="1072">
        <f t="shared" si="30"/>
        <v>0</v>
      </c>
      <c r="BB64" s="300">
        <f t="shared" si="31"/>
        <v>283.18355072213882</v>
      </c>
      <c r="BC64" s="301">
        <f t="shared" si="32"/>
        <v>352.12542339889228</v>
      </c>
      <c r="BD64" s="1080">
        <f t="shared" si="33"/>
        <v>0</v>
      </c>
      <c r="BE64" s="301">
        <f t="shared" si="34"/>
        <v>635.30897412103104</v>
      </c>
      <c r="BF64" s="104">
        <v>0</v>
      </c>
      <c r="BG64" s="302">
        <f t="shared" si="35"/>
        <v>635.30897412103104</v>
      </c>
      <c r="BI64" s="300">
        <f t="shared" si="36"/>
        <v>283.18355072213882</v>
      </c>
      <c r="BJ64" s="301">
        <f t="shared" si="37"/>
        <v>352.12542339889228</v>
      </c>
      <c r="BK64" s="1080">
        <f t="shared" si="38"/>
        <v>0</v>
      </c>
      <c r="BL64" s="301">
        <f t="shared" si="39"/>
        <v>635.30897412103104</v>
      </c>
      <c r="BM64" s="104">
        <v>0</v>
      </c>
      <c r="BN64" s="302">
        <f t="shared" si="40"/>
        <v>635.30897412103104</v>
      </c>
    </row>
    <row r="65" spans="1:66">
      <c r="A65" s="127">
        <f>'Input data'!A95</f>
        <v>1995</v>
      </c>
      <c r="B65" s="866">
        <f>'Input data'!B95</f>
        <v>35.599199999999996</v>
      </c>
      <c r="C65" s="866">
        <f>'Baseline data (from input)'!B51</f>
        <v>578.73</v>
      </c>
      <c r="D65" s="777">
        <f>'Baseline data (from input)'!T51</f>
        <v>0.8</v>
      </c>
      <c r="E65" s="777">
        <f t="shared" si="41"/>
        <v>0.24001298204245269</v>
      </c>
      <c r="F65" s="777">
        <f t="shared" si="42"/>
        <v>0.30440139352934503</v>
      </c>
      <c r="G65" s="777">
        <f t="shared" si="43"/>
        <v>5.8998240613430578E-2</v>
      </c>
      <c r="H65" s="777">
        <f t="shared" si="44"/>
        <v>0</v>
      </c>
      <c r="I65" s="777">
        <f t="shared" si="45"/>
        <v>0</v>
      </c>
      <c r="J65" s="777">
        <f t="shared" si="46"/>
        <v>0</v>
      </c>
      <c r="K65" s="777">
        <f t="shared" si="47"/>
        <v>0.39658738381477154</v>
      </c>
      <c r="L65" s="874">
        <f t="shared" si="48"/>
        <v>0.99999999999999989</v>
      </c>
      <c r="M65" s="4"/>
      <c r="N65" s="300">
        <f t="shared" si="50"/>
        <v>16481.8600128</v>
      </c>
      <c r="O65" s="908">
        <f>Parameters!R166</f>
        <v>0.73</v>
      </c>
      <c r="P65" s="908">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906">
        <f t="shared" si="2"/>
        <v>724.80224815232089</v>
      </c>
      <c r="R65" s="906">
        <f t="shared" si="3"/>
        <v>724.80224815232089</v>
      </c>
      <c r="S65" s="286">
        <f t="shared" si="4"/>
        <v>0</v>
      </c>
      <c r="T65" s="906">
        <f t="shared" si="5"/>
        <v>9280.3340284588867</v>
      </c>
      <c r="U65" s="906">
        <f t="shared" si="6"/>
        <v>438.65149445623445</v>
      </c>
      <c r="V65" s="1072">
        <f t="shared" si="7"/>
        <v>292.43432963748961</v>
      </c>
      <c r="W65" s="1450">
        <f t="shared" si="8"/>
        <v>0.13527885904981399</v>
      </c>
      <c r="X65" s="914">
        <f>'Baseline data (from input)'!AS51*W65</f>
        <v>5726.0465627848771</v>
      </c>
      <c r="Y65" s="907">
        <f>Parameters!S166</f>
        <v>0.71500000000000008</v>
      </c>
      <c r="Z65" s="907">
        <f t="shared" si="9"/>
        <v>0.4</v>
      </c>
      <c r="AA65" s="906">
        <f t="shared" si="10"/>
        <v>818.82465847823755</v>
      </c>
      <c r="AB65" s="906">
        <f t="shared" si="11"/>
        <v>818.82465847823755</v>
      </c>
      <c r="AC65" s="286">
        <f t="shared" si="12"/>
        <v>0</v>
      </c>
      <c r="AD65" s="906">
        <f t="shared" si="13"/>
        <v>11373.736445350491</v>
      </c>
      <c r="AE65" s="906">
        <f t="shared" si="14"/>
        <v>541.16189946515931</v>
      </c>
      <c r="AF65" s="1072">
        <f t="shared" si="15"/>
        <v>360.77459964343956</v>
      </c>
      <c r="AG65" s="1448">
        <f t="shared" si="16"/>
        <v>0.13527885904981399</v>
      </c>
      <c r="AH65" s="914">
        <f>'Baseline data (from input)'!AS51*AG65</f>
        <v>5726.0465627848771</v>
      </c>
      <c r="AI65" s="907">
        <f>Parameters!S166</f>
        <v>0.71500000000000008</v>
      </c>
      <c r="AJ65" s="907">
        <f t="shared" si="17"/>
        <v>0.4</v>
      </c>
      <c r="AK65" s="906">
        <f t="shared" si="18"/>
        <v>818.82465847823755</v>
      </c>
      <c r="AL65" s="906">
        <f t="shared" si="19"/>
        <v>818.82465847823755</v>
      </c>
      <c r="AM65" s="286">
        <f t="shared" si="20"/>
        <v>0</v>
      </c>
      <c r="AN65" s="906">
        <f t="shared" si="21"/>
        <v>11373.736445350491</v>
      </c>
      <c r="AO65" s="906">
        <f t="shared" si="22"/>
        <v>541.16189946515931</v>
      </c>
      <c r="AP65" s="1072">
        <f t="shared" si="23"/>
        <v>360.77459964343956</v>
      </c>
      <c r="AR65" s="914">
        <v>0</v>
      </c>
      <c r="AS65" s="907">
        <v>1</v>
      </c>
      <c r="AT65" s="907">
        <f t="shared" si="24"/>
        <v>0.05</v>
      </c>
      <c r="AU65" s="906">
        <f t="shared" si="25"/>
        <v>0</v>
      </c>
      <c r="AV65" s="906">
        <f t="shared" si="26"/>
        <v>0</v>
      </c>
      <c r="AW65" s="198">
        <f t="shared" si="27"/>
        <v>0</v>
      </c>
      <c r="AX65" s="922">
        <f t="shared" si="49"/>
        <v>0</v>
      </c>
      <c r="AY65" s="922">
        <f t="shared" si="29"/>
        <v>0</v>
      </c>
      <c r="AZ65" s="1072">
        <f t="shared" si="30"/>
        <v>0</v>
      </c>
      <c r="BB65" s="300">
        <f t="shared" si="31"/>
        <v>292.43432963748961</v>
      </c>
      <c r="BC65" s="301">
        <f t="shared" si="32"/>
        <v>360.77459964343956</v>
      </c>
      <c r="BD65" s="1080">
        <f t="shared" si="33"/>
        <v>0</v>
      </c>
      <c r="BE65" s="301">
        <f t="shared" si="34"/>
        <v>653.20892928092917</v>
      </c>
      <c r="BF65" s="104">
        <v>0</v>
      </c>
      <c r="BG65" s="302">
        <f t="shared" si="35"/>
        <v>653.20892928092917</v>
      </c>
      <c r="BI65" s="300">
        <f t="shared" si="36"/>
        <v>292.43432963748961</v>
      </c>
      <c r="BJ65" s="301">
        <f t="shared" si="37"/>
        <v>360.77459964343956</v>
      </c>
      <c r="BK65" s="1080">
        <f t="shared" si="38"/>
        <v>0</v>
      </c>
      <c r="BL65" s="301">
        <f t="shared" si="39"/>
        <v>653.20892928092917</v>
      </c>
      <c r="BM65" s="104">
        <v>0</v>
      </c>
      <c r="BN65" s="302">
        <f t="shared" si="40"/>
        <v>653.20892928092917</v>
      </c>
    </row>
    <row r="66" spans="1:66">
      <c r="A66" s="127">
        <f>'Input data'!A96</f>
        <v>1996</v>
      </c>
      <c r="B66" s="866">
        <f>'Input data'!B96</f>
        <v>36.4</v>
      </c>
      <c r="C66" s="866">
        <f>'Baseline data (from input)'!B52</f>
        <v>578.73</v>
      </c>
      <c r="D66" s="777">
        <f>'Baseline data (from input)'!T52</f>
        <v>0.8</v>
      </c>
      <c r="E66" s="777">
        <f t="shared" si="41"/>
        <v>0.24001298204245269</v>
      </c>
      <c r="F66" s="777">
        <f t="shared" si="42"/>
        <v>0.30440139352934503</v>
      </c>
      <c r="G66" s="777">
        <f t="shared" si="43"/>
        <v>5.8998240613430578E-2</v>
      </c>
      <c r="H66" s="777">
        <f t="shared" si="44"/>
        <v>0</v>
      </c>
      <c r="I66" s="777">
        <f t="shared" si="45"/>
        <v>0</v>
      </c>
      <c r="J66" s="777">
        <f t="shared" si="46"/>
        <v>0</v>
      </c>
      <c r="K66" s="777">
        <f t="shared" si="47"/>
        <v>0.39658738381477154</v>
      </c>
      <c r="L66" s="874">
        <f t="shared" si="48"/>
        <v>0.99999999999999989</v>
      </c>
      <c r="M66" s="4"/>
      <c r="N66" s="300">
        <f t="shared" si="50"/>
        <v>16852.617600000001</v>
      </c>
      <c r="O66" s="908">
        <f>Parameters!R167</f>
        <v>0.73</v>
      </c>
      <c r="P66" s="908">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906">
        <f t="shared" si="2"/>
        <v>741.10659320278216</v>
      </c>
      <c r="R66" s="906">
        <f t="shared" si="3"/>
        <v>741.10659320278216</v>
      </c>
      <c r="S66" s="286">
        <f t="shared" si="4"/>
        <v>0</v>
      </c>
      <c r="T66" s="906">
        <f t="shared" si="5"/>
        <v>9568.8333902681206</v>
      </c>
      <c r="U66" s="906">
        <f t="shared" si="6"/>
        <v>452.60723139354695</v>
      </c>
      <c r="V66" s="1072">
        <f t="shared" si="7"/>
        <v>301.73815426236462</v>
      </c>
      <c r="W66" s="1450">
        <f t="shared" si="8"/>
        <v>0.13527885904981399</v>
      </c>
      <c r="X66" s="914">
        <f>'Baseline data (from input)'!AS52*W66</f>
        <v>5972.2665054910021</v>
      </c>
      <c r="Y66" s="907">
        <f>Parameters!S167</f>
        <v>0.71500000000000008</v>
      </c>
      <c r="Z66" s="907">
        <f t="shared" si="9"/>
        <v>0.4</v>
      </c>
      <c r="AA66" s="906">
        <f t="shared" si="10"/>
        <v>854.03411028521339</v>
      </c>
      <c r="AB66" s="906">
        <f t="shared" si="11"/>
        <v>854.03411028521339</v>
      </c>
      <c r="AC66" s="286">
        <f t="shared" si="12"/>
        <v>0</v>
      </c>
      <c r="AD66" s="906">
        <f t="shared" si="13"/>
        <v>11673.066883618756</v>
      </c>
      <c r="AE66" s="906">
        <f t="shared" si="14"/>
        <v>554.70367201694671</v>
      </c>
      <c r="AF66" s="1072">
        <f t="shared" si="15"/>
        <v>369.80244801129783</v>
      </c>
      <c r="AG66" s="1448">
        <f t="shared" si="16"/>
        <v>0.13527885904981399</v>
      </c>
      <c r="AH66" s="914">
        <f>'Baseline data (from input)'!AS52*AG66</f>
        <v>5972.2665054910021</v>
      </c>
      <c r="AI66" s="907">
        <f>Parameters!S167</f>
        <v>0.71500000000000008</v>
      </c>
      <c r="AJ66" s="907">
        <f t="shared" si="17"/>
        <v>0.4</v>
      </c>
      <c r="AK66" s="906">
        <f t="shared" si="18"/>
        <v>854.03411028521339</v>
      </c>
      <c r="AL66" s="906">
        <f t="shared" si="19"/>
        <v>854.03411028521339</v>
      </c>
      <c r="AM66" s="286">
        <f t="shared" si="20"/>
        <v>0</v>
      </c>
      <c r="AN66" s="906">
        <f t="shared" si="21"/>
        <v>11673.066883618756</v>
      </c>
      <c r="AO66" s="906">
        <f t="shared" si="22"/>
        <v>554.70367201694671</v>
      </c>
      <c r="AP66" s="1072">
        <f t="shared" si="23"/>
        <v>369.80244801129783</v>
      </c>
      <c r="AR66" s="300">
        <v>0</v>
      </c>
      <c r="AS66" s="907">
        <v>1</v>
      </c>
      <c r="AT66" s="907">
        <f t="shared" si="24"/>
        <v>0.05</v>
      </c>
      <c r="AU66" s="906">
        <f t="shared" si="25"/>
        <v>0</v>
      </c>
      <c r="AV66" s="906">
        <f t="shared" si="26"/>
        <v>0</v>
      </c>
      <c r="AW66" s="198">
        <f t="shared" si="27"/>
        <v>0</v>
      </c>
      <c r="AX66" s="922">
        <f t="shared" si="49"/>
        <v>0</v>
      </c>
      <c r="AY66" s="922">
        <f t="shared" si="29"/>
        <v>0</v>
      </c>
      <c r="AZ66" s="1072">
        <f t="shared" si="30"/>
        <v>0</v>
      </c>
      <c r="BB66" s="300">
        <f t="shared" si="31"/>
        <v>301.73815426236462</v>
      </c>
      <c r="BC66" s="301">
        <f t="shared" si="32"/>
        <v>369.80244801129783</v>
      </c>
      <c r="BD66" s="1080">
        <f t="shared" si="33"/>
        <v>0</v>
      </c>
      <c r="BE66" s="301">
        <f t="shared" si="34"/>
        <v>671.54060227366244</v>
      </c>
      <c r="BF66" s="104">
        <v>0</v>
      </c>
      <c r="BG66" s="302">
        <f t="shared" si="35"/>
        <v>671.54060227366244</v>
      </c>
      <c r="BI66" s="300">
        <f t="shared" si="36"/>
        <v>301.73815426236462</v>
      </c>
      <c r="BJ66" s="301">
        <f t="shared" si="37"/>
        <v>369.80244801129783</v>
      </c>
      <c r="BK66" s="1080">
        <f t="shared" si="38"/>
        <v>0</v>
      </c>
      <c r="BL66" s="301">
        <f t="shared" si="39"/>
        <v>671.54060227366244</v>
      </c>
      <c r="BM66" s="104">
        <v>0</v>
      </c>
      <c r="BN66" s="302">
        <f t="shared" si="40"/>
        <v>671.54060227366244</v>
      </c>
    </row>
    <row r="67" spans="1:66">
      <c r="A67" s="127">
        <f>'Input data'!A97</f>
        <v>1997</v>
      </c>
      <c r="B67" s="866">
        <f>'Input data'!B97</f>
        <v>37.242660000000001</v>
      </c>
      <c r="C67" s="866">
        <f>'Baseline data (from input)'!B53</f>
        <v>578.73</v>
      </c>
      <c r="D67" s="777">
        <f>'Baseline data (from input)'!T53</f>
        <v>0.8</v>
      </c>
      <c r="E67" s="777">
        <f t="shared" si="41"/>
        <v>0.24001298204245269</v>
      </c>
      <c r="F67" s="777">
        <f t="shared" si="42"/>
        <v>0.30440139352934503</v>
      </c>
      <c r="G67" s="777">
        <f t="shared" si="43"/>
        <v>5.8998240613430578E-2</v>
      </c>
      <c r="H67" s="777">
        <f t="shared" si="44"/>
        <v>0</v>
      </c>
      <c r="I67" s="777">
        <f t="shared" si="45"/>
        <v>0</v>
      </c>
      <c r="J67" s="777">
        <f t="shared" si="46"/>
        <v>0</v>
      </c>
      <c r="K67" s="777">
        <f t="shared" si="47"/>
        <v>0.39658738381477154</v>
      </c>
      <c r="L67" s="874">
        <f t="shared" si="48"/>
        <v>0.99999999999999989</v>
      </c>
      <c r="M67" s="4"/>
      <c r="N67" s="300">
        <f t="shared" si="50"/>
        <v>17242.755697440003</v>
      </c>
      <c r="O67" s="908">
        <f>Parameters!R168</f>
        <v>0.73</v>
      </c>
      <c r="P67" s="908">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906">
        <f t="shared" si="2"/>
        <v>758.26321083542666</v>
      </c>
      <c r="R67" s="906">
        <f t="shared" si="3"/>
        <v>758.26321083542666</v>
      </c>
      <c r="S67" s="286">
        <f t="shared" si="4"/>
        <v>0</v>
      </c>
      <c r="T67" s="906">
        <f t="shared" si="5"/>
        <v>9860.4190898033867</v>
      </c>
      <c r="U67" s="906">
        <f t="shared" si="6"/>
        <v>466.67751130016006</v>
      </c>
      <c r="V67" s="1072">
        <f t="shared" si="7"/>
        <v>311.11834086677339</v>
      </c>
      <c r="W67" s="1450">
        <f t="shared" si="8"/>
        <v>0.13527885904981399</v>
      </c>
      <c r="X67" s="914">
        <f>'Baseline data (from input)'!AS53*W67</f>
        <v>6127.5455610069275</v>
      </c>
      <c r="Y67" s="907">
        <f>Parameters!S168</f>
        <v>0.71500000000000008</v>
      </c>
      <c r="Z67" s="907">
        <f t="shared" si="9"/>
        <v>0.4</v>
      </c>
      <c r="AA67" s="906">
        <f t="shared" si="10"/>
        <v>876.23901522399069</v>
      </c>
      <c r="AB67" s="906">
        <f t="shared" si="11"/>
        <v>876.23901522399069</v>
      </c>
      <c r="AC67" s="286">
        <f t="shared" si="12"/>
        <v>0</v>
      </c>
      <c r="AD67" s="906">
        <f t="shared" si="13"/>
        <v>11980.003709087005</v>
      </c>
      <c r="AE67" s="906">
        <f t="shared" si="14"/>
        <v>569.30218975574348</v>
      </c>
      <c r="AF67" s="1072">
        <f t="shared" si="15"/>
        <v>379.53479317049567</v>
      </c>
      <c r="AG67" s="1448">
        <f t="shared" si="16"/>
        <v>0.13527885904981399</v>
      </c>
      <c r="AH67" s="914">
        <f>'Baseline data (from input)'!AS53*AG67</f>
        <v>6127.5455610069275</v>
      </c>
      <c r="AI67" s="907">
        <f>Parameters!S168</f>
        <v>0.71500000000000008</v>
      </c>
      <c r="AJ67" s="907">
        <f t="shared" si="17"/>
        <v>0.4</v>
      </c>
      <c r="AK67" s="906">
        <f t="shared" si="18"/>
        <v>876.23901522399069</v>
      </c>
      <c r="AL67" s="906">
        <f t="shared" si="19"/>
        <v>876.23901522399069</v>
      </c>
      <c r="AM67" s="286">
        <f t="shared" si="20"/>
        <v>0</v>
      </c>
      <c r="AN67" s="906">
        <f t="shared" si="21"/>
        <v>11980.003709087005</v>
      </c>
      <c r="AO67" s="906">
        <f t="shared" si="22"/>
        <v>569.30218975574348</v>
      </c>
      <c r="AP67" s="1072">
        <f t="shared" si="23"/>
        <v>379.53479317049567</v>
      </c>
      <c r="AQ67" s="4"/>
      <c r="AR67" s="300">
        <v>0</v>
      </c>
      <c r="AS67" s="907">
        <v>1</v>
      </c>
      <c r="AT67" s="907">
        <f t="shared" si="24"/>
        <v>0.05</v>
      </c>
      <c r="AU67" s="906">
        <f t="shared" si="25"/>
        <v>0</v>
      </c>
      <c r="AV67" s="906">
        <f t="shared" si="26"/>
        <v>0</v>
      </c>
      <c r="AW67" s="198">
        <f t="shared" si="27"/>
        <v>0</v>
      </c>
      <c r="AX67" s="922">
        <f t="shared" si="49"/>
        <v>0</v>
      </c>
      <c r="AY67" s="922">
        <f t="shared" si="29"/>
        <v>0</v>
      </c>
      <c r="AZ67" s="1072">
        <f t="shared" si="30"/>
        <v>0</v>
      </c>
      <c r="BB67" s="300">
        <f t="shared" si="31"/>
        <v>311.11834086677339</v>
      </c>
      <c r="BC67" s="301">
        <f t="shared" si="32"/>
        <v>379.53479317049567</v>
      </c>
      <c r="BD67" s="1080">
        <f t="shared" si="33"/>
        <v>0</v>
      </c>
      <c r="BE67" s="301">
        <f t="shared" si="34"/>
        <v>690.65313403726907</v>
      </c>
      <c r="BF67" s="104">
        <v>0</v>
      </c>
      <c r="BG67" s="302">
        <f t="shared" si="35"/>
        <v>690.65313403726907</v>
      </c>
      <c r="BI67" s="300">
        <f t="shared" si="36"/>
        <v>311.11834086677339</v>
      </c>
      <c r="BJ67" s="301">
        <f t="shared" si="37"/>
        <v>379.53479317049567</v>
      </c>
      <c r="BK67" s="1080">
        <f t="shared" si="38"/>
        <v>0</v>
      </c>
      <c r="BL67" s="301">
        <f t="shared" si="39"/>
        <v>690.65313403726907</v>
      </c>
      <c r="BM67" s="104">
        <v>0</v>
      </c>
      <c r="BN67" s="302">
        <f t="shared" si="40"/>
        <v>690.65313403726907</v>
      </c>
    </row>
    <row r="68" spans="1:66">
      <c r="A68" s="127">
        <f>'Input data'!A98</f>
        <v>1998</v>
      </c>
      <c r="B68" s="866">
        <f>'Input data'!B98</f>
        <v>38.128999999999998</v>
      </c>
      <c r="C68" s="866">
        <f>'Baseline data (from input)'!B54</f>
        <v>578.73</v>
      </c>
      <c r="D68" s="777">
        <f>'Baseline data (from input)'!T54</f>
        <v>0.8</v>
      </c>
      <c r="E68" s="777">
        <f t="shared" si="41"/>
        <v>0.24001298204245269</v>
      </c>
      <c r="F68" s="777">
        <f t="shared" si="42"/>
        <v>0.30440139352934503</v>
      </c>
      <c r="G68" s="777">
        <f t="shared" si="43"/>
        <v>5.8998240613430578E-2</v>
      </c>
      <c r="H68" s="777">
        <f t="shared" si="44"/>
        <v>0</v>
      </c>
      <c r="I68" s="777">
        <f t="shared" si="45"/>
        <v>0</v>
      </c>
      <c r="J68" s="777">
        <f t="shared" si="46"/>
        <v>0</v>
      </c>
      <c r="K68" s="777">
        <f t="shared" si="47"/>
        <v>0.39658738381477154</v>
      </c>
      <c r="L68" s="874">
        <f t="shared" si="48"/>
        <v>0.99999999999999989</v>
      </c>
      <c r="M68" s="4"/>
      <c r="N68" s="300">
        <f t="shared" si="50"/>
        <v>17653.116936000002</v>
      </c>
      <c r="O68" s="908">
        <f>Parameters!R169</f>
        <v>0.73</v>
      </c>
      <c r="P68" s="908">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906">
        <f t="shared" si="2"/>
        <v>776.30915637991438</v>
      </c>
      <c r="R68" s="906">
        <f t="shared" si="3"/>
        <v>776.30915637991438</v>
      </c>
      <c r="S68" s="286">
        <f t="shared" si="4"/>
        <v>0</v>
      </c>
      <c r="T68" s="906">
        <f t="shared" si="5"/>
        <v>10155.829932509445</v>
      </c>
      <c r="U68" s="906">
        <f t="shared" si="6"/>
        <v>480.89831367385688</v>
      </c>
      <c r="V68" s="1072">
        <f t="shared" si="7"/>
        <v>320.59887578257127</v>
      </c>
      <c r="W68" s="1450">
        <f t="shared" si="8"/>
        <v>0.13527885904981399</v>
      </c>
      <c r="X68" s="914">
        <f>'Baseline data (from input)'!AS54*W68</f>
        <v>6158.1833442662501</v>
      </c>
      <c r="Y68" s="907">
        <f>Parameters!S169</f>
        <v>0.71500000000000008</v>
      </c>
      <c r="Z68" s="907">
        <f t="shared" si="9"/>
        <v>0.4</v>
      </c>
      <c r="AA68" s="906">
        <f t="shared" si="10"/>
        <v>880.62021823007387</v>
      </c>
      <c r="AB68" s="906">
        <f t="shared" si="11"/>
        <v>880.62021823007387</v>
      </c>
      <c r="AC68" s="286">
        <f t="shared" si="12"/>
        <v>0</v>
      </c>
      <c r="AD68" s="906">
        <f t="shared" si="13"/>
        <v>12276.352251941324</v>
      </c>
      <c r="AE68" s="906">
        <f t="shared" si="14"/>
        <v>584.27167537575383</v>
      </c>
      <c r="AF68" s="1072">
        <f t="shared" si="15"/>
        <v>389.51445025050253</v>
      </c>
      <c r="AG68" s="1448">
        <f t="shared" si="16"/>
        <v>0.13527885904981399</v>
      </c>
      <c r="AH68" s="914">
        <f>'Baseline data (from input)'!AS54*AG68</f>
        <v>6158.1833442662501</v>
      </c>
      <c r="AI68" s="907">
        <f>Parameters!S169</f>
        <v>0.71500000000000008</v>
      </c>
      <c r="AJ68" s="907">
        <f t="shared" si="17"/>
        <v>0.4</v>
      </c>
      <c r="AK68" s="906">
        <f t="shared" si="18"/>
        <v>880.62021823007387</v>
      </c>
      <c r="AL68" s="906">
        <f t="shared" si="19"/>
        <v>880.62021823007387</v>
      </c>
      <c r="AM68" s="286">
        <f t="shared" si="20"/>
        <v>0</v>
      </c>
      <c r="AN68" s="906">
        <f t="shared" si="21"/>
        <v>12276.352251941324</v>
      </c>
      <c r="AO68" s="906">
        <f t="shared" si="22"/>
        <v>584.27167537575383</v>
      </c>
      <c r="AP68" s="1072">
        <f t="shared" si="23"/>
        <v>389.51445025050253</v>
      </c>
      <c r="AQ68" s="4"/>
      <c r="AR68" s="300">
        <v>0</v>
      </c>
      <c r="AS68" s="907">
        <v>1</v>
      </c>
      <c r="AT68" s="907">
        <f t="shared" si="24"/>
        <v>0.05</v>
      </c>
      <c r="AU68" s="906">
        <f t="shared" si="25"/>
        <v>0</v>
      </c>
      <c r="AV68" s="906">
        <f t="shared" si="26"/>
        <v>0</v>
      </c>
      <c r="AW68" s="198">
        <f t="shared" si="27"/>
        <v>0</v>
      </c>
      <c r="AX68" s="922">
        <f t="shared" si="49"/>
        <v>0</v>
      </c>
      <c r="AY68" s="922">
        <f t="shared" si="29"/>
        <v>0</v>
      </c>
      <c r="AZ68" s="1072">
        <f t="shared" si="30"/>
        <v>0</v>
      </c>
      <c r="BB68" s="300">
        <f t="shared" si="31"/>
        <v>320.59887578257127</v>
      </c>
      <c r="BC68" s="301">
        <f t="shared" si="32"/>
        <v>389.51445025050253</v>
      </c>
      <c r="BD68" s="1080">
        <f t="shared" si="33"/>
        <v>0</v>
      </c>
      <c r="BE68" s="301">
        <f t="shared" si="34"/>
        <v>710.1133260330738</v>
      </c>
      <c r="BF68" s="104">
        <v>0</v>
      </c>
      <c r="BG68" s="302">
        <f t="shared" si="35"/>
        <v>710.1133260330738</v>
      </c>
      <c r="BI68" s="300">
        <f t="shared" si="36"/>
        <v>320.59887578257127</v>
      </c>
      <c r="BJ68" s="301">
        <f t="shared" si="37"/>
        <v>389.51445025050253</v>
      </c>
      <c r="BK68" s="1080">
        <f t="shared" si="38"/>
        <v>0</v>
      </c>
      <c r="BL68" s="301">
        <f t="shared" si="39"/>
        <v>710.1133260330738</v>
      </c>
      <c r="BM68" s="104">
        <v>0</v>
      </c>
      <c r="BN68" s="302">
        <f t="shared" si="40"/>
        <v>710.1133260330738</v>
      </c>
    </row>
    <row r="69" spans="1:66" ht="15.75" thickBot="1">
      <c r="A69" s="127">
        <f>'Input data'!A99</f>
        <v>1999</v>
      </c>
      <c r="B69" s="866">
        <f>'Input data'!B99</f>
        <v>39.059930000000001</v>
      </c>
      <c r="C69" s="866">
        <f>'Baseline data (from input)'!B55</f>
        <v>578.73</v>
      </c>
      <c r="D69" s="777">
        <f>'Baseline data (from input)'!T55</f>
        <v>0.8</v>
      </c>
      <c r="E69" s="777">
        <f t="shared" si="41"/>
        <v>0.24001298204245269</v>
      </c>
      <c r="F69" s="777">
        <f t="shared" si="42"/>
        <v>0.30440139352934503</v>
      </c>
      <c r="G69" s="777">
        <f t="shared" si="43"/>
        <v>5.8998240613430578E-2</v>
      </c>
      <c r="H69" s="777">
        <f t="shared" si="44"/>
        <v>0</v>
      </c>
      <c r="I69" s="777">
        <f t="shared" si="45"/>
        <v>0</v>
      </c>
      <c r="J69" s="777">
        <f t="shared" si="46"/>
        <v>0</v>
      </c>
      <c r="K69" s="777">
        <f t="shared" si="47"/>
        <v>0.39658738381477154</v>
      </c>
      <c r="L69" s="874">
        <f t="shared" si="48"/>
        <v>0.99999999999999989</v>
      </c>
      <c r="M69" s="4"/>
      <c r="N69" s="300">
        <f t="shared" si="50"/>
        <v>18084.122631120001</v>
      </c>
      <c r="O69" s="908">
        <f>Parameters!R170</f>
        <v>0.73</v>
      </c>
      <c r="P69" s="908">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906">
        <f t="shared" si="2"/>
        <v>795.26295750107545</v>
      </c>
      <c r="R69" s="906">
        <f t="shared" si="3"/>
        <v>795.26295750107545</v>
      </c>
      <c r="S69" s="286">
        <f t="shared" si="4"/>
        <v>0</v>
      </c>
      <c r="T69" s="906">
        <f t="shared" si="5"/>
        <v>10455.78721952916</v>
      </c>
      <c r="U69" s="906">
        <f t="shared" si="6"/>
        <v>495.30567048136038</v>
      </c>
      <c r="V69" s="1072">
        <f t="shared" si="7"/>
        <v>330.2037803209069</v>
      </c>
      <c r="W69" s="1450">
        <f t="shared" si="8"/>
        <v>0.13527885904981399</v>
      </c>
      <c r="X69" s="914">
        <f>'Baseline data (from input)'!AS55*W69</f>
        <v>6305.9795132888557</v>
      </c>
      <c r="Y69" s="907">
        <f>Parameters!S170</f>
        <v>0.71500000000000008</v>
      </c>
      <c r="Z69" s="907">
        <f t="shared" si="9"/>
        <v>0.4</v>
      </c>
      <c r="AA69" s="906">
        <f t="shared" si="10"/>
        <v>901.75507040030652</v>
      </c>
      <c r="AB69" s="906">
        <f t="shared" si="11"/>
        <v>901.75507040030652</v>
      </c>
      <c r="AC69" s="286">
        <f t="shared" si="12"/>
        <v>0</v>
      </c>
      <c r="AD69" s="906">
        <f t="shared" si="13"/>
        <v>12579.382557982495</v>
      </c>
      <c r="AE69" s="906">
        <f t="shared" si="14"/>
        <v>598.72476435913381</v>
      </c>
      <c r="AF69" s="1072">
        <f t="shared" si="15"/>
        <v>399.14984290608919</v>
      </c>
      <c r="AG69" s="1448">
        <f t="shared" si="16"/>
        <v>0.13527885904981399</v>
      </c>
      <c r="AH69" s="914">
        <f>'Baseline data (from input)'!AS55*AG69</f>
        <v>6305.9795132888557</v>
      </c>
      <c r="AI69" s="907">
        <f>Parameters!S170</f>
        <v>0.71500000000000008</v>
      </c>
      <c r="AJ69" s="907">
        <f t="shared" si="17"/>
        <v>0.4</v>
      </c>
      <c r="AK69" s="906">
        <f t="shared" si="18"/>
        <v>901.75507040030652</v>
      </c>
      <c r="AL69" s="906">
        <f t="shared" si="19"/>
        <v>901.75507040030652</v>
      </c>
      <c r="AM69" s="286">
        <f t="shared" si="20"/>
        <v>0</v>
      </c>
      <c r="AN69" s="906">
        <f t="shared" si="21"/>
        <v>12579.382557982495</v>
      </c>
      <c r="AO69" s="906">
        <f t="shared" si="22"/>
        <v>598.72476435913381</v>
      </c>
      <c r="AP69" s="1072">
        <f t="shared" si="23"/>
        <v>399.14984290608919</v>
      </c>
      <c r="AQ69" s="4"/>
      <c r="AR69" s="300">
        <v>0</v>
      </c>
      <c r="AS69" s="907">
        <v>1</v>
      </c>
      <c r="AT69" s="907">
        <f t="shared" si="24"/>
        <v>0.05</v>
      </c>
      <c r="AU69" s="906">
        <f t="shared" si="25"/>
        <v>0</v>
      </c>
      <c r="AV69" s="906">
        <f t="shared" si="26"/>
        <v>0</v>
      </c>
      <c r="AW69" s="198">
        <f t="shared" si="27"/>
        <v>0</v>
      </c>
      <c r="AX69" s="922">
        <f t="shared" si="49"/>
        <v>0</v>
      </c>
      <c r="AY69" s="922">
        <f t="shared" si="29"/>
        <v>0</v>
      </c>
      <c r="AZ69" s="1072">
        <f t="shared" si="30"/>
        <v>0</v>
      </c>
      <c r="BB69" s="300">
        <f t="shared" si="31"/>
        <v>330.2037803209069</v>
      </c>
      <c r="BC69" s="301">
        <f t="shared" si="32"/>
        <v>399.14984290608919</v>
      </c>
      <c r="BD69" s="1080">
        <f t="shared" si="33"/>
        <v>0</v>
      </c>
      <c r="BE69" s="301">
        <f t="shared" si="34"/>
        <v>729.35362322699609</v>
      </c>
      <c r="BF69" s="104">
        <v>0</v>
      </c>
      <c r="BG69" s="302">
        <f t="shared" si="35"/>
        <v>729.35362322699609</v>
      </c>
      <c r="BI69" s="300">
        <f t="shared" si="36"/>
        <v>330.2037803209069</v>
      </c>
      <c r="BJ69" s="301">
        <f t="shared" si="37"/>
        <v>399.14984290608919</v>
      </c>
      <c r="BK69" s="1080">
        <f t="shared" si="38"/>
        <v>0</v>
      </c>
      <c r="BL69" s="301">
        <f t="shared" si="39"/>
        <v>729.35362322699609</v>
      </c>
      <c r="BM69" s="104">
        <v>0</v>
      </c>
      <c r="BN69" s="302">
        <f t="shared" si="40"/>
        <v>729.35362322699609</v>
      </c>
    </row>
    <row r="70" spans="1:66">
      <c r="A70" s="880">
        <f>'Input data'!A100</f>
        <v>2000</v>
      </c>
      <c r="B70" s="881">
        <f>'Input data'!B100</f>
        <v>44</v>
      </c>
      <c r="C70" s="881">
        <f>'Baseline data (from input)'!B56</f>
        <v>578.73</v>
      </c>
      <c r="D70" s="882">
        <f>'Baseline data (from input)'!T56</f>
        <v>0.8</v>
      </c>
      <c r="E70" s="882">
        <f t="shared" si="41"/>
        <v>0.24001298204245269</v>
      </c>
      <c r="F70" s="882">
        <f t="shared" si="42"/>
        <v>0.30440139352934503</v>
      </c>
      <c r="G70" s="882">
        <f t="shared" si="43"/>
        <v>5.8998240613430578E-2</v>
      </c>
      <c r="H70" s="882">
        <f t="shared" si="44"/>
        <v>0</v>
      </c>
      <c r="I70" s="882">
        <f t="shared" si="45"/>
        <v>0</v>
      </c>
      <c r="J70" s="882">
        <f t="shared" si="46"/>
        <v>0</v>
      </c>
      <c r="K70" s="882">
        <f t="shared" si="47"/>
        <v>0.39658738381477154</v>
      </c>
      <c r="L70" s="883">
        <f t="shared" si="48"/>
        <v>0.99999999999999989</v>
      </c>
      <c r="M70" s="198"/>
      <c r="N70" s="887">
        <f t="shared" si="50"/>
        <v>20371.296000000002</v>
      </c>
      <c r="O70" s="888">
        <f>Parameters!R171</f>
        <v>0.73</v>
      </c>
      <c r="P70" s="88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889">
        <f t="shared" si="2"/>
        <v>895.84313464072579</v>
      </c>
      <c r="R70" s="889">
        <f t="shared" si="3"/>
        <v>895.84313464072579</v>
      </c>
      <c r="S70" s="890">
        <f t="shared" si="4"/>
        <v>0</v>
      </c>
      <c r="T70" s="889">
        <f t="shared" si="5"/>
        <v>10841.695594175369</v>
      </c>
      <c r="U70" s="889">
        <f t="shared" si="6"/>
        <v>509.93475999451641</v>
      </c>
      <c r="V70" s="896">
        <f t="shared" si="7"/>
        <v>339.95650666301094</v>
      </c>
      <c r="W70" s="1450">
        <f t="shared" si="8"/>
        <v>0.13527885904981399</v>
      </c>
      <c r="X70" s="887">
        <f>'Baseline data (from input)'!AS56*W70</f>
        <v>6570.8308720428358</v>
      </c>
      <c r="Y70" s="888">
        <f>Parameters!S171</f>
        <v>0.71500000000000008</v>
      </c>
      <c r="Z70" s="888">
        <f t="shared" si="9"/>
        <v>0.4</v>
      </c>
      <c r="AA70" s="889">
        <f t="shared" si="10"/>
        <v>939.62881470212574</v>
      </c>
      <c r="AB70" s="889">
        <f t="shared" si="11"/>
        <v>939.62881470212574</v>
      </c>
      <c r="AC70" s="890">
        <f t="shared" si="12"/>
        <v>0</v>
      </c>
      <c r="AD70" s="889">
        <f t="shared" si="13"/>
        <v>12905.507645906135</v>
      </c>
      <c r="AE70" s="889">
        <f>AC70+AD69*(1-$D$8)</f>
        <v>613.50372677848657</v>
      </c>
      <c r="AF70" s="896">
        <f>AE70*16/12*$D$11</f>
        <v>409.00248451899103</v>
      </c>
      <c r="AG70" s="1448">
        <f t="shared" si="16"/>
        <v>0.13527885904981399</v>
      </c>
      <c r="AH70" s="887">
        <f>'Baseline data (from input)'!AS56*AG70</f>
        <v>6570.8308720428358</v>
      </c>
      <c r="AI70" s="888">
        <f>Parameters!S171</f>
        <v>0.71500000000000008</v>
      </c>
      <c r="AJ70" s="888">
        <f t="shared" si="17"/>
        <v>0.4</v>
      </c>
      <c r="AK70" s="889">
        <f t="shared" si="18"/>
        <v>939.62881470212574</v>
      </c>
      <c r="AL70" s="889">
        <f t="shared" si="19"/>
        <v>939.62881470212574</v>
      </c>
      <c r="AM70" s="890">
        <f t="shared" si="20"/>
        <v>0</v>
      </c>
      <c r="AN70" s="889">
        <f t="shared" si="21"/>
        <v>12905.507645906135</v>
      </c>
      <c r="AO70" s="889">
        <f t="shared" si="22"/>
        <v>613.50372677848657</v>
      </c>
      <c r="AP70" s="896">
        <f t="shared" si="23"/>
        <v>409.00248451899103</v>
      </c>
      <c r="AQ70" s="99"/>
      <c r="AR70" s="887">
        <v>501</v>
      </c>
      <c r="AS70" s="888">
        <v>1</v>
      </c>
      <c r="AT70" s="888">
        <f t="shared" si="24"/>
        <v>0.05</v>
      </c>
      <c r="AU70" s="889">
        <f t="shared" si="25"/>
        <v>12.525</v>
      </c>
      <c r="AV70" s="889">
        <f t="shared" si="26"/>
        <v>12.525</v>
      </c>
      <c r="AW70" s="890">
        <f t="shared" si="27"/>
        <v>0</v>
      </c>
      <c r="AX70" s="889">
        <f t="shared" si="49"/>
        <v>12.525</v>
      </c>
      <c r="AY70" s="889">
        <f>AW70+AX69*(1-$E$8)</f>
        <v>0</v>
      </c>
      <c r="AZ70" s="896">
        <f>AY70*16/12*$E$11</f>
        <v>0</v>
      </c>
      <c r="BB70" s="1601">
        <f t="shared" si="31"/>
        <v>339.95650666301094</v>
      </c>
      <c r="BC70" s="1602">
        <f t="shared" si="32"/>
        <v>409.00248451899103</v>
      </c>
      <c r="BD70" s="1603">
        <f>AZ70</f>
        <v>0</v>
      </c>
      <c r="BE70" s="1602">
        <f t="shared" si="34"/>
        <v>748.95899118200191</v>
      </c>
      <c r="BF70" s="495">
        <v>0</v>
      </c>
      <c r="BG70" s="1604">
        <f t="shared" si="35"/>
        <v>748.95899118200191</v>
      </c>
      <c r="BI70" s="1601">
        <f t="shared" si="36"/>
        <v>339.95650666301094</v>
      </c>
      <c r="BJ70" s="1602">
        <f t="shared" si="37"/>
        <v>409.00248451899103</v>
      </c>
      <c r="BK70" s="1603">
        <f t="shared" si="38"/>
        <v>0</v>
      </c>
      <c r="BL70" s="1602">
        <f t="shared" si="39"/>
        <v>748.95899118200191</v>
      </c>
      <c r="BM70" s="495">
        <v>0</v>
      </c>
      <c r="BN70" s="1604">
        <f t="shared" si="40"/>
        <v>748.95899118200191</v>
      </c>
    </row>
    <row r="71" spans="1:66">
      <c r="A71" s="819">
        <f>'Input data'!A101</f>
        <v>2001</v>
      </c>
      <c r="B71" s="867">
        <f>'Input data'!B101</f>
        <v>44.91</v>
      </c>
      <c r="C71" s="867">
        <f>'Baseline data (from input)'!B57</f>
        <v>578.73</v>
      </c>
      <c r="D71" s="868">
        <f>'Baseline data (from input)'!T57</f>
        <v>0.8</v>
      </c>
      <c r="E71" s="868">
        <f t="shared" si="41"/>
        <v>0.24001298204245269</v>
      </c>
      <c r="F71" s="868">
        <f t="shared" si="42"/>
        <v>0.30440139352934503</v>
      </c>
      <c r="G71" s="868">
        <f t="shared" si="43"/>
        <v>5.8998240613430578E-2</v>
      </c>
      <c r="H71" s="868">
        <f t="shared" si="44"/>
        <v>0</v>
      </c>
      <c r="I71" s="868">
        <f t="shared" si="45"/>
        <v>0</v>
      </c>
      <c r="J71" s="868">
        <f t="shared" si="46"/>
        <v>0</v>
      </c>
      <c r="K71" s="868">
        <f t="shared" si="47"/>
        <v>0.39658738381477154</v>
      </c>
      <c r="L71" s="875">
        <f t="shared" si="48"/>
        <v>0.99999999999999989</v>
      </c>
      <c r="M71" s="198"/>
      <c r="N71" s="891">
        <f t="shared" si="50"/>
        <v>20792.611440000001</v>
      </c>
      <c r="O71" s="885">
        <f>Parameters!R172</f>
        <v>0.73</v>
      </c>
      <c r="P71" s="885">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884">
        <f t="shared" si="2"/>
        <v>914.37079947079519</v>
      </c>
      <c r="R71" s="884">
        <f t="shared" si="3"/>
        <v>914.37079947079519</v>
      </c>
      <c r="S71" s="886">
        <f t="shared" si="4"/>
        <v>0</v>
      </c>
      <c r="T71" s="884">
        <f t="shared" si="5"/>
        <v>11227.310660130159</v>
      </c>
      <c r="U71" s="884">
        <f t="shared" si="6"/>
        <v>528.7557335160061</v>
      </c>
      <c r="V71" s="897">
        <f t="shared" si="7"/>
        <v>352.50382234400405</v>
      </c>
      <c r="W71" s="1450">
        <f t="shared" si="8"/>
        <v>0.13527885904981399</v>
      </c>
      <c r="X71" s="891">
        <f>'Baseline data (from input)'!AS57*W71</f>
        <v>6748.2429485947514</v>
      </c>
      <c r="Y71" s="885">
        <f>Parameters!S172</f>
        <v>0.71500000000000008</v>
      </c>
      <c r="Z71" s="885">
        <f t="shared" si="9"/>
        <v>0.4</v>
      </c>
      <c r="AA71" s="884">
        <f t="shared" si="10"/>
        <v>964.99874164904963</v>
      </c>
      <c r="AB71" s="884">
        <f t="shared" si="11"/>
        <v>964.99874164904963</v>
      </c>
      <c r="AC71" s="886">
        <f t="shared" si="12"/>
        <v>0</v>
      </c>
      <c r="AD71" s="884">
        <f t="shared" si="13"/>
        <v>13241.097352553907</v>
      </c>
      <c r="AE71" s="884">
        <f t="shared" si="14"/>
        <v>629.40903500127763</v>
      </c>
      <c r="AF71" s="897">
        <f t="shared" si="15"/>
        <v>419.60602333418507</v>
      </c>
      <c r="AG71" s="1448">
        <f t="shared" si="16"/>
        <v>0.13527885904981399</v>
      </c>
      <c r="AH71" s="891">
        <f>'Baseline data (from input)'!AS57*AG71</f>
        <v>6748.2429485947514</v>
      </c>
      <c r="AI71" s="885">
        <f>Parameters!S172</f>
        <v>0.71500000000000008</v>
      </c>
      <c r="AJ71" s="885">
        <f t="shared" si="17"/>
        <v>0.4</v>
      </c>
      <c r="AK71" s="884">
        <f t="shared" si="18"/>
        <v>964.99874164904963</v>
      </c>
      <c r="AL71" s="884">
        <f t="shared" si="19"/>
        <v>964.99874164904963</v>
      </c>
      <c r="AM71" s="886">
        <f t="shared" si="20"/>
        <v>0</v>
      </c>
      <c r="AN71" s="884">
        <f t="shared" si="21"/>
        <v>13241.097352553907</v>
      </c>
      <c r="AO71" s="884">
        <f t="shared" si="22"/>
        <v>629.40903500127763</v>
      </c>
      <c r="AP71" s="897">
        <f t="shared" si="23"/>
        <v>419.60602333418507</v>
      </c>
      <c r="AQ71" s="99"/>
      <c r="AR71" s="891">
        <v>501</v>
      </c>
      <c r="AS71" s="885">
        <v>1</v>
      </c>
      <c r="AT71" s="885">
        <f t="shared" si="24"/>
        <v>0.05</v>
      </c>
      <c r="AU71" s="884">
        <f t="shared" si="25"/>
        <v>12.525</v>
      </c>
      <c r="AV71" s="884">
        <f t="shared" si="26"/>
        <v>12.525</v>
      </c>
      <c r="AW71" s="886">
        <f t="shared" si="27"/>
        <v>0</v>
      </c>
      <c r="AX71" s="884">
        <f t="shared" ref="AX71:AX120" si="51">AV71+(AX70*$E$8)</f>
        <v>24.320600783142716</v>
      </c>
      <c r="AY71" s="884">
        <f>AW71+AX70*(1-$E$8)</f>
        <v>0.72939921685728482</v>
      </c>
      <c r="AZ71" s="897">
        <f t="shared" ref="AZ71:AZ120" si="52">AY71*16/12*$E$11</f>
        <v>0.48626614457152323</v>
      </c>
      <c r="BB71" s="1605">
        <f t="shared" si="31"/>
        <v>352.50382234400405</v>
      </c>
      <c r="BC71" s="1606">
        <f t="shared" si="32"/>
        <v>419.60602333418507</v>
      </c>
      <c r="BD71" s="1607">
        <f t="shared" ref="BD71:BD87" si="53">AZ71</f>
        <v>0.48626614457152323</v>
      </c>
      <c r="BE71" s="1606">
        <f t="shared" si="34"/>
        <v>772.59611182276069</v>
      </c>
      <c r="BF71" s="1608">
        <v>0</v>
      </c>
      <c r="BG71" s="1609">
        <f t="shared" si="35"/>
        <v>772.59611182276069</v>
      </c>
      <c r="BI71" s="1605">
        <f t="shared" si="36"/>
        <v>352.50382234400405</v>
      </c>
      <c r="BJ71" s="1606">
        <f t="shared" si="37"/>
        <v>419.60602333418507</v>
      </c>
      <c r="BK71" s="1607">
        <f t="shared" si="38"/>
        <v>0.48626614457152323</v>
      </c>
      <c r="BL71" s="1606">
        <f t="shared" si="39"/>
        <v>772.59611182276069</v>
      </c>
      <c r="BM71" s="1608">
        <v>0</v>
      </c>
      <c r="BN71" s="1609">
        <f t="shared" si="40"/>
        <v>772.59611182276069</v>
      </c>
    </row>
    <row r="72" spans="1:66">
      <c r="A72" s="819">
        <f>'Input data'!A102</f>
        <v>2002</v>
      </c>
      <c r="B72" s="867">
        <f>'Input data'!B102</f>
        <v>45.533000000000001</v>
      </c>
      <c r="C72" s="867">
        <f>'Baseline data (from input)'!B58</f>
        <v>578.73</v>
      </c>
      <c r="D72" s="868">
        <f>'Baseline data (from input)'!T58</f>
        <v>0.8</v>
      </c>
      <c r="E72" s="868">
        <f t="shared" si="41"/>
        <v>0.24001298204245269</v>
      </c>
      <c r="F72" s="868">
        <f t="shared" si="42"/>
        <v>0.30440139352934503</v>
      </c>
      <c r="G72" s="868">
        <f t="shared" si="43"/>
        <v>5.8998240613430578E-2</v>
      </c>
      <c r="H72" s="868">
        <f t="shared" si="44"/>
        <v>0</v>
      </c>
      <c r="I72" s="868">
        <f t="shared" si="45"/>
        <v>0</v>
      </c>
      <c r="J72" s="868">
        <f t="shared" si="46"/>
        <v>0</v>
      </c>
      <c r="K72" s="868">
        <f t="shared" si="47"/>
        <v>0.39658738381477154</v>
      </c>
      <c r="L72" s="875">
        <f t="shared" si="48"/>
        <v>0.99999999999999989</v>
      </c>
      <c r="M72" s="198"/>
      <c r="N72" s="891">
        <f t="shared" si="50"/>
        <v>21081.050472000003</v>
      </c>
      <c r="O72" s="885">
        <f>Parameters!R173</f>
        <v>0.73</v>
      </c>
      <c r="P72" s="885">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884">
        <f t="shared" si="2"/>
        <v>927.05512385445832</v>
      </c>
      <c r="R72" s="884">
        <f t="shared" si="3"/>
        <v>927.05512385445832</v>
      </c>
      <c r="S72" s="886">
        <f t="shared" si="4"/>
        <v>0</v>
      </c>
      <c r="T72" s="884">
        <f t="shared" si="5"/>
        <v>11606.803381780801</v>
      </c>
      <c r="U72" s="884">
        <f t="shared" si="6"/>
        <v>547.5624022038163</v>
      </c>
      <c r="V72" s="897">
        <f t="shared" si="7"/>
        <v>365.04160146921089</v>
      </c>
      <c r="W72" s="1450">
        <f t="shared" si="8"/>
        <v>0.13527885904981399</v>
      </c>
      <c r="X72" s="891">
        <f>'Baseline data (from input)'!AS58*W72</f>
        <v>6997.9537397346357</v>
      </c>
      <c r="Y72" s="885">
        <f>Parameters!S173</f>
        <v>0.71500000000000008</v>
      </c>
      <c r="Z72" s="885">
        <f t="shared" si="9"/>
        <v>0.4</v>
      </c>
      <c r="AA72" s="884">
        <f t="shared" si="10"/>
        <v>1000.7073847820531</v>
      </c>
      <c r="AB72" s="884">
        <f t="shared" si="11"/>
        <v>1000.7073847820531</v>
      </c>
      <c r="AC72" s="886">
        <f t="shared" si="12"/>
        <v>0</v>
      </c>
      <c r="AD72" s="884">
        <f t="shared" si="13"/>
        <v>13596.028799209835</v>
      </c>
      <c r="AE72" s="884">
        <f t="shared" si="14"/>
        <v>645.77593812612611</v>
      </c>
      <c r="AF72" s="897">
        <f t="shared" si="15"/>
        <v>430.51729208408409</v>
      </c>
      <c r="AG72" s="1448">
        <f t="shared" si="16"/>
        <v>0.13527885904981399</v>
      </c>
      <c r="AH72" s="891">
        <f>'Baseline data (from input)'!AS58*AG72</f>
        <v>6997.9537397346357</v>
      </c>
      <c r="AI72" s="885">
        <f>Parameters!S173</f>
        <v>0.71500000000000008</v>
      </c>
      <c r="AJ72" s="885">
        <f t="shared" si="17"/>
        <v>0.4</v>
      </c>
      <c r="AK72" s="884">
        <f t="shared" si="18"/>
        <v>1000.7073847820531</v>
      </c>
      <c r="AL72" s="884">
        <f t="shared" si="19"/>
        <v>1000.7073847820531</v>
      </c>
      <c r="AM72" s="886">
        <f t="shared" si="20"/>
        <v>0</v>
      </c>
      <c r="AN72" s="884">
        <f t="shared" si="21"/>
        <v>13596.028799209835</v>
      </c>
      <c r="AO72" s="884">
        <f t="shared" si="22"/>
        <v>645.77593812612611</v>
      </c>
      <c r="AP72" s="897">
        <f t="shared" si="23"/>
        <v>430.51729208408409</v>
      </c>
      <c r="AQ72" s="99"/>
      <c r="AR72" s="891">
        <v>501</v>
      </c>
      <c r="AS72" s="885">
        <v>1</v>
      </c>
      <c r="AT72" s="885">
        <f t="shared" si="24"/>
        <v>0.05</v>
      </c>
      <c r="AU72" s="884">
        <f t="shared" si="25"/>
        <v>12.525</v>
      </c>
      <c r="AV72" s="884">
        <f t="shared" si="26"/>
        <v>12.525</v>
      </c>
      <c r="AW72" s="886">
        <f t="shared" si="27"/>
        <v>0</v>
      </c>
      <c r="AX72" s="884">
        <f t="shared" si="51"/>
        <v>35.429279253025115</v>
      </c>
      <c r="AY72" s="884">
        <f t="shared" ref="AY72:AY120" si="54">AW72+AX71*(1-$E$8)</f>
        <v>1.416321530117602</v>
      </c>
      <c r="AZ72" s="897">
        <f t="shared" si="52"/>
        <v>0.94421435341173465</v>
      </c>
      <c r="BB72" s="1605">
        <f t="shared" si="31"/>
        <v>365.04160146921089</v>
      </c>
      <c r="BC72" s="1606">
        <f t="shared" si="32"/>
        <v>430.51729208408409</v>
      </c>
      <c r="BD72" s="1607">
        <f t="shared" si="53"/>
        <v>0.94421435341173465</v>
      </c>
      <c r="BE72" s="1606">
        <f t="shared" si="34"/>
        <v>796.50310790670676</v>
      </c>
      <c r="BF72" s="1608">
        <v>0</v>
      </c>
      <c r="BG72" s="1609">
        <f t="shared" si="35"/>
        <v>796.50310790670676</v>
      </c>
      <c r="BI72" s="1605">
        <f t="shared" si="36"/>
        <v>365.04160146921089</v>
      </c>
      <c r="BJ72" s="1606">
        <f t="shared" si="37"/>
        <v>430.51729208408409</v>
      </c>
      <c r="BK72" s="1607">
        <f t="shared" si="38"/>
        <v>0.94421435341173465</v>
      </c>
      <c r="BL72" s="1606">
        <f t="shared" si="39"/>
        <v>796.50310790670676</v>
      </c>
      <c r="BM72" s="1608">
        <v>0</v>
      </c>
      <c r="BN72" s="1609">
        <f t="shared" si="40"/>
        <v>796.50310790670676</v>
      </c>
    </row>
    <row r="73" spans="1:66">
      <c r="A73" s="819">
        <f>'Input data'!A103</f>
        <v>2003</v>
      </c>
      <c r="B73" s="867">
        <f>'Input data'!B103</f>
        <v>46.116</v>
      </c>
      <c r="C73" s="867">
        <f>'Baseline data (from input)'!B59</f>
        <v>578.73</v>
      </c>
      <c r="D73" s="868">
        <f>'Baseline data (from input)'!T59</f>
        <v>0.8</v>
      </c>
      <c r="E73" s="868">
        <f t="shared" si="41"/>
        <v>0.24001298204245269</v>
      </c>
      <c r="F73" s="868">
        <f t="shared" si="42"/>
        <v>0.30440139352934503</v>
      </c>
      <c r="G73" s="868">
        <f t="shared" si="43"/>
        <v>5.8998240613430578E-2</v>
      </c>
      <c r="H73" s="868">
        <f t="shared" si="44"/>
        <v>0</v>
      </c>
      <c r="I73" s="868">
        <f t="shared" si="45"/>
        <v>0</v>
      </c>
      <c r="J73" s="868">
        <f t="shared" si="46"/>
        <v>0</v>
      </c>
      <c r="K73" s="868">
        <f t="shared" si="47"/>
        <v>0.39658738381477154</v>
      </c>
      <c r="L73" s="875">
        <f t="shared" si="48"/>
        <v>0.99999999999999989</v>
      </c>
      <c r="M73" s="198"/>
      <c r="N73" s="891">
        <f t="shared" si="50"/>
        <v>21350.970144000003</v>
      </c>
      <c r="O73" s="885">
        <f>Parameters!R174</f>
        <v>0.73</v>
      </c>
      <c r="P73" s="885">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884">
        <f t="shared" si="2"/>
        <v>938.92504538844787</v>
      </c>
      <c r="R73" s="884">
        <f t="shared" si="3"/>
        <v>938.92504538844787</v>
      </c>
      <c r="S73" s="886">
        <f t="shared" si="4"/>
        <v>0</v>
      </c>
      <c r="T73" s="884">
        <f t="shared" si="5"/>
        <v>11979.657946532741</v>
      </c>
      <c r="U73" s="884">
        <f t="shared" si="6"/>
        <v>566.07048063650848</v>
      </c>
      <c r="V73" s="897">
        <f t="shared" si="7"/>
        <v>377.380320424339</v>
      </c>
      <c r="W73" s="1450">
        <f>($W$82-$W$72)/($A$82-$A$72)+W72</f>
        <v>0.12394828525545966</v>
      </c>
      <c r="X73" s="891">
        <f>'Baseline data (from input)'!AS59*W73</f>
        <v>6524.4422711180987</v>
      </c>
      <c r="Y73" s="885">
        <f>Parameters!S174</f>
        <v>0.71500000000000008</v>
      </c>
      <c r="Z73" s="885">
        <f t="shared" si="9"/>
        <v>0.4</v>
      </c>
      <c r="AA73" s="884">
        <f t="shared" si="10"/>
        <v>932.99524476988836</v>
      </c>
      <c r="AB73" s="884">
        <f t="shared" si="11"/>
        <v>932.99524476988836</v>
      </c>
      <c r="AC73" s="886">
        <f t="shared" si="12"/>
        <v>0</v>
      </c>
      <c r="AD73" s="884">
        <f t="shared" si="13"/>
        <v>13865.937894937393</v>
      </c>
      <c r="AE73" s="884">
        <f t="shared" si="14"/>
        <v>663.08614904232979</v>
      </c>
      <c r="AF73" s="897">
        <f t="shared" si="15"/>
        <v>442.05743269488653</v>
      </c>
      <c r="AG73" s="1450">
        <f>($AG$82-$AG$72)/($A$82-$A$72)+AG72</f>
        <v>0.12394828525545966</v>
      </c>
      <c r="AH73" s="891">
        <f>'Baseline data (from input)'!AS59*AG73</f>
        <v>6524.4422711180987</v>
      </c>
      <c r="AI73" s="885">
        <f>Parameters!S174</f>
        <v>0.71500000000000008</v>
      </c>
      <c r="AJ73" s="885">
        <f t="shared" si="17"/>
        <v>0.4</v>
      </c>
      <c r="AK73" s="884">
        <f t="shared" si="18"/>
        <v>932.99524476988836</v>
      </c>
      <c r="AL73" s="884">
        <f t="shared" si="19"/>
        <v>932.99524476988836</v>
      </c>
      <c r="AM73" s="886">
        <f t="shared" si="20"/>
        <v>0</v>
      </c>
      <c r="AN73" s="884">
        <f t="shared" si="21"/>
        <v>13865.937894937393</v>
      </c>
      <c r="AO73" s="884">
        <f t="shared" si="22"/>
        <v>663.08614904232979</v>
      </c>
      <c r="AP73" s="897">
        <f t="shared" si="23"/>
        <v>442.05743269488653</v>
      </c>
      <c r="AQ73" s="99"/>
      <c r="AR73" s="891">
        <v>501</v>
      </c>
      <c r="AS73" s="885">
        <v>1</v>
      </c>
      <c r="AT73" s="885">
        <f t="shared" si="24"/>
        <v>0.05</v>
      </c>
      <c r="AU73" s="884">
        <f t="shared" si="25"/>
        <v>12.525</v>
      </c>
      <c r="AV73" s="884">
        <f t="shared" si="26"/>
        <v>12.525</v>
      </c>
      <c r="AW73" s="886">
        <f t="shared" si="27"/>
        <v>0</v>
      </c>
      <c r="AX73" s="884">
        <f t="shared" si="51"/>
        <v>45.891038650951295</v>
      </c>
      <c r="AY73" s="884">
        <f t="shared" si="54"/>
        <v>2.0632406020738179</v>
      </c>
      <c r="AZ73" s="897">
        <f t="shared" si="52"/>
        <v>1.3754937347158787</v>
      </c>
      <c r="BB73" s="1605">
        <f t="shared" si="31"/>
        <v>377.380320424339</v>
      </c>
      <c r="BC73" s="1606">
        <f t="shared" si="32"/>
        <v>442.05743269488653</v>
      </c>
      <c r="BD73" s="1607">
        <f t="shared" si="53"/>
        <v>1.3754937347158787</v>
      </c>
      <c r="BE73" s="1606">
        <f t="shared" si="34"/>
        <v>820.81324685394145</v>
      </c>
      <c r="BF73" s="1608">
        <v>0</v>
      </c>
      <c r="BG73" s="1609">
        <f t="shared" si="35"/>
        <v>820.81324685394145</v>
      </c>
      <c r="BI73" s="1605">
        <f t="shared" si="36"/>
        <v>377.380320424339</v>
      </c>
      <c r="BJ73" s="1606">
        <f t="shared" si="37"/>
        <v>442.05743269488653</v>
      </c>
      <c r="BK73" s="1607">
        <f t="shared" si="38"/>
        <v>1.3754937347158787</v>
      </c>
      <c r="BL73" s="1606">
        <f t="shared" si="39"/>
        <v>820.81324685394145</v>
      </c>
      <c r="BM73" s="1608">
        <v>0</v>
      </c>
      <c r="BN73" s="1609">
        <f t="shared" si="40"/>
        <v>820.81324685394145</v>
      </c>
    </row>
    <row r="74" spans="1:66">
      <c r="A74" s="819">
        <f>'Input data'!A104</f>
        <v>2004</v>
      </c>
      <c r="B74" s="867">
        <f>'Input data'!B104</f>
        <v>46.664999999999999</v>
      </c>
      <c r="C74" s="867">
        <f>'Baseline data (from input)'!B60</f>
        <v>578.73</v>
      </c>
      <c r="D74" s="868">
        <f>'Baseline data (from input)'!T60</f>
        <v>0.8</v>
      </c>
      <c r="E74" s="868">
        <f t="shared" si="41"/>
        <v>0.24001298204245269</v>
      </c>
      <c r="F74" s="868">
        <f t="shared" si="42"/>
        <v>0.30440139352934503</v>
      </c>
      <c r="G74" s="868">
        <f t="shared" si="43"/>
        <v>5.8998240613430578E-2</v>
      </c>
      <c r="H74" s="868">
        <f t="shared" si="44"/>
        <v>0</v>
      </c>
      <c r="I74" s="868">
        <f t="shared" si="45"/>
        <v>0</v>
      </c>
      <c r="J74" s="868">
        <f t="shared" si="46"/>
        <v>0</v>
      </c>
      <c r="K74" s="868">
        <f t="shared" si="47"/>
        <v>0.39658738381477154</v>
      </c>
      <c r="L74" s="875">
        <f t="shared" si="48"/>
        <v>0.99999999999999989</v>
      </c>
      <c r="M74" s="198"/>
      <c r="N74" s="891">
        <f t="shared" si="50"/>
        <v>21605.148360000003</v>
      </c>
      <c r="O74" s="885">
        <f>Parameters!R175</f>
        <v>0.73</v>
      </c>
      <c r="P74" s="885">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884">
        <f t="shared" si="2"/>
        <v>950.10272450021512</v>
      </c>
      <c r="R74" s="884">
        <f t="shared" si="3"/>
        <v>950.10272450021512</v>
      </c>
      <c r="S74" s="886">
        <f t="shared" si="4"/>
        <v>0</v>
      </c>
      <c r="T74" s="884">
        <f t="shared" si="5"/>
        <v>12345.50585869596</v>
      </c>
      <c r="U74" s="884">
        <f t="shared" si="6"/>
        <v>584.25481233699634</v>
      </c>
      <c r="V74" s="897">
        <f t="shared" si="7"/>
        <v>389.50320822466421</v>
      </c>
      <c r="W74" s="1450">
        <f t="shared" ref="W74:W81" si="55">($W$82-$W$72)/($A$82-$A$72)+W73</f>
        <v>0.11261771146110533</v>
      </c>
      <c r="X74" s="891">
        <f>'Baseline data (from input)'!AS60*W74</f>
        <v>6125.3670306857948</v>
      </c>
      <c r="Y74" s="885">
        <f>Parameters!S175</f>
        <v>0.71500000000000008</v>
      </c>
      <c r="Z74" s="885">
        <f t="shared" si="9"/>
        <v>0.4</v>
      </c>
      <c r="AA74" s="884">
        <f t="shared" si="10"/>
        <v>875.92748538806882</v>
      </c>
      <c r="AB74" s="884">
        <f t="shared" si="11"/>
        <v>875.92748538806882</v>
      </c>
      <c r="AC74" s="886">
        <f t="shared" si="12"/>
        <v>0</v>
      </c>
      <c r="AD74" s="884">
        <f t="shared" si="13"/>
        <v>14065.615609352008</v>
      </c>
      <c r="AE74" s="884">
        <f t="shared" si="14"/>
        <v>676.2497709734547</v>
      </c>
      <c r="AF74" s="897">
        <f t="shared" si="15"/>
        <v>450.8331806489698</v>
      </c>
      <c r="AG74" s="1450">
        <f t="shared" ref="AG74:AG81" si="56">($AG$82-$AG$72)/($A$82-$A$72)+AG73</f>
        <v>0.11261771146110533</v>
      </c>
      <c r="AH74" s="891">
        <f>'Baseline data (from input)'!AS60*AG74</f>
        <v>6125.3670306857948</v>
      </c>
      <c r="AI74" s="885">
        <f>Parameters!S175</f>
        <v>0.71500000000000008</v>
      </c>
      <c r="AJ74" s="885">
        <f t="shared" si="17"/>
        <v>0.4</v>
      </c>
      <c r="AK74" s="884">
        <f t="shared" si="18"/>
        <v>875.92748538806882</v>
      </c>
      <c r="AL74" s="884">
        <f t="shared" si="19"/>
        <v>875.92748538806882</v>
      </c>
      <c r="AM74" s="886">
        <f t="shared" si="20"/>
        <v>0</v>
      </c>
      <c r="AN74" s="884">
        <f t="shared" si="21"/>
        <v>14065.615609352008</v>
      </c>
      <c r="AO74" s="884">
        <f t="shared" si="22"/>
        <v>676.2497709734547</v>
      </c>
      <c r="AP74" s="897">
        <f t="shared" si="23"/>
        <v>450.8331806489698</v>
      </c>
      <c r="AQ74" s="99"/>
      <c r="AR74" s="891">
        <v>501</v>
      </c>
      <c r="AS74" s="885">
        <v>1</v>
      </c>
      <c r="AT74" s="885">
        <f t="shared" si="24"/>
        <v>0.05</v>
      </c>
      <c r="AU74" s="884">
        <f t="shared" si="25"/>
        <v>12.525</v>
      </c>
      <c r="AV74" s="884">
        <f t="shared" si="26"/>
        <v>12.525</v>
      </c>
      <c r="AW74" s="886">
        <f t="shared" si="27"/>
        <v>0</v>
      </c>
      <c r="AX74" s="884">
        <f t="shared" si="51"/>
        <v>55.743552610809878</v>
      </c>
      <c r="AY74" s="884">
        <f t="shared" si="54"/>
        <v>2.6724860401414179</v>
      </c>
      <c r="AZ74" s="897">
        <f t="shared" si="52"/>
        <v>1.7816573600942787</v>
      </c>
      <c r="BB74" s="1605">
        <f t="shared" si="31"/>
        <v>389.50320822466421</v>
      </c>
      <c r="BC74" s="1606">
        <f t="shared" si="32"/>
        <v>450.8331806489698</v>
      </c>
      <c r="BD74" s="1607">
        <f t="shared" si="53"/>
        <v>1.7816573600942787</v>
      </c>
      <c r="BE74" s="1606">
        <f t="shared" si="34"/>
        <v>842.11804623372825</v>
      </c>
      <c r="BF74" s="1608">
        <v>0</v>
      </c>
      <c r="BG74" s="1609">
        <f t="shared" si="35"/>
        <v>842.11804623372825</v>
      </c>
      <c r="BI74" s="1605">
        <f t="shared" si="36"/>
        <v>389.50320822466421</v>
      </c>
      <c r="BJ74" s="1606">
        <f t="shared" si="37"/>
        <v>450.8331806489698</v>
      </c>
      <c r="BK74" s="1607">
        <f t="shared" si="38"/>
        <v>1.7816573600942787</v>
      </c>
      <c r="BL74" s="1606">
        <f t="shared" si="39"/>
        <v>842.11804623372825</v>
      </c>
      <c r="BM74" s="1608">
        <v>0</v>
      </c>
      <c r="BN74" s="1609">
        <f t="shared" si="40"/>
        <v>842.11804623372825</v>
      </c>
    </row>
    <row r="75" spans="1:66">
      <c r="A75" s="819">
        <f>'Input data'!A105</f>
        <v>2005</v>
      </c>
      <c r="B75" s="867">
        <f>'Input data'!B105</f>
        <v>47.198</v>
      </c>
      <c r="C75" s="867">
        <f>'Baseline data (from input)'!B61</f>
        <v>578.73</v>
      </c>
      <c r="D75" s="868">
        <f>'Baseline data (from input)'!T61</f>
        <v>0.8</v>
      </c>
      <c r="E75" s="868">
        <f t="shared" si="41"/>
        <v>0.24001298204245269</v>
      </c>
      <c r="F75" s="868">
        <f t="shared" si="42"/>
        <v>0.30440139352934503</v>
      </c>
      <c r="G75" s="868">
        <f t="shared" si="43"/>
        <v>5.8998240613430578E-2</v>
      </c>
      <c r="H75" s="868">
        <f t="shared" si="44"/>
        <v>0</v>
      </c>
      <c r="I75" s="868">
        <f t="shared" si="45"/>
        <v>0</v>
      </c>
      <c r="J75" s="868">
        <f t="shared" si="46"/>
        <v>0</v>
      </c>
      <c r="K75" s="868">
        <f t="shared" si="47"/>
        <v>0.39658738381477154</v>
      </c>
      <c r="L75" s="875">
        <f t="shared" si="48"/>
        <v>0.99999999999999989</v>
      </c>
      <c r="M75" s="198"/>
      <c r="N75" s="891">
        <f t="shared" si="50"/>
        <v>21851.918832000003</v>
      </c>
      <c r="O75" s="885">
        <f>Parameters!R176</f>
        <v>0.73</v>
      </c>
      <c r="P75" s="885">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884">
        <f t="shared" si="2"/>
        <v>960.95464247211305</v>
      </c>
      <c r="R75" s="884">
        <f t="shared" si="3"/>
        <v>960.95464247211305</v>
      </c>
      <c r="S75" s="886">
        <f t="shared" si="4"/>
        <v>0</v>
      </c>
      <c r="T75" s="884">
        <f t="shared" si="5"/>
        <v>12704.363075609665</v>
      </c>
      <c r="U75" s="884">
        <f t="shared" si="6"/>
        <v>602.09742555840876</v>
      </c>
      <c r="V75" s="897">
        <f t="shared" si="7"/>
        <v>401.39828370560582</v>
      </c>
      <c r="W75" s="1450">
        <f t="shared" si="55"/>
        <v>0.101287137666751</v>
      </c>
      <c r="X75" s="891">
        <f>'Baseline data (from input)'!AS61*W75</f>
        <v>5731.0204685808685</v>
      </c>
      <c r="Y75" s="885">
        <f>Parameters!S176</f>
        <v>0.71500000000000008</v>
      </c>
      <c r="Z75" s="885">
        <f t="shared" si="9"/>
        <v>0.4</v>
      </c>
      <c r="AA75" s="884">
        <f t="shared" si="10"/>
        <v>819.53592700706429</v>
      </c>
      <c r="AB75" s="884">
        <f t="shared" si="11"/>
        <v>819.53592700706429</v>
      </c>
      <c r="AC75" s="886">
        <f t="shared" si="12"/>
        <v>0</v>
      </c>
      <c r="AD75" s="884">
        <f t="shared" si="13"/>
        <v>14199.163368339234</v>
      </c>
      <c r="AE75" s="884">
        <f t="shared" si="14"/>
        <v>685.98816801983753</v>
      </c>
      <c r="AF75" s="897">
        <f t="shared" si="15"/>
        <v>457.32544534655835</v>
      </c>
      <c r="AG75" s="1450">
        <f t="shared" si="56"/>
        <v>0.101287137666751</v>
      </c>
      <c r="AH75" s="891">
        <f>'Baseline data (from input)'!AS61*AG75</f>
        <v>5731.0204685808685</v>
      </c>
      <c r="AI75" s="885">
        <f>Parameters!S176</f>
        <v>0.71500000000000008</v>
      </c>
      <c r="AJ75" s="885">
        <f t="shared" si="17"/>
        <v>0.4</v>
      </c>
      <c r="AK75" s="884">
        <f t="shared" si="18"/>
        <v>819.53592700706429</v>
      </c>
      <c r="AL75" s="884">
        <f t="shared" si="19"/>
        <v>819.53592700706429</v>
      </c>
      <c r="AM75" s="886">
        <f t="shared" si="20"/>
        <v>0</v>
      </c>
      <c r="AN75" s="884">
        <f t="shared" si="21"/>
        <v>14199.163368339234</v>
      </c>
      <c r="AO75" s="884">
        <f t="shared" si="22"/>
        <v>685.98816801983753</v>
      </c>
      <c r="AP75" s="897">
        <f t="shared" si="23"/>
        <v>457.32544534655835</v>
      </c>
      <c r="AQ75" s="99"/>
      <c r="AR75" s="891">
        <v>501</v>
      </c>
      <c r="AS75" s="885">
        <v>1</v>
      </c>
      <c r="AT75" s="885">
        <f t="shared" si="24"/>
        <v>0.05</v>
      </c>
      <c r="AU75" s="884">
        <f t="shared" si="25"/>
        <v>12.525</v>
      </c>
      <c r="AV75" s="884">
        <f t="shared" si="26"/>
        <v>12.525</v>
      </c>
      <c r="AW75" s="886">
        <f t="shared" si="27"/>
        <v>0</v>
      </c>
      <c r="AX75" s="884">
        <f t="shared" si="51"/>
        <v>65.022300824848401</v>
      </c>
      <c r="AY75" s="884">
        <f t="shared" si="54"/>
        <v>3.2462517859614834</v>
      </c>
      <c r="AZ75" s="897">
        <f t="shared" si="52"/>
        <v>2.1641678573076555</v>
      </c>
      <c r="BB75" s="1605">
        <f t="shared" si="31"/>
        <v>401.39828370560582</v>
      </c>
      <c r="BC75" s="1606">
        <f t="shared" si="32"/>
        <v>457.32544534655835</v>
      </c>
      <c r="BD75" s="1607">
        <f t="shared" si="53"/>
        <v>2.1641678573076555</v>
      </c>
      <c r="BE75" s="1606">
        <f t="shared" si="34"/>
        <v>860.88789690947181</v>
      </c>
      <c r="BF75" s="1608">
        <v>0</v>
      </c>
      <c r="BG75" s="1609">
        <f t="shared" si="35"/>
        <v>860.88789690947181</v>
      </c>
      <c r="BI75" s="1605">
        <f t="shared" si="36"/>
        <v>401.39828370560582</v>
      </c>
      <c r="BJ75" s="1606">
        <f t="shared" si="37"/>
        <v>457.32544534655835</v>
      </c>
      <c r="BK75" s="1607">
        <f t="shared" si="38"/>
        <v>2.1641678573076555</v>
      </c>
      <c r="BL75" s="1606">
        <f t="shared" si="39"/>
        <v>860.88789690947181</v>
      </c>
      <c r="BM75" s="1608">
        <v>0</v>
      </c>
      <c r="BN75" s="1609">
        <f t="shared" si="40"/>
        <v>860.88789690947181</v>
      </c>
    </row>
    <row r="76" spans="1:66">
      <c r="A76" s="819">
        <f>'Input data'!A106</f>
        <v>2006</v>
      </c>
      <c r="B76" s="867">
        <f>'Input data'!B106</f>
        <v>47.731000000000002</v>
      </c>
      <c r="C76" s="867">
        <f>'Baseline data (from input)'!B62</f>
        <v>578.73</v>
      </c>
      <c r="D76" s="868">
        <f>'Baseline data (from input)'!T62</f>
        <v>0.8</v>
      </c>
      <c r="E76" s="868">
        <f t="shared" si="41"/>
        <v>0.24001298204245269</v>
      </c>
      <c r="F76" s="868">
        <f t="shared" si="42"/>
        <v>0.30440139352934503</v>
      </c>
      <c r="G76" s="868">
        <f t="shared" si="43"/>
        <v>5.8998240613430578E-2</v>
      </c>
      <c r="H76" s="868">
        <f t="shared" si="44"/>
        <v>0</v>
      </c>
      <c r="I76" s="868">
        <f t="shared" si="45"/>
        <v>0</v>
      </c>
      <c r="J76" s="868">
        <f t="shared" si="46"/>
        <v>0</v>
      </c>
      <c r="K76" s="868">
        <f t="shared" si="47"/>
        <v>0.39658738381477154</v>
      </c>
      <c r="L76" s="875">
        <f t="shared" si="48"/>
        <v>0.99999999999999989</v>
      </c>
      <c r="M76" s="198"/>
      <c r="N76" s="891">
        <f t="shared" si="50"/>
        <v>22098.689304000003</v>
      </c>
      <c r="O76" s="885">
        <f>Parameters!R177</f>
        <v>0.73</v>
      </c>
      <c r="P76" s="885">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884">
        <f t="shared" si="2"/>
        <v>971.80656044401098</v>
      </c>
      <c r="R76" s="884">
        <f t="shared" si="3"/>
        <v>971.80656044401098</v>
      </c>
      <c r="S76" s="886">
        <f t="shared" si="4"/>
        <v>0</v>
      </c>
      <c r="T76" s="884">
        <f t="shared" si="5"/>
        <v>13056.570537504313</v>
      </c>
      <c r="U76" s="884">
        <f t="shared" si="6"/>
        <v>619.59909854936222</v>
      </c>
      <c r="V76" s="897">
        <f t="shared" si="7"/>
        <v>413.06606569957484</v>
      </c>
      <c r="W76" s="1450">
        <f t="shared" si="55"/>
        <v>8.9956563872396672E-2</v>
      </c>
      <c r="X76" s="891">
        <f>'Baseline data (from input)'!AS62*W76</f>
        <v>5310.6294339907163</v>
      </c>
      <c r="Y76" s="885">
        <f>Parameters!S177</f>
        <v>0.71500000000000008</v>
      </c>
      <c r="Z76" s="885">
        <f t="shared" si="9"/>
        <v>0.4</v>
      </c>
      <c r="AA76" s="884">
        <f t="shared" si="10"/>
        <v>759.42000906067256</v>
      </c>
      <c r="AB76" s="884">
        <f t="shared" si="11"/>
        <v>759.42000906067256</v>
      </c>
      <c r="AC76" s="886">
        <f t="shared" si="12"/>
        <v>0</v>
      </c>
      <c r="AD76" s="884">
        <f t="shared" si="13"/>
        <v>14266.08200831762</v>
      </c>
      <c r="AE76" s="884">
        <f t="shared" si="14"/>
        <v>692.50136908228444</v>
      </c>
      <c r="AF76" s="897">
        <f t="shared" si="15"/>
        <v>461.66757938818961</v>
      </c>
      <c r="AG76" s="1450">
        <f t="shared" si="56"/>
        <v>8.9956563872396672E-2</v>
      </c>
      <c r="AH76" s="891">
        <f>'Baseline data (from input)'!AS62*AG76</f>
        <v>5310.6294339907163</v>
      </c>
      <c r="AI76" s="885">
        <f>Parameters!S177</f>
        <v>0.71500000000000008</v>
      </c>
      <c r="AJ76" s="885">
        <f t="shared" si="17"/>
        <v>0.4</v>
      </c>
      <c r="AK76" s="884">
        <f t="shared" si="18"/>
        <v>759.42000906067256</v>
      </c>
      <c r="AL76" s="884">
        <f t="shared" si="19"/>
        <v>759.42000906067256</v>
      </c>
      <c r="AM76" s="886">
        <f t="shared" si="20"/>
        <v>0</v>
      </c>
      <c r="AN76" s="884">
        <f t="shared" si="21"/>
        <v>14266.08200831762</v>
      </c>
      <c r="AO76" s="884">
        <f t="shared" si="22"/>
        <v>692.50136908228444</v>
      </c>
      <c r="AP76" s="897">
        <f t="shared" si="23"/>
        <v>461.66757938818961</v>
      </c>
      <c r="AQ76" s="99"/>
      <c r="AR76" s="891">
        <v>501</v>
      </c>
      <c r="AS76" s="885">
        <v>1</v>
      </c>
      <c r="AT76" s="885">
        <f t="shared" si="24"/>
        <v>0.05</v>
      </c>
      <c r="AU76" s="884">
        <f t="shared" si="25"/>
        <v>12.525</v>
      </c>
      <c r="AV76" s="884">
        <f t="shared" si="26"/>
        <v>12.525</v>
      </c>
      <c r="AW76" s="886">
        <f t="shared" si="27"/>
        <v>0</v>
      </c>
      <c r="AX76" s="884">
        <f t="shared" si="51"/>
        <v>73.760696808888071</v>
      </c>
      <c r="AY76" s="884">
        <f t="shared" si="54"/>
        <v>3.7866040159603358</v>
      </c>
      <c r="AZ76" s="897">
        <f t="shared" si="52"/>
        <v>2.5244026773068904</v>
      </c>
      <c r="BB76" s="1605">
        <f t="shared" si="31"/>
        <v>413.06606569957484</v>
      </c>
      <c r="BC76" s="1606">
        <f t="shared" si="32"/>
        <v>461.66757938818961</v>
      </c>
      <c r="BD76" s="1607">
        <f t="shared" si="53"/>
        <v>2.5244026773068904</v>
      </c>
      <c r="BE76" s="1606">
        <f t="shared" si="34"/>
        <v>877.2580477650713</v>
      </c>
      <c r="BF76" s="1608">
        <v>0</v>
      </c>
      <c r="BG76" s="1609">
        <f t="shared" si="35"/>
        <v>877.2580477650713</v>
      </c>
      <c r="BI76" s="1605">
        <f t="shared" si="36"/>
        <v>413.06606569957484</v>
      </c>
      <c r="BJ76" s="1606">
        <f t="shared" si="37"/>
        <v>461.66757938818961</v>
      </c>
      <c r="BK76" s="1607">
        <f t="shared" si="38"/>
        <v>2.5244026773068904</v>
      </c>
      <c r="BL76" s="1606">
        <f t="shared" si="39"/>
        <v>877.2580477650713</v>
      </c>
      <c r="BM76" s="1608">
        <v>0</v>
      </c>
      <c r="BN76" s="1609">
        <f t="shared" si="40"/>
        <v>877.2580477650713</v>
      </c>
    </row>
    <row r="77" spans="1:66">
      <c r="A77" s="819">
        <f>'Input data'!A107</f>
        <v>2007</v>
      </c>
      <c r="B77" s="867">
        <f>'Input data'!B107</f>
        <v>48.256999999999998</v>
      </c>
      <c r="C77" s="867">
        <f>'Baseline data (from input)'!B63</f>
        <v>578.73</v>
      </c>
      <c r="D77" s="868">
        <f>'Baseline data (from input)'!T63</f>
        <v>0.8</v>
      </c>
      <c r="E77" s="868">
        <f t="shared" si="41"/>
        <v>0.24001298204245269</v>
      </c>
      <c r="F77" s="868">
        <f t="shared" si="42"/>
        <v>0.30440139352934503</v>
      </c>
      <c r="G77" s="868">
        <f t="shared" si="43"/>
        <v>5.8998240613430578E-2</v>
      </c>
      <c r="H77" s="868">
        <f t="shared" si="44"/>
        <v>0</v>
      </c>
      <c r="I77" s="868">
        <f t="shared" si="45"/>
        <v>0</v>
      </c>
      <c r="J77" s="868">
        <f t="shared" si="46"/>
        <v>0</v>
      </c>
      <c r="K77" s="868">
        <f t="shared" si="47"/>
        <v>0.39658738381477154</v>
      </c>
      <c r="L77" s="875">
        <f t="shared" si="48"/>
        <v>0.99999999999999989</v>
      </c>
      <c r="M77" s="198"/>
      <c r="N77" s="891">
        <f t="shared" si="50"/>
        <v>22342.218888000003</v>
      </c>
      <c r="O77" s="885">
        <f>Parameters!R178</f>
        <v>0.73</v>
      </c>
      <c r="P77" s="885">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884">
        <f t="shared" si="2"/>
        <v>982.51595791721593</v>
      </c>
      <c r="R77" s="884">
        <f t="shared" si="3"/>
        <v>982.51595791721593</v>
      </c>
      <c r="S77" s="886">
        <f t="shared" si="4"/>
        <v>0</v>
      </c>
      <c r="T77" s="884">
        <f t="shared" si="5"/>
        <v>13402.310036260422</v>
      </c>
      <c r="U77" s="884">
        <f t="shared" si="6"/>
        <v>636.77645916110703</v>
      </c>
      <c r="V77" s="897">
        <f t="shared" si="7"/>
        <v>424.51763944073804</v>
      </c>
      <c r="W77" s="1450">
        <f t="shared" si="55"/>
        <v>7.8625990078042343E-2</v>
      </c>
      <c r="X77" s="891">
        <f>'Baseline data (from input)'!AS63*W77</f>
        <v>4831.1312614970548</v>
      </c>
      <c r="Y77" s="885">
        <f>Parameters!S178</f>
        <v>0.71500000000000008</v>
      </c>
      <c r="Z77" s="885">
        <f t="shared" si="9"/>
        <v>0.4</v>
      </c>
      <c r="AA77" s="884">
        <f t="shared" si="10"/>
        <v>690.85177039407893</v>
      </c>
      <c r="AB77" s="884">
        <f t="shared" si="11"/>
        <v>690.85177039407893</v>
      </c>
      <c r="AC77" s="886">
        <f t="shared" si="12"/>
        <v>0</v>
      </c>
      <c r="AD77" s="884">
        <f t="shared" si="13"/>
        <v>14261.168749046041</v>
      </c>
      <c r="AE77" s="884">
        <f t="shared" si="14"/>
        <v>695.76502966565988</v>
      </c>
      <c r="AF77" s="897">
        <f t="shared" si="15"/>
        <v>463.84335311043992</v>
      </c>
      <c r="AG77" s="1450">
        <f t="shared" si="56"/>
        <v>7.8625990078042343E-2</v>
      </c>
      <c r="AH77" s="891">
        <f>'Baseline data (from input)'!AS63*AG77</f>
        <v>4831.1312614970548</v>
      </c>
      <c r="AI77" s="885">
        <f>Parameters!S178</f>
        <v>0.71500000000000008</v>
      </c>
      <c r="AJ77" s="885">
        <f t="shared" si="17"/>
        <v>0.4</v>
      </c>
      <c r="AK77" s="884">
        <f t="shared" si="18"/>
        <v>690.85177039407893</v>
      </c>
      <c r="AL77" s="884">
        <f t="shared" si="19"/>
        <v>690.85177039407893</v>
      </c>
      <c r="AM77" s="886">
        <f t="shared" si="20"/>
        <v>0</v>
      </c>
      <c r="AN77" s="884">
        <f t="shared" si="21"/>
        <v>14261.168749046041</v>
      </c>
      <c r="AO77" s="884">
        <f t="shared" si="22"/>
        <v>695.76502966565988</v>
      </c>
      <c r="AP77" s="897">
        <f t="shared" si="23"/>
        <v>463.84335311043992</v>
      </c>
      <c r="AQ77" s="99"/>
      <c r="AR77" s="891">
        <v>501</v>
      </c>
      <c r="AS77" s="885">
        <v>1</v>
      </c>
      <c r="AT77" s="885">
        <f t="shared" si="24"/>
        <v>0.05</v>
      </c>
      <c r="AU77" s="884">
        <f t="shared" si="25"/>
        <v>12.525</v>
      </c>
      <c r="AV77" s="884">
        <f t="shared" si="26"/>
        <v>12.525</v>
      </c>
      <c r="AW77" s="886">
        <f t="shared" si="27"/>
        <v>0</v>
      </c>
      <c r="AX77" s="884">
        <f t="shared" si="51"/>
        <v>81.990208227071662</v>
      </c>
      <c r="AY77" s="884">
        <f t="shared" si="54"/>
        <v>4.2954885818164135</v>
      </c>
      <c r="AZ77" s="897">
        <f t="shared" si="52"/>
        <v>2.8636590545442755</v>
      </c>
      <c r="BB77" s="1605">
        <f t="shared" si="31"/>
        <v>424.51763944073804</v>
      </c>
      <c r="BC77" s="1606">
        <f t="shared" si="32"/>
        <v>463.84335311043992</v>
      </c>
      <c r="BD77" s="1607">
        <f t="shared" si="53"/>
        <v>2.8636590545442755</v>
      </c>
      <c r="BE77" s="1606">
        <f t="shared" si="34"/>
        <v>891.22465160572233</v>
      </c>
      <c r="BF77" s="1608">
        <v>0</v>
      </c>
      <c r="BG77" s="1609">
        <f t="shared" si="35"/>
        <v>891.22465160572233</v>
      </c>
      <c r="BI77" s="1605">
        <f t="shared" si="36"/>
        <v>424.51763944073804</v>
      </c>
      <c r="BJ77" s="1606">
        <f t="shared" si="37"/>
        <v>463.84335311043992</v>
      </c>
      <c r="BK77" s="1607">
        <f t="shared" si="38"/>
        <v>2.8636590545442755</v>
      </c>
      <c r="BL77" s="1606">
        <f t="shared" si="39"/>
        <v>891.22465160572233</v>
      </c>
      <c r="BM77" s="1608">
        <v>0</v>
      </c>
      <c r="BN77" s="1609">
        <f t="shared" si="40"/>
        <v>891.22465160572233</v>
      </c>
    </row>
    <row r="78" spans="1:66">
      <c r="A78" s="819">
        <f>'Input data'!A108</f>
        <v>2008</v>
      </c>
      <c r="B78" s="867">
        <f>'Input data'!B108</f>
        <v>48.792999999999999</v>
      </c>
      <c r="C78" s="867">
        <f>'Baseline data (from input)'!B64</f>
        <v>578.73</v>
      </c>
      <c r="D78" s="868">
        <f>'Baseline data (from input)'!T64</f>
        <v>0.8</v>
      </c>
      <c r="E78" s="868">
        <f t="shared" si="41"/>
        <v>0.24001298204245269</v>
      </c>
      <c r="F78" s="868">
        <f t="shared" si="42"/>
        <v>0.30440139352934503</v>
      </c>
      <c r="G78" s="868">
        <f t="shared" si="43"/>
        <v>5.8998240613430578E-2</v>
      </c>
      <c r="H78" s="868">
        <f t="shared" si="44"/>
        <v>0</v>
      </c>
      <c r="I78" s="868">
        <f t="shared" si="45"/>
        <v>0</v>
      </c>
      <c r="J78" s="868">
        <f t="shared" si="46"/>
        <v>0</v>
      </c>
      <c r="K78" s="868">
        <f t="shared" si="47"/>
        <v>0.39658738381477154</v>
      </c>
      <c r="L78" s="875">
        <f t="shared" si="48"/>
        <v>0.99999999999999989</v>
      </c>
      <c r="M78" s="198"/>
      <c r="N78" s="891">
        <f t="shared" si="50"/>
        <v>22590.378312000001</v>
      </c>
      <c r="O78" s="885">
        <f>Parameters!R179</f>
        <v>0.73</v>
      </c>
      <c r="P78" s="885">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884">
        <f t="shared" si="2"/>
        <v>993.42895610283927</v>
      </c>
      <c r="R78" s="884">
        <f t="shared" si="3"/>
        <v>993.42895610283927</v>
      </c>
      <c r="S78" s="886">
        <f t="shared" si="4"/>
        <v>0</v>
      </c>
      <c r="T78" s="884">
        <f t="shared" si="5"/>
        <v>13742.100618874985</v>
      </c>
      <c r="U78" s="884">
        <f t="shared" si="6"/>
        <v>653.63837348827713</v>
      </c>
      <c r="V78" s="897">
        <f t="shared" si="7"/>
        <v>435.75891565885144</v>
      </c>
      <c r="W78" s="1450">
        <f t="shared" si="55"/>
        <v>6.7295416283688014E-2</v>
      </c>
      <c r="X78" s="891">
        <f>'Baseline data (from input)'!AS64*W78</f>
        <v>4214.406043124789</v>
      </c>
      <c r="Y78" s="885">
        <f>Parameters!S179</f>
        <v>0.71500000000000008</v>
      </c>
      <c r="Z78" s="885">
        <f t="shared" si="9"/>
        <v>0.4</v>
      </c>
      <c r="AA78" s="884">
        <f t="shared" si="10"/>
        <v>602.6600641668449</v>
      </c>
      <c r="AB78" s="884">
        <f t="shared" si="11"/>
        <v>602.6600641668449</v>
      </c>
      <c r="AC78" s="886">
        <f t="shared" si="12"/>
        <v>0</v>
      </c>
      <c r="AD78" s="884">
        <f t="shared" si="13"/>
        <v>14168.303406029478</v>
      </c>
      <c r="AE78" s="884">
        <f t="shared" si="14"/>
        <v>695.52540718340776</v>
      </c>
      <c r="AF78" s="897">
        <f t="shared" si="15"/>
        <v>463.68360478893851</v>
      </c>
      <c r="AG78" s="1450">
        <f t="shared" si="56"/>
        <v>6.7295416283688014E-2</v>
      </c>
      <c r="AH78" s="891">
        <f>'Baseline data (from input)'!AS64*AG78</f>
        <v>4214.406043124789</v>
      </c>
      <c r="AI78" s="885">
        <f>Parameters!S179</f>
        <v>0.71500000000000008</v>
      </c>
      <c r="AJ78" s="885">
        <f t="shared" si="17"/>
        <v>0.4</v>
      </c>
      <c r="AK78" s="884">
        <f t="shared" si="18"/>
        <v>602.6600641668449</v>
      </c>
      <c r="AL78" s="884">
        <f t="shared" si="19"/>
        <v>602.6600641668449</v>
      </c>
      <c r="AM78" s="886">
        <f t="shared" si="20"/>
        <v>0</v>
      </c>
      <c r="AN78" s="884">
        <f t="shared" si="21"/>
        <v>14168.303406029478</v>
      </c>
      <c r="AO78" s="884">
        <f t="shared" si="22"/>
        <v>695.52540718340776</v>
      </c>
      <c r="AP78" s="897">
        <f t="shared" si="23"/>
        <v>463.68360478893851</v>
      </c>
      <c r="AQ78" s="99"/>
      <c r="AR78" s="891">
        <v>501</v>
      </c>
      <c r="AS78" s="885">
        <v>1</v>
      </c>
      <c r="AT78" s="885">
        <f t="shared" si="24"/>
        <v>0.05</v>
      </c>
      <c r="AU78" s="884">
        <f t="shared" si="25"/>
        <v>12.525</v>
      </c>
      <c r="AV78" s="884">
        <f t="shared" si="26"/>
        <v>12.525</v>
      </c>
      <c r="AW78" s="886">
        <f t="shared" si="27"/>
        <v>0</v>
      </c>
      <c r="AX78" s="884">
        <f t="shared" si="51"/>
        <v>89.740470209443586</v>
      </c>
      <c r="AY78" s="884">
        <f t="shared" si="54"/>
        <v>4.7747380176280858</v>
      </c>
      <c r="AZ78" s="897">
        <f t="shared" si="52"/>
        <v>3.183158678418724</v>
      </c>
      <c r="BB78" s="1605">
        <f t="shared" si="31"/>
        <v>435.75891565885144</v>
      </c>
      <c r="BC78" s="1606">
        <f t="shared" si="32"/>
        <v>463.68360478893851</v>
      </c>
      <c r="BD78" s="1607">
        <f t="shared" si="53"/>
        <v>3.183158678418724</v>
      </c>
      <c r="BE78" s="1606">
        <f t="shared" si="34"/>
        <v>902.62567912620875</v>
      </c>
      <c r="BF78" s="1608">
        <v>0</v>
      </c>
      <c r="BG78" s="1609">
        <f t="shared" si="35"/>
        <v>902.62567912620875</v>
      </c>
      <c r="BI78" s="1605">
        <f t="shared" si="36"/>
        <v>435.75891565885144</v>
      </c>
      <c r="BJ78" s="1606">
        <f t="shared" si="37"/>
        <v>463.68360478893851</v>
      </c>
      <c r="BK78" s="1607">
        <f t="shared" si="38"/>
        <v>3.183158678418724</v>
      </c>
      <c r="BL78" s="1606">
        <f t="shared" si="39"/>
        <v>902.62567912620875</v>
      </c>
      <c r="BM78" s="1608">
        <v>0</v>
      </c>
      <c r="BN78" s="1609">
        <f t="shared" si="40"/>
        <v>902.62567912620875</v>
      </c>
    </row>
    <row r="79" spans="1:66">
      <c r="A79" s="819">
        <f>'Input data'!A109</f>
        <v>2009</v>
      </c>
      <c r="B79" s="867">
        <f>'Input data'!B109</f>
        <v>49.32</v>
      </c>
      <c r="C79" s="867">
        <f>'Baseline data (from input)'!B65</f>
        <v>578.73</v>
      </c>
      <c r="D79" s="868">
        <f>'Baseline data (from input)'!T65</f>
        <v>0.8</v>
      </c>
      <c r="E79" s="868">
        <f t="shared" si="41"/>
        <v>0.24001298204245269</v>
      </c>
      <c r="F79" s="868">
        <f t="shared" si="42"/>
        <v>0.30440139352934503</v>
      </c>
      <c r="G79" s="868">
        <f t="shared" si="43"/>
        <v>5.8998240613430578E-2</v>
      </c>
      <c r="H79" s="868">
        <f t="shared" si="44"/>
        <v>0</v>
      </c>
      <c r="I79" s="868">
        <f t="shared" si="45"/>
        <v>0</v>
      </c>
      <c r="J79" s="868">
        <f t="shared" si="46"/>
        <v>0</v>
      </c>
      <c r="K79" s="868">
        <f t="shared" si="47"/>
        <v>0.39658738381477154</v>
      </c>
      <c r="L79" s="875">
        <f t="shared" si="48"/>
        <v>0.99999999999999989</v>
      </c>
      <c r="M79" s="198"/>
      <c r="N79" s="891">
        <f t="shared" si="50"/>
        <v>22834.370880000002</v>
      </c>
      <c r="O79" s="885">
        <f>Parameters!R180</f>
        <v>0.73</v>
      </c>
      <c r="P79" s="885">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884">
        <f t="shared" si="2"/>
        <v>1004.1587136472863</v>
      </c>
      <c r="R79" s="884">
        <f t="shared" si="3"/>
        <v>1004.1587136472863</v>
      </c>
      <c r="S79" s="886">
        <f t="shared" si="4"/>
        <v>0</v>
      </c>
      <c r="T79" s="884">
        <f t="shared" si="5"/>
        <v>14076.049176770644</v>
      </c>
      <c r="U79" s="884">
        <f t="shared" si="6"/>
        <v>670.2101557516271</v>
      </c>
      <c r="V79" s="897">
        <f t="shared" si="7"/>
        <v>446.80677050108471</v>
      </c>
      <c r="W79" s="1450">
        <f t="shared" si="55"/>
        <v>5.5964842489333685E-2</v>
      </c>
      <c r="X79" s="891">
        <f>'Baseline data (from input)'!AS65*W79</f>
        <v>3407.9504575310793</v>
      </c>
      <c r="Y79" s="885">
        <f>Parameters!S180</f>
        <v>0.71500000000000008</v>
      </c>
      <c r="Z79" s="885">
        <f t="shared" si="9"/>
        <v>0.4</v>
      </c>
      <c r="AA79" s="884">
        <f t="shared" si="10"/>
        <v>487.33691542694442</v>
      </c>
      <c r="AB79" s="884">
        <f t="shared" si="11"/>
        <v>487.33691542694442</v>
      </c>
      <c r="AC79" s="886">
        <f t="shared" si="12"/>
        <v>0</v>
      </c>
      <c r="AD79" s="884">
        <f t="shared" si="13"/>
        <v>13964.644010495871</v>
      </c>
      <c r="AE79" s="884">
        <f t="shared" si="14"/>
        <v>690.99631096055145</v>
      </c>
      <c r="AF79" s="897">
        <f t="shared" si="15"/>
        <v>460.6642073070343</v>
      </c>
      <c r="AG79" s="1450">
        <f t="shared" si="56"/>
        <v>5.5964842489333685E-2</v>
      </c>
      <c r="AH79" s="891">
        <f>'Baseline data (from input)'!AS65*AG79</f>
        <v>3407.9504575310793</v>
      </c>
      <c r="AI79" s="885">
        <f>Parameters!S180</f>
        <v>0.71500000000000008</v>
      </c>
      <c r="AJ79" s="885">
        <f t="shared" si="17"/>
        <v>0.4</v>
      </c>
      <c r="AK79" s="884">
        <f t="shared" si="18"/>
        <v>487.33691542694442</v>
      </c>
      <c r="AL79" s="884">
        <f t="shared" si="19"/>
        <v>487.33691542694442</v>
      </c>
      <c r="AM79" s="886">
        <f t="shared" si="20"/>
        <v>0</v>
      </c>
      <c r="AN79" s="884">
        <f t="shared" si="21"/>
        <v>13964.644010495871</v>
      </c>
      <c r="AO79" s="884">
        <f t="shared" si="22"/>
        <v>690.99631096055145</v>
      </c>
      <c r="AP79" s="897">
        <f t="shared" si="23"/>
        <v>460.6642073070343</v>
      </c>
      <c r="AQ79" s="99"/>
      <c r="AR79" s="891">
        <v>501</v>
      </c>
      <c r="AS79" s="885">
        <v>1</v>
      </c>
      <c r="AT79" s="885">
        <f t="shared" si="24"/>
        <v>0.05</v>
      </c>
      <c r="AU79" s="884">
        <f t="shared" si="25"/>
        <v>12.525</v>
      </c>
      <c r="AV79" s="884">
        <f t="shared" si="26"/>
        <v>12.525</v>
      </c>
      <c r="AW79" s="886">
        <f t="shared" si="27"/>
        <v>0</v>
      </c>
      <c r="AX79" s="884">
        <f t="shared" si="51"/>
        <v>97.039392070427809</v>
      </c>
      <c r="AY79" s="884">
        <f t="shared" si="54"/>
        <v>5.2260781390157804</v>
      </c>
      <c r="AZ79" s="897">
        <f t="shared" si="52"/>
        <v>3.484052092677187</v>
      </c>
      <c r="BB79" s="1605">
        <f t="shared" si="31"/>
        <v>446.80677050108471</v>
      </c>
      <c r="BC79" s="1606">
        <f t="shared" si="32"/>
        <v>460.6642073070343</v>
      </c>
      <c r="BD79" s="1607">
        <f t="shared" si="53"/>
        <v>3.484052092677187</v>
      </c>
      <c r="BE79" s="1606">
        <f t="shared" si="34"/>
        <v>910.95502990079615</v>
      </c>
      <c r="BF79" s="1608">
        <v>0</v>
      </c>
      <c r="BG79" s="1609">
        <f t="shared" si="35"/>
        <v>910.95502990079615</v>
      </c>
      <c r="BI79" s="1605">
        <f t="shared" si="36"/>
        <v>446.80677050108471</v>
      </c>
      <c r="BJ79" s="1606">
        <f t="shared" si="37"/>
        <v>460.6642073070343</v>
      </c>
      <c r="BK79" s="1607">
        <f t="shared" si="38"/>
        <v>3.484052092677187</v>
      </c>
      <c r="BL79" s="1606">
        <f t="shared" si="39"/>
        <v>910.95502990079615</v>
      </c>
      <c r="BM79" s="1608">
        <v>0</v>
      </c>
      <c r="BN79" s="1609">
        <f t="shared" si="40"/>
        <v>910.95502990079615</v>
      </c>
    </row>
    <row r="80" spans="1:66">
      <c r="A80" s="819">
        <f>'Input data'!A110</f>
        <v>2010</v>
      </c>
      <c r="B80" s="867">
        <f>'Input data'!B110</f>
        <v>49.87</v>
      </c>
      <c r="C80" s="867">
        <f>'Baseline data (from input)'!B66</f>
        <v>559.42164173673609</v>
      </c>
      <c r="D80" s="868">
        <f>'Baseline data (from input)'!T66</f>
        <v>0.75808980601378384</v>
      </c>
      <c r="E80" s="868">
        <f t="shared" si="41"/>
        <v>0.24001298204245269</v>
      </c>
      <c r="F80" s="868">
        <f t="shared" si="42"/>
        <v>0.30440139352934503</v>
      </c>
      <c r="G80" s="868">
        <f t="shared" si="43"/>
        <v>5.8998240613430578E-2</v>
      </c>
      <c r="H80" s="868">
        <f t="shared" si="44"/>
        <v>0</v>
      </c>
      <c r="I80" s="868">
        <f t="shared" si="45"/>
        <v>0</v>
      </c>
      <c r="J80" s="868">
        <f t="shared" si="46"/>
        <v>0</v>
      </c>
      <c r="K80" s="868">
        <f t="shared" si="47"/>
        <v>0.39658738381477154</v>
      </c>
      <c r="L80" s="875">
        <f t="shared" si="48"/>
        <v>0.99999999999999989</v>
      </c>
      <c r="M80" s="198"/>
      <c r="N80" s="891">
        <f t="shared" si="50"/>
        <v>21149.460253503403</v>
      </c>
      <c r="O80" s="885">
        <f>Parameters!R181</f>
        <v>0.73</v>
      </c>
      <c r="P80" s="885">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884">
        <f t="shared" si="2"/>
        <v>930.06349568814494</v>
      </c>
      <c r="R80" s="884">
        <f t="shared" si="3"/>
        <v>930.06349568814494</v>
      </c>
      <c r="S80" s="886">
        <f t="shared" si="4"/>
        <v>0</v>
      </c>
      <c r="T80" s="884">
        <f t="shared" si="5"/>
        <v>14319.615653351433</v>
      </c>
      <c r="U80" s="884">
        <f t="shared" si="6"/>
        <v>686.49701910735507</v>
      </c>
      <c r="V80" s="897">
        <f t="shared" si="7"/>
        <v>457.66467940490338</v>
      </c>
      <c r="W80" s="1450">
        <f t="shared" si="55"/>
        <v>4.4634268694979357E-2</v>
      </c>
      <c r="X80" s="891">
        <f>'Baseline data (from input)'!AS66*W80</f>
        <v>2765.2915387146099</v>
      </c>
      <c r="Y80" s="885">
        <f>Parameters!S181</f>
        <v>0.71500000000000008</v>
      </c>
      <c r="Z80" s="885">
        <f t="shared" si="9"/>
        <v>0.4</v>
      </c>
      <c r="AA80" s="884">
        <f t="shared" si="10"/>
        <v>395.4366900361893</v>
      </c>
      <c r="AB80" s="884">
        <f t="shared" si="11"/>
        <v>395.4366900361893</v>
      </c>
      <c r="AC80" s="886">
        <f t="shared" si="12"/>
        <v>0</v>
      </c>
      <c r="AD80" s="884">
        <f t="shared" si="13"/>
        <v>13679.01697549752</v>
      </c>
      <c r="AE80" s="884">
        <f t="shared" si="14"/>
        <v>681.06372503454065</v>
      </c>
      <c r="AF80" s="897">
        <f t="shared" si="15"/>
        <v>454.04248335636044</v>
      </c>
      <c r="AG80" s="1450">
        <f t="shared" si="56"/>
        <v>4.4634268694979357E-2</v>
      </c>
      <c r="AH80" s="891">
        <f>'Baseline data (from input)'!AS66*AG80</f>
        <v>2765.2915387146099</v>
      </c>
      <c r="AI80" s="885">
        <f>Parameters!S181</f>
        <v>0.71500000000000008</v>
      </c>
      <c r="AJ80" s="885">
        <f t="shared" si="17"/>
        <v>0.4</v>
      </c>
      <c r="AK80" s="884">
        <f t="shared" si="18"/>
        <v>395.4366900361893</v>
      </c>
      <c r="AL80" s="884">
        <f t="shared" si="19"/>
        <v>395.4366900361893</v>
      </c>
      <c r="AM80" s="886">
        <f t="shared" si="20"/>
        <v>0</v>
      </c>
      <c r="AN80" s="884">
        <f t="shared" si="21"/>
        <v>13679.01697549752</v>
      </c>
      <c r="AO80" s="884">
        <f t="shared" si="22"/>
        <v>681.06372503454065</v>
      </c>
      <c r="AP80" s="897">
        <f t="shared" si="23"/>
        <v>454.04248335636044</v>
      </c>
      <c r="AQ80" s="99"/>
      <c r="AR80" s="891">
        <v>501</v>
      </c>
      <c r="AS80" s="885">
        <v>1</v>
      </c>
      <c r="AT80" s="885">
        <f t="shared" si="24"/>
        <v>0.05</v>
      </c>
      <c r="AU80" s="884">
        <f t="shared" si="25"/>
        <v>12.525</v>
      </c>
      <c r="AV80" s="884">
        <f t="shared" si="26"/>
        <v>12.525</v>
      </c>
      <c r="AW80" s="886">
        <f t="shared" si="27"/>
        <v>0</v>
      </c>
      <c r="AX80" s="884">
        <f t="shared" si="51"/>
        <v>103.91325781250549</v>
      </c>
      <c r="AY80" s="884">
        <f t="shared" si="54"/>
        <v>5.6511342579223198</v>
      </c>
      <c r="AZ80" s="897">
        <f t="shared" si="52"/>
        <v>3.76742283861488</v>
      </c>
      <c r="BB80" s="1605">
        <f t="shared" si="31"/>
        <v>457.66467940490338</v>
      </c>
      <c r="BC80" s="1606">
        <f t="shared" si="32"/>
        <v>454.04248335636044</v>
      </c>
      <c r="BD80" s="1607">
        <f t="shared" si="53"/>
        <v>3.76742283861488</v>
      </c>
      <c r="BE80" s="1606">
        <f t="shared" si="34"/>
        <v>915.47458559987865</v>
      </c>
      <c r="BF80" s="1608">
        <v>0</v>
      </c>
      <c r="BG80" s="1609">
        <f t="shared" si="35"/>
        <v>915.47458559987865</v>
      </c>
      <c r="BI80" s="1605">
        <f t="shared" si="36"/>
        <v>457.66467940490338</v>
      </c>
      <c r="BJ80" s="1606">
        <f t="shared" si="37"/>
        <v>454.04248335636044</v>
      </c>
      <c r="BK80" s="1607">
        <f t="shared" si="38"/>
        <v>3.76742283861488</v>
      </c>
      <c r="BL80" s="1606">
        <f t="shared" si="39"/>
        <v>915.47458559987865</v>
      </c>
      <c r="BM80" s="1608">
        <v>0</v>
      </c>
      <c r="BN80" s="1609">
        <f t="shared" si="40"/>
        <v>915.47458559987865</v>
      </c>
    </row>
    <row r="81" spans="1:66">
      <c r="A81" s="819">
        <f>'Input data'!A111</f>
        <v>2011</v>
      </c>
      <c r="B81" s="867">
        <f>'Input data'!B111</f>
        <v>51.771000000000001</v>
      </c>
      <c r="C81" s="867">
        <f>'Baseline data (from input)'!B67</f>
        <v>540.11328347347217</v>
      </c>
      <c r="D81" s="868">
        <f>'Baseline data (from input)'!T67</f>
        <v>0.71617961202756764</v>
      </c>
      <c r="E81" s="868">
        <f t="shared" si="41"/>
        <v>0.24001298204245269</v>
      </c>
      <c r="F81" s="868">
        <f t="shared" si="42"/>
        <v>0.30440139352934503</v>
      </c>
      <c r="G81" s="868">
        <f t="shared" si="43"/>
        <v>5.8998240613430578E-2</v>
      </c>
      <c r="H81" s="868">
        <f t="shared" si="44"/>
        <v>0</v>
      </c>
      <c r="I81" s="868">
        <f t="shared" si="45"/>
        <v>0</v>
      </c>
      <c r="J81" s="868">
        <f t="shared" si="46"/>
        <v>0</v>
      </c>
      <c r="K81" s="868">
        <f t="shared" si="47"/>
        <v>0.39658738381477154</v>
      </c>
      <c r="L81" s="875">
        <f t="shared" si="48"/>
        <v>0.99999999999999989</v>
      </c>
      <c r="M81" s="198"/>
      <c r="N81" s="891">
        <f t="shared" si="50"/>
        <v>20025.960984172027</v>
      </c>
      <c r="O81" s="885">
        <f>Parameters!R182</f>
        <v>0.73</v>
      </c>
      <c r="P81" s="885">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884">
        <f t="shared" si="2"/>
        <v>880.65676637625506</v>
      </c>
      <c r="R81" s="884">
        <f t="shared" si="3"/>
        <v>880.65676637625506</v>
      </c>
      <c r="S81" s="886">
        <f t="shared" si="4"/>
        <v>0</v>
      </c>
      <c r="T81" s="884">
        <f t="shared" si="5"/>
        <v>14501.896523385154</v>
      </c>
      <c r="U81" s="884">
        <f t="shared" si="6"/>
        <v>698.37589634253345</v>
      </c>
      <c r="V81" s="897">
        <f t="shared" si="7"/>
        <v>465.58393089502232</v>
      </c>
      <c r="W81" s="1450">
        <f t="shared" si="55"/>
        <v>3.3303694900625028E-2</v>
      </c>
      <c r="X81" s="891">
        <f>'Baseline data (from input)'!AS67*W81</f>
        <v>2103.8640096556378</v>
      </c>
      <c r="Y81" s="885">
        <f>Parameters!S182</f>
        <v>0.71500000000000008</v>
      </c>
      <c r="Z81" s="885">
        <f t="shared" si="9"/>
        <v>0.4</v>
      </c>
      <c r="AA81" s="884">
        <f t="shared" si="10"/>
        <v>300.85255338075626</v>
      </c>
      <c r="AB81" s="884">
        <f t="shared" si="11"/>
        <v>300.85255338075626</v>
      </c>
      <c r="AC81" s="886">
        <f t="shared" si="12"/>
        <v>0</v>
      </c>
      <c r="AD81" s="884">
        <f t="shared" si="13"/>
        <v>13312.735998718759</v>
      </c>
      <c r="AE81" s="884">
        <f t="shared" si="14"/>
        <v>667.13353015951634</v>
      </c>
      <c r="AF81" s="897">
        <f t="shared" si="15"/>
        <v>444.75568677301089</v>
      </c>
      <c r="AG81" s="1450">
        <f t="shared" si="56"/>
        <v>3.3303694900625028E-2</v>
      </c>
      <c r="AH81" s="891">
        <f>'Baseline data (from input)'!AS67*AG81</f>
        <v>2103.8640096556378</v>
      </c>
      <c r="AI81" s="885">
        <f>Parameters!S182</f>
        <v>0.71500000000000008</v>
      </c>
      <c r="AJ81" s="885">
        <f t="shared" si="17"/>
        <v>0.4</v>
      </c>
      <c r="AK81" s="884">
        <f t="shared" si="18"/>
        <v>300.85255338075626</v>
      </c>
      <c r="AL81" s="884">
        <f t="shared" si="19"/>
        <v>300.85255338075626</v>
      </c>
      <c r="AM81" s="886">
        <f t="shared" si="20"/>
        <v>0</v>
      </c>
      <c r="AN81" s="884">
        <f t="shared" si="21"/>
        <v>13312.735998718759</v>
      </c>
      <c r="AO81" s="884">
        <f t="shared" si="22"/>
        <v>667.13353015951634</v>
      </c>
      <c r="AP81" s="897">
        <f t="shared" si="23"/>
        <v>444.75568677301089</v>
      </c>
      <c r="AQ81" s="99"/>
      <c r="AR81" s="891">
        <v>501</v>
      </c>
      <c r="AS81" s="885">
        <v>1</v>
      </c>
      <c r="AT81" s="885">
        <f t="shared" si="24"/>
        <v>0.05</v>
      </c>
      <c r="AU81" s="884">
        <f t="shared" si="25"/>
        <v>12.525</v>
      </c>
      <c r="AV81" s="884">
        <f t="shared" si="26"/>
        <v>12.525</v>
      </c>
      <c r="AW81" s="886">
        <f t="shared" si="27"/>
        <v>0</v>
      </c>
      <c r="AX81" s="884">
        <f t="shared" si="51"/>
        <v>110.38682077701402</v>
      </c>
      <c r="AY81" s="884">
        <f t="shared" si="54"/>
        <v>6.0514370354914675</v>
      </c>
      <c r="AZ81" s="897">
        <f t="shared" si="52"/>
        <v>4.034291356994312</v>
      </c>
      <c r="BB81" s="1605">
        <f t="shared" si="31"/>
        <v>465.58393089502232</v>
      </c>
      <c r="BC81" s="1606">
        <f t="shared" si="32"/>
        <v>444.75568677301089</v>
      </c>
      <c r="BD81" s="1607">
        <f t="shared" si="53"/>
        <v>4.034291356994312</v>
      </c>
      <c r="BE81" s="1606">
        <f t="shared" si="34"/>
        <v>914.37390902502761</v>
      </c>
      <c r="BF81" s="1608">
        <v>0</v>
      </c>
      <c r="BG81" s="1609">
        <f t="shared" si="35"/>
        <v>914.37390902502761</v>
      </c>
      <c r="BI81" s="1605">
        <f t="shared" si="36"/>
        <v>465.58393089502232</v>
      </c>
      <c r="BJ81" s="1606">
        <f t="shared" si="37"/>
        <v>444.75568677301089</v>
      </c>
      <c r="BK81" s="1607">
        <f t="shared" si="38"/>
        <v>4.034291356994312</v>
      </c>
      <c r="BL81" s="1606">
        <f t="shared" si="39"/>
        <v>914.37390902502761</v>
      </c>
      <c r="BM81" s="1608">
        <v>0</v>
      </c>
      <c r="BN81" s="1609">
        <f t="shared" si="40"/>
        <v>914.37390902502761</v>
      </c>
    </row>
    <row r="82" spans="1:66">
      <c r="A82" s="819">
        <f>'Input data'!A112</f>
        <v>2012</v>
      </c>
      <c r="B82" s="867">
        <f>'Input data'!B112</f>
        <v>52.325432882070082</v>
      </c>
      <c r="C82" s="867">
        <f>'Baseline data (from input)'!B68</f>
        <v>520.80492521020824</v>
      </c>
      <c r="D82" s="868">
        <f>'Baseline data (from input)'!T68</f>
        <v>0.67426941804135143</v>
      </c>
      <c r="E82" s="868">
        <f t="shared" si="41"/>
        <v>0.24001298204245269</v>
      </c>
      <c r="F82" s="868">
        <f t="shared" si="42"/>
        <v>0.30440139352934503</v>
      </c>
      <c r="G82" s="868">
        <f t="shared" si="43"/>
        <v>5.8998240613430578E-2</v>
      </c>
      <c r="H82" s="868">
        <f t="shared" si="44"/>
        <v>0</v>
      </c>
      <c r="I82" s="868">
        <f t="shared" si="45"/>
        <v>0</v>
      </c>
      <c r="J82" s="868">
        <f t="shared" si="46"/>
        <v>0</v>
      </c>
      <c r="K82" s="868">
        <f t="shared" si="47"/>
        <v>0.39658738381477154</v>
      </c>
      <c r="L82" s="875">
        <f t="shared" si="48"/>
        <v>0.99999999999999989</v>
      </c>
      <c r="M82" s="198"/>
      <c r="N82" s="891">
        <f t="shared" si="50"/>
        <v>18374.747292487624</v>
      </c>
      <c r="O82" s="885">
        <f>Parameters!R183</f>
        <v>0.73</v>
      </c>
      <c r="P82" s="885">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884">
        <f t="shared" si="2"/>
        <v>808.04339658769368</v>
      </c>
      <c r="R82" s="884">
        <f t="shared" si="3"/>
        <v>808.04339658769368</v>
      </c>
      <c r="S82" s="886">
        <f t="shared" si="4"/>
        <v>0</v>
      </c>
      <c r="T82" s="884">
        <f t="shared" si="5"/>
        <v>14602.674080696259</v>
      </c>
      <c r="U82" s="884">
        <f t="shared" si="6"/>
        <v>707.26583927658862</v>
      </c>
      <c r="V82" s="897">
        <f t="shared" si="7"/>
        <v>471.51055951772577</v>
      </c>
      <c r="W82" s="1451">
        <f>D13</f>
        <v>2.197312110627072E-2</v>
      </c>
      <c r="X82" s="891">
        <f>'Baseline data (from input)'!AS68*W82</f>
        <v>1400.460841636607</v>
      </c>
      <c r="Y82" s="885">
        <f>Parameters!S183</f>
        <v>0.71500000000000008</v>
      </c>
      <c r="Z82" s="885">
        <f t="shared" si="9"/>
        <v>0.4</v>
      </c>
      <c r="AA82" s="884">
        <f t="shared" si="10"/>
        <v>200.26590035403484</v>
      </c>
      <c r="AB82" s="884">
        <f t="shared" si="11"/>
        <v>200.26590035403484</v>
      </c>
      <c r="AC82" s="886">
        <f t="shared" si="12"/>
        <v>0</v>
      </c>
      <c r="AD82" s="884">
        <f t="shared" si="13"/>
        <v>12863.73210294522</v>
      </c>
      <c r="AE82" s="884">
        <f t="shared" si="14"/>
        <v>649.26979612757566</v>
      </c>
      <c r="AF82" s="897">
        <f t="shared" si="15"/>
        <v>432.84653075171713</v>
      </c>
      <c r="AG82" s="1449">
        <f>$D$13</f>
        <v>2.197312110627072E-2</v>
      </c>
      <c r="AH82" s="891">
        <f>'Baseline data (from input)'!AS68*AG82</f>
        <v>1400.460841636607</v>
      </c>
      <c r="AI82" s="885">
        <f>Parameters!S183</f>
        <v>0.71500000000000008</v>
      </c>
      <c r="AJ82" s="885">
        <f t="shared" si="17"/>
        <v>0.4</v>
      </c>
      <c r="AK82" s="884">
        <f t="shared" si="18"/>
        <v>200.26590035403484</v>
      </c>
      <c r="AL82" s="884">
        <f t="shared" si="19"/>
        <v>200.26590035403484</v>
      </c>
      <c r="AM82" s="886">
        <f t="shared" si="20"/>
        <v>0</v>
      </c>
      <c r="AN82" s="884">
        <f t="shared" si="21"/>
        <v>12863.73210294522</v>
      </c>
      <c r="AO82" s="884">
        <f t="shared" si="22"/>
        <v>649.26979612757566</v>
      </c>
      <c r="AP82" s="897">
        <f t="shared" si="23"/>
        <v>432.84653075171713</v>
      </c>
      <c r="AQ82" s="99"/>
      <c r="AR82" s="891">
        <v>501</v>
      </c>
      <c r="AS82" s="885">
        <v>1</v>
      </c>
      <c r="AT82" s="885">
        <f t="shared" si="24"/>
        <v>0.05</v>
      </c>
      <c r="AU82" s="884">
        <f t="shared" si="25"/>
        <v>12.525</v>
      </c>
      <c r="AV82" s="884">
        <f t="shared" si="26"/>
        <v>12.525</v>
      </c>
      <c r="AW82" s="886">
        <f t="shared" si="27"/>
        <v>0</v>
      </c>
      <c r="AX82" s="884">
        <f t="shared" si="51"/>
        <v>116.48339278291267</v>
      </c>
      <c r="AY82" s="884">
        <f t="shared" si="54"/>
        <v>6.428427994101356</v>
      </c>
      <c r="AZ82" s="897">
        <f t="shared" si="52"/>
        <v>4.2856186627342376</v>
      </c>
      <c r="BB82" s="1605">
        <f t="shared" si="31"/>
        <v>471.51055951772577</v>
      </c>
      <c r="BC82" s="1606">
        <f t="shared" si="32"/>
        <v>432.84653075171713</v>
      </c>
      <c r="BD82" s="1607">
        <f t="shared" si="53"/>
        <v>4.2856186627342376</v>
      </c>
      <c r="BE82" s="1606">
        <f t="shared" si="34"/>
        <v>908.64270893217713</v>
      </c>
      <c r="BF82" s="1608">
        <v>0</v>
      </c>
      <c r="BG82" s="1609">
        <f t="shared" si="35"/>
        <v>908.64270893217713</v>
      </c>
      <c r="BI82" s="1605">
        <f t="shared" si="36"/>
        <v>471.51055951772577</v>
      </c>
      <c r="BJ82" s="1606">
        <f t="shared" si="37"/>
        <v>432.84653075171713</v>
      </c>
      <c r="BK82" s="1607">
        <f t="shared" si="38"/>
        <v>4.2856186627342376</v>
      </c>
      <c r="BL82" s="1606">
        <f t="shared" si="39"/>
        <v>908.64270893217713</v>
      </c>
      <c r="BM82" s="1608">
        <v>0</v>
      </c>
      <c r="BN82" s="1609">
        <f t="shared" si="40"/>
        <v>908.64270893217713</v>
      </c>
    </row>
    <row r="83" spans="1:66">
      <c r="A83" s="819">
        <f>'Input data'!A113</f>
        <v>2013</v>
      </c>
      <c r="B83" s="867">
        <f>'Input data'!B113</f>
        <v>53.104386458423342</v>
      </c>
      <c r="C83" s="867">
        <f>'Baseline data (from input)'!B69</f>
        <v>501.49656694694431</v>
      </c>
      <c r="D83" s="868">
        <f>'Baseline data (from input)'!T69</f>
        <v>0.63235922405513523</v>
      </c>
      <c r="E83" s="868">
        <f t="shared" si="41"/>
        <v>0.24001298204245269</v>
      </c>
      <c r="F83" s="868">
        <f t="shared" si="42"/>
        <v>0.30440139352934503</v>
      </c>
      <c r="G83" s="868">
        <f t="shared" si="43"/>
        <v>5.8998240613430578E-2</v>
      </c>
      <c r="H83" s="868">
        <f t="shared" si="44"/>
        <v>0</v>
      </c>
      <c r="I83" s="868">
        <f t="shared" si="45"/>
        <v>0</v>
      </c>
      <c r="J83" s="868">
        <f t="shared" si="46"/>
        <v>0</v>
      </c>
      <c r="K83" s="868">
        <f t="shared" si="47"/>
        <v>0.39658738381477154</v>
      </c>
      <c r="L83" s="875">
        <f t="shared" si="48"/>
        <v>0.99999999999999989</v>
      </c>
      <c r="M83" s="198"/>
      <c r="N83" s="891">
        <f t="shared" si="50"/>
        <v>16840.780594786906</v>
      </c>
      <c r="O83" s="885">
        <f>Parameters!R184</f>
        <v>0.73</v>
      </c>
      <c r="P83" s="885">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884">
        <f t="shared" si="2"/>
        <v>740.58605195421069</v>
      </c>
      <c r="R83" s="884">
        <f t="shared" si="3"/>
        <v>740.58605195421069</v>
      </c>
      <c r="S83" s="886">
        <f t="shared" si="4"/>
        <v>0</v>
      </c>
      <c r="T83" s="884">
        <f t="shared" si="5"/>
        <v>14631.079313906406</v>
      </c>
      <c r="U83" s="884">
        <f t="shared" si="6"/>
        <v>712.18081874406346</v>
      </c>
      <c r="V83" s="897">
        <f t="shared" si="7"/>
        <v>474.78721249604229</v>
      </c>
      <c r="W83" s="1451">
        <f>W82</f>
        <v>2.197312110627072E-2</v>
      </c>
      <c r="X83" s="891">
        <f>'Baseline data (from input)'!AS69*W83</f>
        <v>1433.3081640211221</v>
      </c>
      <c r="Y83" s="885">
        <f>Parameters!S184</f>
        <v>0.71500000000000008</v>
      </c>
      <c r="Z83" s="885">
        <f t="shared" si="9"/>
        <v>0.4</v>
      </c>
      <c r="AA83" s="884">
        <f t="shared" si="10"/>
        <v>204.96306745502051</v>
      </c>
      <c r="AB83" s="884">
        <f t="shared" si="11"/>
        <v>204.96306745502051</v>
      </c>
      <c r="AC83" s="886">
        <f t="shared" si="12"/>
        <v>0</v>
      </c>
      <c r="AD83" s="884">
        <f t="shared" si="13"/>
        <v>12441.323552670961</v>
      </c>
      <c r="AE83" s="884">
        <f t="shared" si="14"/>
        <v>627.37161772927868</v>
      </c>
      <c r="AF83" s="897">
        <f t="shared" si="15"/>
        <v>418.24774515285247</v>
      </c>
      <c r="AG83" s="1449">
        <f>AG82</f>
        <v>2.197312110627072E-2</v>
      </c>
      <c r="AH83" s="891">
        <f>'Baseline data (from input)'!AS69*AG83</f>
        <v>1433.3081640211221</v>
      </c>
      <c r="AI83" s="885">
        <f>Parameters!S184</f>
        <v>0.71500000000000008</v>
      </c>
      <c r="AJ83" s="885">
        <f t="shared" si="17"/>
        <v>0.4</v>
      </c>
      <c r="AK83" s="884">
        <f t="shared" si="18"/>
        <v>204.96306745502051</v>
      </c>
      <c r="AL83" s="884">
        <f t="shared" si="19"/>
        <v>204.96306745502051</v>
      </c>
      <c r="AM83" s="886">
        <f t="shared" si="20"/>
        <v>0</v>
      </c>
      <c r="AN83" s="884">
        <f t="shared" si="21"/>
        <v>12441.323552670961</v>
      </c>
      <c r="AO83" s="884">
        <f t="shared" si="22"/>
        <v>627.37161772927868</v>
      </c>
      <c r="AP83" s="897">
        <f t="shared" si="23"/>
        <v>418.24774515285247</v>
      </c>
      <c r="AQ83" s="99"/>
      <c r="AR83" s="891">
        <v>501</v>
      </c>
      <c r="AS83" s="885">
        <v>1</v>
      </c>
      <c r="AT83" s="885">
        <f t="shared" si="24"/>
        <v>0.05</v>
      </c>
      <c r="AU83" s="884">
        <f t="shared" si="25"/>
        <v>12.525</v>
      </c>
      <c r="AV83" s="884">
        <f t="shared" si="26"/>
        <v>12.525</v>
      </c>
      <c r="AW83" s="886">
        <f t="shared" si="27"/>
        <v>0</v>
      </c>
      <c r="AX83" s="884">
        <f t="shared" si="51"/>
        <v>122.2249280745106</v>
      </c>
      <c r="AY83" s="884">
        <f t="shared" si="54"/>
        <v>6.783464708402076</v>
      </c>
      <c r="AZ83" s="897">
        <f t="shared" si="52"/>
        <v>4.5223098056013837</v>
      </c>
      <c r="BB83" s="1605">
        <f t="shared" si="31"/>
        <v>474.78721249604229</v>
      </c>
      <c r="BC83" s="1606">
        <f t="shared" si="32"/>
        <v>418.24774515285247</v>
      </c>
      <c r="BD83" s="1607">
        <f t="shared" si="53"/>
        <v>4.5223098056013837</v>
      </c>
      <c r="BE83" s="1606">
        <f t="shared" si="34"/>
        <v>897.55726745449613</v>
      </c>
      <c r="BF83" s="1608">
        <v>0</v>
      </c>
      <c r="BG83" s="1609">
        <f t="shared" si="35"/>
        <v>897.55726745449613</v>
      </c>
      <c r="BI83" s="1605">
        <f t="shared" si="36"/>
        <v>474.78721249604229</v>
      </c>
      <c r="BJ83" s="1606">
        <f t="shared" si="37"/>
        <v>418.24774515285247</v>
      </c>
      <c r="BK83" s="1607">
        <f t="shared" si="38"/>
        <v>4.5223098056013837</v>
      </c>
      <c r="BL83" s="1606">
        <f t="shared" si="39"/>
        <v>897.55726745449613</v>
      </c>
      <c r="BM83" s="1608">
        <v>0</v>
      </c>
      <c r="BN83" s="1609">
        <f t="shared" si="40"/>
        <v>897.55726745449613</v>
      </c>
    </row>
    <row r="84" spans="1:66">
      <c r="A84" s="819">
        <f>'Input data'!A114</f>
        <v>2014</v>
      </c>
      <c r="B84" s="867">
        <f>'Input data'!B114</f>
        <v>53.912365691429272</v>
      </c>
      <c r="C84" s="867">
        <f>'Baseline data (from input)'!B70</f>
        <v>482.18820868368039</v>
      </c>
      <c r="D84" s="868">
        <f>'Baseline data (from input)'!T70</f>
        <v>0.59044903006891902</v>
      </c>
      <c r="E84" s="868">
        <f t="shared" si="41"/>
        <v>0.24001298204245269</v>
      </c>
      <c r="F84" s="868">
        <f t="shared" si="42"/>
        <v>0.30440139352934503</v>
      </c>
      <c r="G84" s="868">
        <f t="shared" si="43"/>
        <v>5.8998240613430578E-2</v>
      </c>
      <c r="H84" s="868">
        <f t="shared" si="44"/>
        <v>0</v>
      </c>
      <c r="I84" s="868">
        <f t="shared" si="45"/>
        <v>0</v>
      </c>
      <c r="J84" s="868">
        <f t="shared" si="46"/>
        <v>0</v>
      </c>
      <c r="K84" s="868">
        <f t="shared" si="47"/>
        <v>0.39658738381477154</v>
      </c>
      <c r="L84" s="875">
        <f t="shared" si="48"/>
        <v>0.99999999999999989</v>
      </c>
      <c r="M84" s="198"/>
      <c r="N84" s="891">
        <f t="shared" ref="N84:N120" si="57">B84*C84*D84</f>
        <v>15349.258096732552</v>
      </c>
      <c r="O84" s="885">
        <f>Parameters!R185</f>
        <v>0.73</v>
      </c>
      <c r="P84" s="885">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884">
        <f t="shared" si="2"/>
        <v>674.9952230720337</v>
      </c>
      <c r="R84" s="884">
        <f t="shared" si="3"/>
        <v>674.9952230720337</v>
      </c>
      <c r="S84" s="886">
        <f t="shared" si="4"/>
        <v>0</v>
      </c>
      <c r="T84" s="884">
        <f t="shared" si="5"/>
        <v>14592.508378663526</v>
      </c>
      <c r="U84" s="884">
        <f t="shared" si="6"/>
        <v>713.56615831491376</v>
      </c>
      <c r="V84" s="897">
        <f t="shared" si="7"/>
        <v>475.71077220994249</v>
      </c>
      <c r="W84" s="1451">
        <f t="shared" ref="W84:W87" si="58">W83</f>
        <v>2.197312110627072E-2</v>
      </c>
      <c r="X84" s="891">
        <f>'Baseline data (from input)'!AS70*W84</f>
        <v>1458.0956603669374</v>
      </c>
      <c r="Y84" s="885">
        <f>Parameters!S185</f>
        <v>0.71500000000000008</v>
      </c>
      <c r="Z84" s="885">
        <f t="shared" si="9"/>
        <v>0.4</v>
      </c>
      <c r="AA84" s="884">
        <f t="shared" si="10"/>
        <v>208.50767943247209</v>
      </c>
      <c r="AB84" s="884">
        <f t="shared" si="11"/>
        <v>208.50767943247209</v>
      </c>
      <c r="AC84" s="886">
        <f t="shared" si="12"/>
        <v>0</v>
      </c>
      <c r="AD84" s="884">
        <f t="shared" si="13"/>
        <v>12043.060722466849</v>
      </c>
      <c r="AE84" s="884">
        <f t="shared" si="14"/>
        <v>606.77050963658405</v>
      </c>
      <c r="AF84" s="897">
        <f t="shared" si="15"/>
        <v>404.51367309105603</v>
      </c>
      <c r="AG84" s="1449">
        <f t="shared" ref="AG84:AG87" si="59">AG83</f>
        <v>2.197312110627072E-2</v>
      </c>
      <c r="AH84" s="891">
        <f>'Baseline data (from input)'!AS70*AG84</f>
        <v>1458.0956603669374</v>
      </c>
      <c r="AI84" s="885">
        <f>Parameters!S185</f>
        <v>0.71500000000000008</v>
      </c>
      <c r="AJ84" s="885">
        <f t="shared" si="17"/>
        <v>0.4</v>
      </c>
      <c r="AK84" s="884">
        <f t="shared" si="18"/>
        <v>208.50767943247209</v>
      </c>
      <c r="AL84" s="884">
        <f t="shared" si="19"/>
        <v>208.50767943247209</v>
      </c>
      <c r="AM84" s="886">
        <f t="shared" si="20"/>
        <v>0</v>
      </c>
      <c r="AN84" s="884">
        <f t="shared" si="21"/>
        <v>12043.060722466849</v>
      </c>
      <c r="AO84" s="884">
        <f t="shared" si="22"/>
        <v>606.77050963658405</v>
      </c>
      <c r="AP84" s="897">
        <f t="shared" si="23"/>
        <v>404.51367309105603</v>
      </c>
      <c r="AQ84" s="99"/>
      <c r="AR84" s="891">
        <v>501</v>
      </c>
      <c r="AS84" s="885">
        <v>1</v>
      </c>
      <c r="AT84" s="885">
        <f t="shared" si="24"/>
        <v>0.05</v>
      </c>
      <c r="AU84" s="884">
        <f t="shared" si="25"/>
        <v>12.525</v>
      </c>
      <c r="AV84" s="884">
        <f t="shared" si="26"/>
        <v>12.525</v>
      </c>
      <c r="AW84" s="886">
        <f t="shared" si="27"/>
        <v>0</v>
      </c>
      <c r="AX84" s="884">
        <f t="shared" si="51"/>
        <v>127.63210238045983</v>
      </c>
      <c r="AY84" s="884">
        <f t="shared" si="54"/>
        <v>7.1178256940507776</v>
      </c>
      <c r="AZ84" s="897">
        <f t="shared" si="52"/>
        <v>4.7452171293671848</v>
      </c>
      <c r="BB84" s="1605">
        <f t="shared" si="31"/>
        <v>475.71077220994249</v>
      </c>
      <c r="BC84" s="1606">
        <f t="shared" si="32"/>
        <v>404.51367309105603</v>
      </c>
      <c r="BD84" s="1607">
        <f t="shared" si="53"/>
        <v>4.7452171293671848</v>
      </c>
      <c r="BE84" s="1606">
        <f t="shared" ref="BE84:BE120" si="60">SUM(BB84:BD84)</f>
        <v>884.9696624303657</v>
      </c>
      <c r="BF84" s="1608">
        <v>0</v>
      </c>
      <c r="BG84" s="1609">
        <f t="shared" si="35"/>
        <v>884.9696624303657</v>
      </c>
      <c r="BI84" s="1605">
        <f t="shared" si="36"/>
        <v>475.71077220994249</v>
      </c>
      <c r="BJ84" s="1606">
        <f t="shared" si="37"/>
        <v>404.51367309105603</v>
      </c>
      <c r="BK84" s="1607">
        <f t="shared" si="38"/>
        <v>4.7452171293671848</v>
      </c>
      <c r="BL84" s="1606">
        <f t="shared" ref="BL84:BL120" si="61">SUM(BI84:BK84)</f>
        <v>884.9696624303657</v>
      </c>
      <c r="BM84" s="1608">
        <v>0</v>
      </c>
      <c r="BN84" s="1609">
        <f t="shared" si="40"/>
        <v>884.9696624303657</v>
      </c>
    </row>
    <row r="85" spans="1:66">
      <c r="A85" s="819">
        <f>'Input data'!A115</f>
        <v>2015</v>
      </c>
      <c r="B85" s="867">
        <f>'Input data'!B115</f>
        <v>54.750491457321111</v>
      </c>
      <c r="C85" s="867">
        <f>'Baseline data (from input)'!B71</f>
        <v>462.87985042041646</v>
      </c>
      <c r="D85" s="868">
        <f>'Baseline data (from input)'!T71</f>
        <v>0.54853883608270282</v>
      </c>
      <c r="E85" s="868">
        <f t="shared" si="41"/>
        <v>0.24001298204245269</v>
      </c>
      <c r="F85" s="868">
        <f t="shared" si="42"/>
        <v>0.30440139352934503</v>
      </c>
      <c r="G85" s="868">
        <f t="shared" si="43"/>
        <v>5.8998240613430578E-2</v>
      </c>
      <c r="H85" s="868">
        <f t="shared" si="44"/>
        <v>0</v>
      </c>
      <c r="I85" s="868">
        <f t="shared" si="45"/>
        <v>0</v>
      </c>
      <c r="J85" s="868">
        <f t="shared" si="46"/>
        <v>0</v>
      </c>
      <c r="K85" s="868">
        <f t="shared" si="47"/>
        <v>0.39658738381477154</v>
      </c>
      <c r="L85" s="875">
        <f t="shared" si="48"/>
        <v>0.99999999999999989</v>
      </c>
      <c r="M85" s="198"/>
      <c r="N85" s="891">
        <f t="shared" si="57"/>
        <v>13901.564482903679</v>
      </c>
      <c r="O85" s="885">
        <f>Parameters!R186</f>
        <v>0.73</v>
      </c>
      <c r="P85" s="885">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884">
        <f t="shared" ref="Q85:Q120" si="62">N85*P85*O85*$C$4</f>
        <v>611.33180249183022</v>
      </c>
      <c r="R85" s="884">
        <f t="shared" ref="R85:R120" si="63">Q85*$C$10</f>
        <v>611.33180249183022</v>
      </c>
      <c r="S85" s="886">
        <f t="shared" ref="S85:S120" si="64">Q85*(1-$C$10)</f>
        <v>0</v>
      </c>
      <c r="T85" s="884">
        <f t="shared" ref="T85:T115" si="65">R85+(T84*$C$8)</f>
        <v>14492.155149549782</v>
      </c>
      <c r="U85" s="884">
        <f t="shared" ref="U85:U120" si="66">S85+T84*(1-$C$8)</f>
        <v>711.68503160557282</v>
      </c>
      <c r="V85" s="897">
        <f t="shared" ref="V85:V120" si="67">U85*16/12*$C$11</f>
        <v>474.45668773704853</v>
      </c>
      <c r="W85" s="1451">
        <f t="shared" si="58"/>
        <v>2.197312110627072E-2</v>
      </c>
      <c r="X85" s="891">
        <f>'Baseline data (from input)'!AS71*W85</f>
        <v>1471.284431810355</v>
      </c>
      <c r="Y85" s="885">
        <f>Parameters!S186</f>
        <v>0.71500000000000008</v>
      </c>
      <c r="Z85" s="885">
        <f t="shared" ref="Z85:Z120" si="68">$D$3</f>
        <v>0.4</v>
      </c>
      <c r="AA85" s="884">
        <f t="shared" ref="AA85:AA120" si="69">X85*Z85*Y85*$D$4</f>
        <v>210.39367374888081</v>
      </c>
      <c r="AB85" s="884">
        <f t="shared" ref="AB85:AB120" si="70">AA85*$D$10</f>
        <v>210.39367374888081</v>
      </c>
      <c r="AC85" s="886">
        <f t="shared" ref="AC85:AC120" si="71">AA85*(1-$D$10)</f>
        <v>0</v>
      </c>
      <c r="AD85" s="884">
        <f t="shared" ref="AD85:AD120" si="72">AB85+(AD84*$D$8)</f>
        <v>11666.107394008175</v>
      </c>
      <c r="AE85" s="884">
        <f t="shared" ref="AE85:AE120" si="73">AC85+AD84*(1-$D$8)</f>
        <v>587.34700220755508</v>
      </c>
      <c r="AF85" s="897">
        <f t="shared" ref="AF85:AF120" si="74">AE85*16/12*$D$11</f>
        <v>391.56466813837005</v>
      </c>
      <c r="AG85" s="1449">
        <f t="shared" si="59"/>
        <v>2.197312110627072E-2</v>
      </c>
      <c r="AH85" s="891">
        <f>'Baseline data (from input)'!AS71*AG85</f>
        <v>1471.284431810355</v>
      </c>
      <c r="AI85" s="885">
        <f>Parameters!S186</f>
        <v>0.71500000000000008</v>
      </c>
      <c r="AJ85" s="885">
        <f t="shared" ref="AJ85:AJ120" si="75">$D$3</f>
        <v>0.4</v>
      </c>
      <c r="AK85" s="884">
        <f t="shared" ref="AK85:AK120" si="76">AH85*AJ85*AI85*$D$4</f>
        <v>210.39367374888081</v>
      </c>
      <c r="AL85" s="884">
        <f t="shared" ref="AL85:AL120" si="77">AK85*$D$10</f>
        <v>210.39367374888081</v>
      </c>
      <c r="AM85" s="886">
        <f t="shared" ref="AM85:AM120" si="78">AK85*(1-$D$10)</f>
        <v>0</v>
      </c>
      <c r="AN85" s="884">
        <f t="shared" ref="AN85:AN120" si="79">AL85+(AN84*$D$8)</f>
        <v>11666.107394008175</v>
      </c>
      <c r="AO85" s="884">
        <f t="shared" ref="AO85:AO120" si="80">AM85+AN84*(1-$D$8)</f>
        <v>587.34700220755508</v>
      </c>
      <c r="AP85" s="897">
        <f t="shared" ref="AP85:AP120" si="81">AO85*16/12*$D$11</f>
        <v>391.56466813837005</v>
      </c>
      <c r="AQ85" s="99"/>
      <c r="AR85" s="891">
        <v>501</v>
      </c>
      <c r="AS85" s="885">
        <v>1</v>
      </c>
      <c r="AT85" s="885">
        <f t="shared" ref="AT85:AT120" si="82">$E$3</f>
        <v>0.05</v>
      </c>
      <c r="AU85" s="884">
        <f t="shared" ref="AU85:AU120" si="83">AR85*AT85*AS85*$E$4</f>
        <v>12.525</v>
      </c>
      <c r="AV85" s="884">
        <f t="shared" ref="AV85:AV120" si="84">AU85*$E$10</f>
        <v>12.525</v>
      </c>
      <c r="AW85" s="886">
        <f t="shared" ref="AW85:AW120" si="85">AU85*(1-$C$10)</f>
        <v>0</v>
      </c>
      <c r="AX85" s="884">
        <f t="shared" si="51"/>
        <v>132.72438736871084</v>
      </c>
      <c r="AY85" s="884">
        <f t="shared" si="54"/>
        <v>7.4327150117489973</v>
      </c>
      <c r="AZ85" s="897">
        <f t="shared" si="52"/>
        <v>4.9551433411659982</v>
      </c>
      <c r="BB85" s="1605">
        <f t="shared" ref="BB85:BB120" si="86">V85</f>
        <v>474.45668773704853</v>
      </c>
      <c r="BC85" s="1606">
        <f t="shared" ref="BC85:BC120" si="87">AF85</f>
        <v>391.56466813837005</v>
      </c>
      <c r="BD85" s="1607">
        <f t="shared" si="53"/>
        <v>4.9551433411659982</v>
      </c>
      <c r="BE85" s="1606">
        <f t="shared" si="60"/>
        <v>870.97649921658456</v>
      </c>
      <c r="BF85" s="1608">
        <v>0</v>
      </c>
      <c r="BG85" s="1609">
        <f t="shared" ref="BG85:BG120" si="88">BE85-BF85</f>
        <v>870.97649921658456</v>
      </c>
      <c r="BI85" s="1605">
        <f t="shared" ref="BI85:BI120" si="89">V85</f>
        <v>474.45668773704853</v>
      </c>
      <c r="BJ85" s="1606">
        <f t="shared" ref="BJ85:BJ120" si="90">AP85</f>
        <v>391.56466813837005</v>
      </c>
      <c r="BK85" s="1607">
        <f t="shared" ref="BK85:BK120" si="91">AZ85</f>
        <v>4.9551433411659982</v>
      </c>
      <c r="BL85" s="1606">
        <f t="shared" si="61"/>
        <v>870.97649921658456</v>
      </c>
      <c r="BM85" s="1608">
        <v>0</v>
      </c>
      <c r="BN85" s="1609">
        <f t="shared" ref="BN85:BN120" si="92">BL85-BM85</f>
        <v>870.97649921658456</v>
      </c>
    </row>
    <row r="86" spans="1:66">
      <c r="A86" s="819">
        <f>'Input data'!A116</f>
        <v>2016</v>
      </c>
      <c r="B86" s="867">
        <f>'Input data'!B116</f>
        <v>55.619940469824826</v>
      </c>
      <c r="C86" s="867">
        <f>'Baseline data (from input)'!B72</f>
        <v>443.57149215715253</v>
      </c>
      <c r="D86" s="868">
        <f>'Baseline data (from input)'!T72</f>
        <v>0.50662864209648661</v>
      </c>
      <c r="E86" s="868">
        <f t="shared" ref="E86:E87" si="93">E85</f>
        <v>0.24001298204245269</v>
      </c>
      <c r="F86" s="868">
        <f t="shared" ref="F86:F87" si="94">F85</f>
        <v>0.30440139352934503</v>
      </c>
      <c r="G86" s="868">
        <f t="shared" ref="G86:G87" si="95">G85</f>
        <v>5.8998240613430578E-2</v>
      </c>
      <c r="H86" s="868">
        <f t="shared" ref="H86:H87" si="96">H85</f>
        <v>0</v>
      </c>
      <c r="I86" s="868">
        <f t="shared" ref="I86:I87" si="97">I85</f>
        <v>0</v>
      </c>
      <c r="J86" s="868">
        <f t="shared" ref="J86:J87" si="98">J85</f>
        <v>0</v>
      </c>
      <c r="K86" s="868">
        <f t="shared" ref="K86:K87" si="99">K85</f>
        <v>0.39658738381477154</v>
      </c>
      <c r="L86" s="875">
        <f t="shared" ref="L86:L120" si="100">SUM(E86:K86)</f>
        <v>0.99999999999999989</v>
      </c>
      <c r="M86" s="198"/>
      <c r="N86" s="891">
        <f t="shared" si="57"/>
        <v>12499.24800705794</v>
      </c>
      <c r="O86" s="885">
        <f>Parameters!R187</f>
        <v>0.73</v>
      </c>
      <c r="P86" s="885">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884">
        <f t="shared" si="62"/>
        <v>549.66387584249071</v>
      </c>
      <c r="R86" s="884">
        <f t="shared" si="63"/>
        <v>549.66387584249071</v>
      </c>
      <c r="S86" s="886">
        <f t="shared" si="64"/>
        <v>0</v>
      </c>
      <c r="T86" s="884">
        <f t="shared" si="65"/>
        <v>14335.028278523789</v>
      </c>
      <c r="U86" s="884">
        <f t="shared" si="66"/>
        <v>706.79074686848378</v>
      </c>
      <c r="V86" s="897">
        <f t="shared" si="67"/>
        <v>471.19383124565587</v>
      </c>
      <c r="W86" s="1451">
        <f t="shared" si="58"/>
        <v>2.197312110627072E-2</v>
      </c>
      <c r="X86" s="891">
        <f>'Baseline data (from input)'!AS72*W86</f>
        <v>1484.5886292092637</v>
      </c>
      <c r="Y86" s="885">
        <f>Parameters!S187</f>
        <v>0.71500000000000008</v>
      </c>
      <c r="Z86" s="885">
        <f t="shared" si="68"/>
        <v>0.4</v>
      </c>
      <c r="AA86" s="884">
        <f t="shared" si="69"/>
        <v>212.29617397692473</v>
      </c>
      <c r="AB86" s="884">
        <f t="shared" si="70"/>
        <v>212.29617397692473</v>
      </c>
      <c r="AC86" s="886">
        <f t="shared" si="71"/>
        <v>0</v>
      </c>
      <c r="AD86" s="884">
        <f t="shared" si="72"/>
        <v>11309.440796542845</v>
      </c>
      <c r="AE86" s="884">
        <f t="shared" si="73"/>
        <v>568.96277144225417</v>
      </c>
      <c r="AF86" s="897">
        <f t="shared" si="74"/>
        <v>379.30851429483613</v>
      </c>
      <c r="AG86" s="1449">
        <f t="shared" si="59"/>
        <v>2.197312110627072E-2</v>
      </c>
      <c r="AH86" s="891">
        <f>'Baseline data (from input)'!AS72*AG86</f>
        <v>1484.5886292092637</v>
      </c>
      <c r="AI86" s="885">
        <f>Parameters!S187</f>
        <v>0.71500000000000008</v>
      </c>
      <c r="AJ86" s="885">
        <f t="shared" si="75"/>
        <v>0.4</v>
      </c>
      <c r="AK86" s="884">
        <f t="shared" si="76"/>
        <v>212.29617397692473</v>
      </c>
      <c r="AL86" s="884">
        <f t="shared" si="77"/>
        <v>212.29617397692473</v>
      </c>
      <c r="AM86" s="886">
        <f t="shared" si="78"/>
        <v>0</v>
      </c>
      <c r="AN86" s="884">
        <f t="shared" si="79"/>
        <v>11309.440796542845</v>
      </c>
      <c r="AO86" s="884">
        <f t="shared" si="80"/>
        <v>568.96277144225417</v>
      </c>
      <c r="AP86" s="897">
        <f t="shared" si="81"/>
        <v>379.30851429483613</v>
      </c>
      <c r="AQ86" s="99"/>
      <c r="AR86" s="891">
        <v>501</v>
      </c>
      <c r="AS86" s="885">
        <v>1</v>
      </c>
      <c r="AT86" s="885">
        <f t="shared" si="82"/>
        <v>0.05</v>
      </c>
      <c r="AU86" s="884">
        <f t="shared" si="83"/>
        <v>12.525</v>
      </c>
      <c r="AV86" s="884">
        <f t="shared" si="84"/>
        <v>12.525</v>
      </c>
      <c r="AW86" s="886">
        <f t="shared" si="85"/>
        <v>0</v>
      </c>
      <c r="AX86" s="884">
        <f t="shared" si="51"/>
        <v>137.52012076554911</v>
      </c>
      <c r="AY86" s="884">
        <f t="shared" si="54"/>
        <v>7.7292666031617232</v>
      </c>
      <c r="AZ86" s="897">
        <f t="shared" si="52"/>
        <v>5.1528444021078155</v>
      </c>
      <c r="BB86" s="1605">
        <f t="shared" si="86"/>
        <v>471.19383124565587</v>
      </c>
      <c r="BC86" s="1606">
        <f t="shared" si="87"/>
        <v>379.30851429483613</v>
      </c>
      <c r="BD86" s="1607">
        <f t="shared" si="53"/>
        <v>5.1528444021078155</v>
      </c>
      <c r="BE86" s="1606">
        <f t="shared" si="60"/>
        <v>855.6551899425998</v>
      </c>
      <c r="BF86" s="1608">
        <v>0</v>
      </c>
      <c r="BG86" s="1609">
        <f t="shared" si="88"/>
        <v>855.6551899425998</v>
      </c>
      <c r="BI86" s="1605">
        <f t="shared" si="89"/>
        <v>471.19383124565587</v>
      </c>
      <c r="BJ86" s="1606">
        <f t="shared" si="90"/>
        <v>379.30851429483613</v>
      </c>
      <c r="BK86" s="1607">
        <f t="shared" si="91"/>
        <v>5.1528444021078155</v>
      </c>
      <c r="BL86" s="1606">
        <f t="shared" si="61"/>
        <v>855.6551899425998</v>
      </c>
      <c r="BM86" s="1608">
        <v>0</v>
      </c>
      <c r="BN86" s="1609">
        <f t="shared" si="92"/>
        <v>855.6551899425998</v>
      </c>
    </row>
    <row r="87" spans="1:66" ht="13.15" customHeight="1" thickBot="1">
      <c r="A87" s="876">
        <f>'Input data'!A117</f>
        <v>2017</v>
      </c>
      <c r="B87" s="877">
        <f>'Input data'!B117</f>
        <v>56.521948041648095</v>
      </c>
      <c r="C87" s="877">
        <f>'Baseline data (from input)'!B73</f>
        <v>424.26313389388866</v>
      </c>
      <c r="D87" s="878">
        <f>'Baseline data (from input)'!T73</f>
        <v>0.46471844811027063</v>
      </c>
      <c r="E87" s="878">
        <f t="shared" si="93"/>
        <v>0.24001298204245269</v>
      </c>
      <c r="F87" s="878">
        <f t="shared" si="94"/>
        <v>0.30440139352934503</v>
      </c>
      <c r="G87" s="878">
        <f t="shared" si="95"/>
        <v>5.8998240613430578E-2</v>
      </c>
      <c r="H87" s="878">
        <f t="shared" si="96"/>
        <v>0</v>
      </c>
      <c r="I87" s="878">
        <f t="shared" si="97"/>
        <v>0</v>
      </c>
      <c r="J87" s="878">
        <f t="shared" si="98"/>
        <v>0</v>
      </c>
      <c r="K87" s="878">
        <f t="shared" si="99"/>
        <v>0.39658738381477154</v>
      </c>
      <c r="L87" s="879">
        <f t="shared" si="100"/>
        <v>0.99999999999999989</v>
      </c>
      <c r="M87" s="198"/>
      <c r="N87" s="892">
        <f>B87*C87*D87</f>
        <v>11144.031481960794</v>
      </c>
      <c r="O87" s="893">
        <f>Parameters!R188</f>
        <v>0.73</v>
      </c>
      <c r="P87" s="89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894">
        <f t="shared" si="62"/>
        <v>490.06720511717509</v>
      </c>
      <c r="R87" s="894">
        <f t="shared" si="63"/>
        <v>490.06720511717509</v>
      </c>
      <c r="S87" s="895">
        <f t="shared" si="64"/>
        <v>0</v>
      </c>
      <c r="T87" s="894">
        <f t="shared" si="65"/>
        <v>14125.96790469882</v>
      </c>
      <c r="U87" s="894">
        <f t="shared" si="66"/>
        <v>699.12757894214405</v>
      </c>
      <c r="V87" s="898">
        <f t="shared" si="67"/>
        <v>466.08505262809604</v>
      </c>
      <c r="W87" s="1451">
        <f t="shared" si="58"/>
        <v>2.197312110627072E-2</v>
      </c>
      <c r="X87" s="891">
        <f>'Baseline data (from input)'!AS73*W87</f>
        <v>1503.8340000000005</v>
      </c>
      <c r="Y87" s="885">
        <f>Parameters!S188</f>
        <v>0.71500000000000008</v>
      </c>
      <c r="Z87" s="885">
        <f t="shared" si="68"/>
        <v>0.4</v>
      </c>
      <c r="AA87" s="884">
        <f t="shared" si="69"/>
        <v>215.04826200000011</v>
      </c>
      <c r="AB87" s="884">
        <f t="shared" si="70"/>
        <v>215.04826200000011</v>
      </c>
      <c r="AC87" s="886">
        <f t="shared" si="71"/>
        <v>0</v>
      </c>
      <c r="AD87" s="884">
        <f t="shared" si="72"/>
        <v>10972.921122320347</v>
      </c>
      <c r="AE87" s="884">
        <f t="shared" si="73"/>
        <v>551.56793622249791</v>
      </c>
      <c r="AF87" s="897">
        <f t="shared" si="74"/>
        <v>367.71195748166525</v>
      </c>
      <c r="AG87" s="1449">
        <f t="shared" si="59"/>
        <v>2.197312110627072E-2</v>
      </c>
      <c r="AH87" s="891">
        <f>'Baseline data (from input)'!AS73*AG87</f>
        <v>1503.8340000000005</v>
      </c>
      <c r="AI87" s="893">
        <f>Parameters!S188</f>
        <v>0.71500000000000008</v>
      </c>
      <c r="AJ87" s="893">
        <f t="shared" si="75"/>
        <v>0.4</v>
      </c>
      <c r="AK87" s="894">
        <f t="shared" si="76"/>
        <v>215.04826200000011</v>
      </c>
      <c r="AL87" s="894">
        <f t="shared" si="77"/>
        <v>215.04826200000011</v>
      </c>
      <c r="AM87" s="895">
        <f t="shared" si="78"/>
        <v>0</v>
      </c>
      <c r="AN87" s="894">
        <f t="shared" si="79"/>
        <v>10972.921122320347</v>
      </c>
      <c r="AO87" s="894">
        <f t="shared" si="80"/>
        <v>551.56793622249791</v>
      </c>
      <c r="AP87" s="898">
        <f t="shared" si="81"/>
        <v>367.71195748166525</v>
      </c>
      <c r="AQ87" s="99"/>
      <c r="AR87" s="891">
        <v>501</v>
      </c>
      <c r="AS87" s="885">
        <v>1</v>
      </c>
      <c r="AT87" s="885">
        <f t="shared" si="82"/>
        <v>0.05</v>
      </c>
      <c r="AU87" s="884">
        <f t="shared" si="83"/>
        <v>12.525</v>
      </c>
      <c r="AV87" s="884">
        <f t="shared" si="84"/>
        <v>12.525</v>
      </c>
      <c r="AW87" s="886">
        <f t="shared" si="85"/>
        <v>0</v>
      </c>
      <c r="AX87" s="884">
        <f t="shared" si="51"/>
        <v>142.03657239121691</v>
      </c>
      <c r="AY87" s="884">
        <f t="shared" si="54"/>
        <v>8.0085483743321948</v>
      </c>
      <c r="AZ87" s="897">
        <f t="shared" si="52"/>
        <v>5.3390322495547968</v>
      </c>
      <c r="BB87" s="1610">
        <f t="shared" si="86"/>
        <v>466.08505262809604</v>
      </c>
      <c r="BC87" s="1611">
        <f t="shared" si="87"/>
        <v>367.71195748166525</v>
      </c>
      <c r="BD87" s="1612">
        <f t="shared" si="53"/>
        <v>5.3390322495547968</v>
      </c>
      <c r="BE87" s="1611">
        <f t="shared" si="60"/>
        <v>839.13604235931598</v>
      </c>
      <c r="BF87" s="1613">
        <v>0</v>
      </c>
      <c r="BG87" s="1614">
        <f t="shared" si="88"/>
        <v>839.13604235931598</v>
      </c>
      <c r="BI87" s="1610">
        <f t="shared" si="89"/>
        <v>466.08505262809604</v>
      </c>
      <c r="BJ87" s="1611">
        <f t="shared" si="90"/>
        <v>367.71195748166525</v>
      </c>
      <c r="BK87" s="1612">
        <f t="shared" si="91"/>
        <v>5.3390322495547968</v>
      </c>
      <c r="BL87" s="1611">
        <f t="shared" si="61"/>
        <v>839.13604235931598</v>
      </c>
      <c r="BM87" s="1613">
        <v>0</v>
      </c>
      <c r="BN87" s="1614">
        <f t="shared" si="92"/>
        <v>839.13604235931598</v>
      </c>
    </row>
    <row r="88" spans="1:66">
      <c r="A88" s="926">
        <f>'Input data'!A118</f>
        <v>2018</v>
      </c>
      <c r="B88" s="820">
        <f>'Input data'!B118</f>
        <v>57.436000617299655</v>
      </c>
      <c r="C88" s="820">
        <f>'Recycling - Case 1'!AK98/B88</f>
        <v>414.20273820739789</v>
      </c>
      <c r="D88" s="822">
        <f>'Recycling - Case 1'!AM98</f>
        <v>0.44410843278927503</v>
      </c>
      <c r="E88" s="822">
        <f>'Recycling - Case 1'!BE98</f>
        <v>0.23448457502104542</v>
      </c>
      <c r="F88" s="822">
        <f>'Recycling - Case 1'!BF98</f>
        <v>0.29738987778968334</v>
      </c>
      <c r="G88" s="822">
        <f>'Recycling - Case 1'!BG98</f>
        <v>6.0622157920435092E-2</v>
      </c>
      <c r="H88" s="822">
        <f>'Recycling - Case 1'!BH98</f>
        <v>0</v>
      </c>
      <c r="I88" s="822">
        <f>'Recycling - Case 1'!BI98</f>
        <v>0</v>
      </c>
      <c r="J88" s="822">
        <f>'Recycling - Case 1'!BJ98</f>
        <v>0</v>
      </c>
      <c r="K88" s="822">
        <f>'Recycling - Case 1'!BK98</f>
        <v>0.4075033892688365</v>
      </c>
      <c r="L88" s="823">
        <f t="shared" si="100"/>
        <v>1.0000000000000004</v>
      </c>
      <c r="M88" s="99"/>
      <c r="N88" s="1015">
        <f>B88*C88*D88</f>
        <v>10565.405667134863</v>
      </c>
      <c r="O88" s="1016">
        <f>Parameters!R189</f>
        <v>0.74038461538461531</v>
      </c>
      <c r="P88" s="1017">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836">
        <f t="shared" si="62"/>
        <v>465.04361566221581</v>
      </c>
      <c r="R88" s="836">
        <f t="shared" si="63"/>
        <v>465.04361566221581</v>
      </c>
      <c r="S88" s="837">
        <f t="shared" si="64"/>
        <v>0</v>
      </c>
      <c r="T88" s="836">
        <f t="shared" si="65"/>
        <v>13902.079936164433</v>
      </c>
      <c r="U88" s="836">
        <f t="shared" si="66"/>
        <v>688.93158419660449</v>
      </c>
      <c r="V88" s="1018">
        <f t="shared" si="67"/>
        <v>459.28772279773631</v>
      </c>
      <c r="W88" s="1449"/>
      <c r="X88" s="1019">
        <f>'Recycling - Case 1'!AM138</f>
        <v>1195.5253272030761</v>
      </c>
      <c r="Y88" s="1020">
        <f>Parameters!S189</f>
        <v>0.71500000000000008</v>
      </c>
      <c r="Z88" s="1021">
        <f t="shared" si="68"/>
        <v>0.4</v>
      </c>
      <c r="AA88" s="1022">
        <f t="shared" si="69"/>
        <v>170.96012179003992</v>
      </c>
      <c r="AB88" s="1022">
        <f t="shared" si="70"/>
        <v>170.96012179003992</v>
      </c>
      <c r="AC88" s="1023">
        <f t="shared" si="71"/>
        <v>0</v>
      </c>
      <c r="AD88" s="1022">
        <f t="shared" si="72"/>
        <v>10608.725566066552</v>
      </c>
      <c r="AE88" s="1022">
        <f t="shared" si="73"/>
        <v>535.15567804383443</v>
      </c>
      <c r="AF88" s="1024">
        <f t="shared" si="74"/>
        <v>356.77045202922295</v>
      </c>
      <c r="AG88" s="99"/>
      <c r="AH88" s="1019">
        <f>'Recycling - Case 1'!AM178</f>
        <v>1195.5253272030761</v>
      </c>
      <c r="AI88" s="1020">
        <f>Parameters!S189</f>
        <v>0.71500000000000008</v>
      </c>
      <c r="AJ88" s="1021">
        <f t="shared" si="75"/>
        <v>0.4</v>
      </c>
      <c r="AK88" s="1022">
        <f t="shared" si="76"/>
        <v>170.96012179003992</v>
      </c>
      <c r="AL88" s="1022">
        <f t="shared" si="77"/>
        <v>170.96012179003992</v>
      </c>
      <c r="AM88" s="1023">
        <f t="shared" si="78"/>
        <v>0</v>
      </c>
      <c r="AN88" s="1022">
        <f t="shared" si="79"/>
        <v>10608.725566066552</v>
      </c>
      <c r="AO88" s="1022">
        <f t="shared" si="80"/>
        <v>535.15567804383443</v>
      </c>
      <c r="AP88" s="1024">
        <f t="shared" si="81"/>
        <v>356.77045202922295</v>
      </c>
      <c r="AQ88" s="99"/>
      <c r="AR88" s="1060">
        <f>'Recycling - Case 1'!G98</f>
        <v>513.23849841295737</v>
      </c>
      <c r="AS88" s="1061">
        <v>1</v>
      </c>
      <c r="AT88" s="1062">
        <f t="shared" si="82"/>
        <v>0.05</v>
      </c>
      <c r="AU88" s="1039">
        <f t="shared" si="83"/>
        <v>12.830962460323935</v>
      </c>
      <c r="AV88" s="1039">
        <f t="shared" si="84"/>
        <v>12.830962460323935</v>
      </c>
      <c r="AW88" s="1040">
        <f t="shared" si="85"/>
        <v>0</v>
      </c>
      <c r="AX88" s="1039">
        <f t="shared" si="51"/>
        <v>146.5959688102437</v>
      </c>
      <c r="AY88" s="1039">
        <f t="shared" si="54"/>
        <v>8.2715660412971381</v>
      </c>
      <c r="AZ88" s="1063">
        <f t="shared" si="52"/>
        <v>5.514377360864759</v>
      </c>
      <c r="BB88" s="1052">
        <f t="shared" si="86"/>
        <v>459.28772279773631</v>
      </c>
      <c r="BC88" s="1053">
        <f t="shared" si="87"/>
        <v>356.77045202922295</v>
      </c>
      <c r="BD88" s="1081">
        <f>AZ88</f>
        <v>5.514377360864759</v>
      </c>
      <c r="BE88" s="1053">
        <f t="shared" si="60"/>
        <v>821.57255218782393</v>
      </c>
      <c r="BF88" s="1054">
        <v>0</v>
      </c>
      <c r="BG88" s="1074">
        <f t="shared" si="88"/>
        <v>821.57255218782393</v>
      </c>
      <c r="BI88" s="1052">
        <f t="shared" si="89"/>
        <v>459.28772279773631</v>
      </c>
      <c r="BJ88" s="1053">
        <f t="shared" si="90"/>
        <v>356.77045202922295</v>
      </c>
      <c r="BK88" s="1081">
        <f t="shared" si="91"/>
        <v>5.514377360864759</v>
      </c>
      <c r="BL88" s="1053">
        <f t="shared" si="61"/>
        <v>821.57255218782393</v>
      </c>
      <c r="BM88" s="1054">
        <v>0</v>
      </c>
      <c r="BN88" s="1074">
        <f t="shared" si="92"/>
        <v>821.57255218782393</v>
      </c>
    </row>
    <row r="89" spans="1:66">
      <c r="A89" s="927">
        <f>'Input data'!A119</f>
        <v>2019</v>
      </c>
      <c r="B89" s="824">
        <f>'Input data'!B119</f>
        <v>58.364834921819444</v>
      </c>
      <c r="C89" s="824">
        <f>'Recycling - Case 1'!AK99/B89</f>
        <v>403.99763499946062</v>
      </c>
      <c r="D89" s="826">
        <f>'Recycling - Case 1'!AM99</f>
        <v>0.42481509385367977</v>
      </c>
      <c r="E89" s="826">
        <f>'Recycling - Case 1'!BE99</f>
        <v>0.22883422925357205</v>
      </c>
      <c r="F89" s="826">
        <f>'Recycling - Case 1'!BF99</f>
        <v>0.29022371073111447</v>
      </c>
      <c r="G89" s="826">
        <f>'Recycling - Case 1'!BG99</f>
        <v>6.2281893581508638E-2</v>
      </c>
      <c r="H89" s="826">
        <f>'Recycling - Case 1'!BH99</f>
        <v>0</v>
      </c>
      <c r="I89" s="826">
        <f>'Recycling - Case 1'!BI99</f>
        <v>0</v>
      </c>
      <c r="J89" s="826">
        <f>'Recycling - Case 1'!BJ99</f>
        <v>0</v>
      </c>
      <c r="K89" s="826">
        <f>'Recycling - Case 1'!BK99</f>
        <v>0.41866016643380499</v>
      </c>
      <c r="L89" s="827">
        <f t="shared" si="100"/>
        <v>1</v>
      </c>
      <c r="M89" s="99"/>
      <c r="N89" s="838">
        <f t="shared" si="57"/>
        <v>10016.823542882215</v>
      </c>
      <c r="O89" s="833">
        <f>Parameters!R190</f>
        <v>0.75076923076923063</v>
      </c>
      <c r="P89" s="834">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832">
        <f t="shared" si="62"/>
        <v>441.0016393508962</v>
      </c>
      <c r="R89" s="832">
        <f t="shared" si="63"/>
        <v>441.0016393508962</v>
      </c>
      <c r="S89" s="835">
        <f t="shared" si="64"/>
        <v>0</v>
      </c>
      <c r="T89" s="832">
        <f t="shared" si="65"/>
        <v>13665.069136391512</v>
      </c>
      <c r="U89" s="832">
        <f t="shared" si="66"/>
        <v>678.01243912381631</v>
      </c>
      <c r="V89" s="839">
        <f t="shared" si="67"/>
        <v>452.00829274921085</v>
      </c>
      <c r="W89" s="1449"/>
      <c r="X89" s="1025">
        <f>'Recycling - Case 1'!AM139</f>
        <v>1058.2295129778754</v>
      </c>
      <c r="Y89" s="1026">
        <f>Parameters!S190</f>
        <v>0.71500000000000008</v>
      </c>
      <c r="Z89" s="1027">
        <f t="shared" si="68"/>
        <v>0.4</v>
      </c>
      <c r="AA89" s="1028">
        <f t="shared" si="69"/>
        <v>151.32682035583619</v>
      </c>
      <c r="AB89" s="1028">
        <f t="shared" si="70"/>
        <v>151.32682035583619</v>
      </c>
      <c r="AC89" s="1029">
        <f t="shared" si="71"/>
        <v>0</v>
      </c>
      <c r="AD89" s="1028">
        <f t="shared" si="72"/>
        <v>10242.658735251334</v>
      </c>
      <c r="AE89" s="1028">
        <f t="shared" si="73"/>
        <v>517.39365117105422</v>
      </c>
      <c r="AF89" s="1030">
        <f t="shared" si="74"/>
        <v>344.92910078070281</v>
      </c>
      <c r="AG89" s="99"/>
      <c r="AH89" s="1025">
        <f>'Recycling - Case 1'!AM179</f>
        <v>1058.2295129778754</v>
      </c>
      <c r="AI89" s="1026">
        <f>Parameters!S190</f>
        <v>0.71500000000000008</v>
      </c>
      <c r="AJ89" s="1027">
        <f t="shared" si="75"/>
        <v>0.4</v>
      </c>
      <c r="AK89" s="1028">
        <f t="shared" si="76"/>
        <v>151.32682035583619</v>
      </c>
      <c r="AL89" s="1028">
        <f t="shared" si="77"/>
        <v>151.32682035583619</v>
      </c>
      <c r="AM89" s="1029">
        <f t="shared" si="78"/>
        <v>0</v>
      </c>
      <c r="AN89" s="1028">
        <f t="shared" si="79"/>
        <v>10242.658735251334</v>
      </c>
      <c r="AO89" s="1028">
        <f t="shared" si="80"/>
        <v>517.39365117105422</v>
      </c>
      <c r="AP89" s="1030">
        <f t="shared" si="81"/>
        <v>344.92910078070281</v>
      </c>
      <c r="AQ89" s="99"/>
      <c r="AR89" s="1064">
        <f>'Recycling - Case 1'!G99</f>
        <v>525.74180751182632</v>
      </c>
      <c r="AS89" s="1065">
        <v>1</v>
      </c>
      <c r="AT89" s="1066">
        <f t="shared" si="82"/>
        <v>0.05</v>
      </c>
      <c r="AU89" s="1044">
        <f t="shared" si="83"/>
        <v>13.14354518779566</v>
      </c>
      <c r="AV89" s="1044">
        <f t="shared" si="84"/>
        <v>13.14354518779566</v>
      </c>
      <c r="AW89" s="1045">
        <f t="shared" si="85"/>
        <v>0</v>
      </c>
      <c r="AX89" s="1044">
        <f t="shared" si="51"/>
        <v>151.2024293797059</v>
      </c>
      <c r="AY89" s="1044">
        <f t="shared" si="54"/>
        <v>8.5370846183334699</v>
      </c>
      <c r="AZ89" s="1067">
        <f t="shared" si="52"/>
        <v>5.6913897455556466</v>
      </c>
      <c r="BB89" s="1055">
        <f t="shared" si="86"/>
        <v>452.00829274921085</v>
      </c>
      <c r="BC89" s="1056">
        <f t="shared" si="87"/>
        <v>344.92910078070281</v>
      </c>
      <c r="BD89" s="1082">
        <f t="shared" ref="BD89:BD120" si="101">AZ89</f>
        <v>5.6913897455556466</v>
      </c>
      <c r="BE89" s="1056">
        <f t="shared" si="60"/>
        <v>802.62878327546923</v>
      </c>
      <c r="BF89" s="167">
        <v>0</v>
      </c>
      <c r="BG89" s="1075">
        <f t="shared" si="88"/>
        <v>802.62878327546923</v>
      </c>
      <c r="BI89" s="1055">
        <f t="shared" si="89"/>
        <v>452.00829274921085</v>
      </c>
      <c r="BJ89" s="1056">
        <f t="shared" si="90"/>
        <v>344.92910078070281</v>
      </c>
      <c r="BK89" s="1082">
        <f t="shared" si="91"/>
        <v>5.6913897455556466</v>
      </c>
      <c r="BL89" s="1056">
        <f t="shared" si="61"/>
        <v>802.62878327546923</v>
      </c>
      <c r="BM89" s="167">
        <v>0</v>
      </c>
      <c r="BN89" s="1075">
        <f t="shared" si="92"/>
        <v>802.62878327546923</v>
      </c>
    </row>
    <row r="90" spans="1:66">
      <c r="A90" s="927">
        <f>'Input data'!A120</f>
        <v>2020</v>
      </c>
      <c r="B90" s="824">
        <f>'Input data'!B120</f>
        <v>59.308690000000006</v>
      </c>
      <c r="C90" s="824">
        <f>'Recycling - Case 1'!AK100/B90</f>
        <v>394.54747036689599</v>
      </c>
      <c r="D90" s="826">
        <f>'Recycling - Case 1'!AM100</f>
        <v>0.40584133227313579</v>
      </c>
      <c r="E90" s="826">
        <f>'Recycling - Case 1'!BE100</f>
        <v>0.22306252191072812</v>
      </c>
      <c r="F90" s="826">
        <f>'Recycling - Case 1'!BF100</f>
        <v>0.28290362436222583</v>
      </c>
      <c r="G90" s="826">
        <f>'Recycling - Case 1'!BG100</f>
        <v>6.3977278058215084E-2</v>
      </c>
      <c r="H90" s="826">
        <f>'Recycling - Case 1'!BH100</f>
        <v>0</v>
      </c>
      <c r="I90" s="826">
        <f>'Recycling - Case 1'!BI100</f>
        <v>0</v>
      </c>
      <c r="J90" s="826">
        <f>'Recycling - Case 1'!BJ100</f>
        <v>0</v>
      </c>
      <c r="K90" s="826">
        <f>'Recycling - Case 1'!BK100</f>
        <v>0.43005657566883099</v>
      </c>
      <c r="L90" s="827">
        <f t="shared" si="100"/>
        <v>1</v>
      </c>
      <c r="M90" s="99"/>
      <c r="N90" s="838">
        <f t="shared" si="57"/>
        <v>9496.7251661098635</v>
      </c>
      <c r="O90" s="833">
        <f>Parameters!R191</f>
        <v>0.76115384615384596</v>
      </c>
      <c r="P90" s="834">
        <f>E90*'MSW characteristics'!$B$28+'MSW characteristics'!$B$29*'4A SWD Case 1'!F90+'4A SWD Case 1'!G90*'MSW characteristics'!$B$30+'MSW characteristics'!$B$31*'4A SWD Case 1'!H90+'4A SWD Case 1'!I90*'MSW characteristics'!$B$32+'MSW characteristics'!$B$33*'4A SWD Case 1'!J90+'4A SWD Case 1'!K90*'MSW characteristics'!$B$35</f>
        <v>0.11563101438234043</v>
      </c>
      <c r="Q90" s="832">
        <f t="shared" si="62"/>
        <v>417.91759486260537</v>
      </c>
      <c r="R90" s="832">
        <f t="shared" si="63"/>
        <v>417.91759486260537</v>
      </c>
      <c r="S90" s="835">
        <f t="shared" si="64"/>
        <v>0</v>
      </c>
      <c r="T90" s="832">
        <f t="shared" si="65"/>
        <v>13416.533445234772</v>
      </c>
      <c r="U90" s="832">
        <f t="shared" si="66"/>
        <v>666.453286019345</v>
      </c>
      <c r="V90" s="839">
        <f t="shared" si="67"/>
        <v>444.30219067956335</v>
      </c>
      <c r="W90" s="1449"/>
      <c r="X90" s="1025">
        <f>'Recycling - Case 1'!AM140</f>
        <v>980.28715747423735</v>
      </c>
      <c r="Y90" s="1026">
        <f>Parameters!S191</f>
        <v>0.71500000000000008</v>
      </c>
      <c r="Z90" s="1027">
        <f t="shared" si="68"/>
        <v>0.4</v>
      </c>
      <c r="AA90" s="1028">
        <f t="shared" si="69"/>
        <v>140.18106351881596</v>
      </c>
      <c r="AB90" s="1028">
        <f t="shared" si="70"/>
        <v>140.18106351881596</v>
      </c>
      <c r="AC90" s="1029">
        <f t="shared" si="71"/>
        <v>0</v>
      </c>
      <c r="AD90" s="1028">
        <f t="shared" si="72"/>
        <v>9883.2994376091538</v>
      </c>
      <c r="AE90" s="1028">
        <f t="shared" si="73"/>
        <v>499.54036116099627</v>
      </c>
      <c r="AF90" s="1030">
        <f t="shared" si="74"/>
        <v>333.02690744066416</v>
      </c>
      <c r="AG90" s="104"/>
      <c r="AH90" s="1025">
        <f>'Recycling - Case 1'!AM180</f>
        <v>980.28715747423735</v>
      </c>
      <c r="AI90" s="1026">
        <f>Parameters!S191</f>
        <v>0.71500000000000008</v>
      </c>
      <c r="AJ90" s="1027">
        <f t="shared" si="75"/>
        <v>0.4</v>
      </c>
      <c r="AK90" s="1028">
        <f t="shared" si="76"/>
        <v>140.18106351881596</v>
      </c>
      <c r="AL90" s="1028">
        <f t="shared" si="77"/>
        <v>140.18106351881596</v>
      </c>
      <c r="AM90" s="1029">
        <f t="shared" si="78"/>
        <v>0</v>
      </c>
      <c r="AN90" s="1028">
        <f t="shared" si="79"/>
        <v>9883.2994376091538</v>
      </c>
      <c r="AO90" s="1028">
        <f t="shared" si="80"/>
        <v>499.54036116099627</v>
      </c>
      <c r="AP90" s="1030">
        <f t="shared" si="81"/>
        <v>333.02690744066416</v>
      </c>
      <c r="AQ90" s="104"/>
      <c r="AR90" s="1064">
        <f>'Recycling - Case 1'!G100</f>
        <v>538.51529150686906</v>
      </c>
      <c r="AS90" s="1065">
        <v>1</v>
      </c>
      <c r="AT90" s="1066">
        <f t="shared" si="82"/>
        <v>0.05</v>
      </c>
      <c r="AU90" s="1044">
        <f t="shared" si="83"/>
        <v>13.462882287671727</v>
      </c>
      <c r="AV90" s="1044">
        <f t="shared" si="84"/>
        <v>13.462882287671727</v>
      </c>
      <c r="AW90" s="1045">
        <f t="shared" si="85"/>
        <v>0</v>
      </c>
      <c r="AX90" s="1044">
        <f t="shared" si="51"/>
        <v>155.85996766925578</v>
      </c>
      <c r="AY90" s="1044">
        <f t="shared" si="54"/>
        <v>8.8053439981218684</v>
      </c>
      <c r="AZ90" s="1067">
        <f t="shared" si="52"/>
        <v>5.8702293320812453</v>
      </c>
      <c r="BB90" s="1055">
        <f t="shared" si="86"/>
        <v>444.30219067956335</v>
      </c>
      <c r="BC90" s="1056">
        <f t="shared" si="87"/>
        <v>333.02690744066416</v>
      </c>
      <c r="BD90" s="1082">
        <f t="shared" si="101"/>
        <v>5.8702293320812453</v>
      </c>
      <c r="BE90" s="1056">
        <f t="shared" si="60"/>
        <v>783.19932745230881</v>
      </c>
      <c r="BF90" s="167">
        <v>0</v>
      </c>
      <c r="BG90" s="1075">
        <f t="shared" si="88"/>
        <v>783.19932745230881</v>
      </c>
      <c r="BI90" s="1055">
        <f t="shared" si="89"/>
        <v>444.30219067956335</v>
      </c>
      <c r="BJ90" s="1056">
        <f t="shared" si="90"/>
        <v>333.02690744066416</v>
      </c>
      <c r="BK90" s="1082">
        <f t="shared" si="91"/>
        <v>5.8702293320812453</v>
      </c>
      <c r="BL90" s="1056">
        <f t="shared" si="61"/>
        <v>783.19932745230881</v>
      </c>
      <c r="BM90" s="167">
        <v>0</v>
      </c>
      <c r="BN90" s="1075">
        <f t="shared" si="92"/>
        <v>783.19932745230881</v>
      </c>
    </row>
    <row r="91" spans="1:66">
      <c r="A91" s="927">
        <f>'Input data'!A121</f>
        <v>2021</v>
      </c>
      <c r="B91" s="824">
        <f>'Input data'!B121</f>
        <v>59.991580449204264</v>
      </c>
      <c r="C91" s="824">
        <f>'Recycling - Case 1'!AK101/B91</f>
        <v>387.06124919664796</v>
      </c>
      <c r="D91" s="826">
        <f>'Recycling - Case 1'!AM101</f>
        <v>0.38774635057032381</v>
      </c>
      <c r="E91" s="826">
        <f>'Recycling - Case 1'!BE101</f>
        <v>0.21705315966083133</v>
      </c>
      <c r="F91" s="826">
        <f>'Recycling - Case 1'!BF101</f>
        <v>0.27528212727684037</v>
      </c>
      <c r="G91" s="826">
        <f>'Recycling - Case 1'!BG101</f>
        <v>6.5742471417509829E-2</v>
      </c>
      <c r="H91" s="826">
        <f>'Recycling - Case 1'!BH101</f>
        <v>0</v>
      </c>
      <c r="I91" s="826">
        <f>'Recycling - Case 1'!BI101</f>
        <v>0</v>
      </c>
      <c r="J91" s="826">
        <f>'Recycling - Case 1'!BJ101</f>
        <v>0</v>
      </c>
      <c r="K91" s="826">
        <f>'Recycling - Case 1'!BK101</f>
        <v>0.44192224164481869</v>
      </c>
      <c r="L91" s="827">
        <f t="shared" si="100"/>
        <v>1.0000000000000002</v>
      </c>
      <c r="M91" s="104"/>
      <c r="N91" s="838">
        <f t="shared" si="57"/>
        <v>9003.6315898476932</v>
      </c>
      <c r="O91" s="833">
        <f>Parameters!R192</f>
        <v>0.7715384615384614</v>
      </c>
      <c r="P91" s="834">
        <f>E91*'MSW characteristics'!$B$28+'MSW characteristics'!$B$29*'4A SWD Case 1'!F91+'4A SWD Case 1'!G91*'MSW characteristics'!$B$30+'MSW characteristics'!$B$31*'4A SWD Case 1'!H91+'4A SWD Case 1'!I91*'MSW characteristics'!$B$32+'MSW characteristics'!$B$33*'4A SWD Case 1'!J91+'4A SWD Case 1'!K91*'MSW characteristics'!$B$35</f>
        <v>0.11391138797149672</v>
      </c>
      <c r="Q91" s="832">
        <f t="shared" si="62"/>
        <v>395.65116142196723</v>
      </c>
      <c r="R91" s="832">
        <f t="shared" si="63"/>
        <v>395.65116142196723</v>
      </c>
      <c r="S91" s="835">
        <f t="shared" si="64"/>
        <v>0</v>
      </c>
      <c r="T91" s="832">
        <f t="shared" si="65"/>
        <v>13157.852549327221</v>
      </c>
      <c r="U91" s="832">
        <f t="shared" si="66"/>
        <v>654.33205732951797</v>
      </c>
      <c r="V91" s="839">
        <f t="shared" si="67"/>
        <v>436.22137155301198</v>
      </c>
      <c r="W91" s="1449"/>
      <c r="X91" s="1025">
        <f>'Recycling - Case 1'!AM141</f>
        <v>758.96005068566637</v>
      </c>
      <c r="Y91" s="1026">
        <f>Parameters!S192</f>
        <v>0.71500000000000008</v>
      </c>
      <c r="Z91" s="1027">
        <f t="shared" si="68"/>
        <v>0.4</v>
      </c>
      <c r="AA91" s="1028">
        <f t="shared" si="69"/>
        <v>108.5312872480503</v>
      </c>
      <c r="AB91" s="1028">
        <f t="shared" si="70"/>
        <v>108.5312872480503</v>
      </c>
      <c r="AC91" s="1029">
        <f t="shared" si="71"/>
        <v>0</v>
      </c>
      <c r="AD91" s="1028">
        <f t="shared" si="72"/>
        <v>9509.8165234532353</v>
      </c>
      <c r="AE91" s="1028">
        <f t="shared" si="73"/>
        <v>482.01420140396795</v>
      </c>
      <c r="AF91" s="1030">
        <f t="shared" si="74"/>
        <v>321.34280093597863</v>
      </c>
      <c r="AG91" s="104"/>
      <c r="AH91" s="1025">
        <f>'Recycling - Case 1'!AM181</f>
        <v>758.96005068566637</v>
      </c>
      <c r="AI91" s="1026">
        <f>Parameters!S192</f>
        <v>0.71500000000000008</v>
      </c>
      <c r="AJ91" s="1027">
        <f t="shared" si="75"/>
        <v>0.4</v>
      </c>
      <c r="AK91" s="1028">
        <f t="shared" si="76"/>
        <v>108.5312872480503</v>
      </c>
      <c r="AL91" s="1028">
        <f t="shared" si="77"/>
        <v>108.5312872480503</v>
      </c>
      <c r="AM91" s="1029">
        <f t="shared" si="78"/>
        <v>0</v>
      </c>
      <c r="AN91" s="1028">
        <f t="shared" si="79"/>
        <v>9509.8165234532353</v>
      </c>
      <c r="AO91" s="1028">
        <f t="shared" si="80"/>
        <v>482.01420140396795</v>
      </c>
      <c r="AP91" s="1030">
        <f t="shared" si="81"/>
        <v>321.34280093597863</v>
      </c>
      <c r="AQ91" s="104"/>
      <c r="AR91" s="1064">
        <f>'Recycling - Case 1'!G101</f>
        <v>549.0364074270924</v>
      </c>
      <c r="AS91" s="1065">
        <v>1</v>
      </c>
      <c r="AT91" s="1066">
        <f t="shared" si="82"/>
        <v>0.05</v>
      </c>
      <c r="AU91" s="1044">
        <f t="shared" si="83"/>
        <v>13.725910185677311</v>
      </c>
      <c r="AV91" s="1044">
        <f t="shared" si="84"/>
        <v>13.725910185677311</v>
      </c>
      <c r="AW91" s="1045">
        <f t="shared" si="85"/>
        <v>0</v>
      </c>
      <c r="AX91" s="1044">
        <f t="shared" si="51"/>
        <v>160.50929994217009</v>
      </c>
      <c r="AY91" s="1044">
        <f t="shared" si="54"/>
        <v>9.0765779127630246</v>
      </c>
      <c r="AZ91" s="1067">
        <f t="shared" si="52"/>
        <v>6.0510519418420161</v>
      </c>
      <c r="BB91" s="1055">
        <f t="shared" si="86"/>
        <v>436.22137155301198</v>
      </c>
      <c r="BC91" s="1056">
        <f t="shared" si="87"/>
        <v>321.34280093597863</v>
      </c>
      <c r="BD91" s="1082">
        <f t="shared" si="101"/>
        <v>6.0510519418420161</v>
      </c>
      <c r="BE91" s="1056">
        <f t="shared" si="60"/>
        <v>763.61522443083265</v>
      </c>
      <c r="BF91" s="167">
        <v>0</v>
      </c>
      <c r="BG91" s="1075">
        <f t="shared" si="88"/>
        <v>763.61522443083265</v>
      </c>
      <c r="BI91" s="1055">
        <f t="shared" si="89"/>
        <v>436.22137155301198</v>
      </c>
      <c r="BJ91" s="1056">
        <f t="shared" si="90"/>
        <v>321.34280093597863</v>
      </c>
      <c r="BK91" s="1082">
        <f t="shared" si="91"/>
        <v>6.0510519418420161</v>
      </c>
      <c r="BL91" s="1056">
        <f t="shared" si="61"/>
        <v>763.61522443083265</v>
      </c>
      <c r="BM91" s="167">
        <v>0</v>
      </c>
      <c r="BN91" s="1075">
        <f t="shared" si="92"/>
        <v>763.61522443083265</v>
      </c>
    </row>
    <row r="92" spans="1:66">
      <c r="A92" s="927">
        <f>'Input data'!A122</f>
        <v>2022</v>
      </c>
      <c r="B92" s="824">
        <f>'Input data'!B122</f>
        <v>60.682333816399378</v>
      </c>
      <c r="C92" s="824">
        <f>'Recycling - Case 1'!AK102/B92</f>
        <v>380.16515274375075</v>
      </c>
      <c r="D92" s="826">
        <f>'Recycling - Case 1'!AM102</f>
        <v>0.37002151937867211</v>
      </c>
      <c r="E92" s="826">
        <f>'Recycling - Case 1'!BE102</f>
        <v>0.21085401693981362</v>
      </c>
      <c r="F92" s="826">
        <f>'Recycling - Case 1'!BF102</f>
        <v>0.26741993721150753</v>
      </c>
      <c r="G92" s="826">
        <f>'Recycling - Case 1'!BG102</f>
        <v>6.7563410996355919E-2</v>
      </c>
      <c r="H92" s="826">
        <f>'Recycling - Case 1'!BH102</f>
        <v>0</v>
      </c>
      <c r="I92" s="826">
        <f>'Recycling - Case 1'!BI102</f>
        <v>0</v>
      </c>
      <c r="J92" s="826">
        <f>'Recycling - Case 1'!BJ102</f>
        <v>0</v>
      </c>
      <c r="K92" s="826">
        <f>'Recycling - Case 1'!BK102</f>
        <v>0.45416263485232289</v>
      </c>
      <c r="L92" s="827">
        <f t="shared" si="100"/>
        <v>0.99999999999999989</v>
      </c>
      <c r="M92" s="104"/>
      <c r="N92" s="838">
        <f t="shared" si="57"/>
        <v>8536.1406577284433</v>
      </c>
      <c r="O92" s="833">
        <f>Parameters!R193</f>
        <v>0.78192307692307683</v>
      </c>
      <c r="P92" s="834">
        <f>E92*'MSW characteristics'!$B$28+'MSW characteristics'!$B$29*'4A SWD Case 1'!F92+'4A SWD Case 1'!G92*'MSW characteristics'!$B$30+'MSW characteristics'!$B$31*'4A SWD Case 1'!H92+'4A SWD Case 1'!I92*'MSW characteristics'!$B$32+'MSW characteristics'!$B$33*'4A SWD Case 1'!J92+'4A SWD Case 1'!K92*'MSW characteristics'!$B$35</f>
        <v>0.11213745438181591</v>
      </c>
      <c r="Q92" s="832">
        <f t="shared" si="62"/>
        <v>374.23662749316668</v>
      </c>
      <c r="R92" s="832">
        <f t="shared" si="63"/>
        <v>374.23662749316668</v>
      </c>
      <c r="S92" s="835">
        <f t="shared" si="64"/>
        <v>0</v>
      </c>
      <c r="T92" s="832">
        <f t="shared" si="65"/>
        <v>12890.373135654952</v>
      </c>
      <c r="U92" s="832">
        <f t="shared" si="66"/>
        <v>641.71604116543574</v>
      </c>
      <c r="V92" s="839">
        <f t="shared" si="67"/>
        <v>427.81069411029051</v>
      </c>
      <c r="W92" s="1449"/>
      <c r="X92" s="1025">
        <f>'Recycling - Case 1'!AM142</f>
        <v>590.32248185446406</v>
      </c>
      <c r="Y92" s="1026">
        <f>Parameters!S193</f>
        <v>0.71500000000000008</v>
      </c>
      <c r="Z92" s="1027">
        <f t="shared" si="68"/>
        <v>0.4</v>
      </c>
      <c r="AA92" s="1028">
        <f t="shared" si="69"/>
        <v>84.416114905188365</v>
      </c>
      <c r="AB92" s="1028">
        <f t="shared" si="70"/>
        <v>84.416114905188365</v>
      </c>
      <c r="AC92" s="1029">
        <f t="shared" si="71"/>
        <v>0</v>
      </c>
      <c r="AD92" s="1028">
        <f t="shared" si="72"/>
        <v>9130.4334136169909</v>
      </c>
      <c r="AE92" s="1028">
        <f t="shared" si="73"/>
        <v>463.79922474143336</v>
      </c>
      <c r="AF92" s="1030">
        <f t="shared" si="74"/>
        <v>309.19948316095559</v>
      </c>
      <c r="AG92" s="104"/>
      <c r="AH92" s="1025">
        <f>'Recycling - Case 1'!AM182</f>
        <v>590.32248185446406</v>
      </c>
      <c r="AI92" s="1026">
        <f>Parameters!S193</f>
        <v>0.71500000000000008</v>
      </c>
      <c r="AJ92" s="1027">
        <f t="shared" si="75"/>
        <v>0.4</v>
      </c>
      <c r="AK92" s="1028">
        <f t="shared" si="76"/>
        <v>84.416114905188365</v>
      </c>
      <c r="AL92" s="1028">
        <f t="shared" si="77"/>
        <v>84.416114905188365</v>
      </c>
      <c r="AM92" s="1029">
        <f t="shared" si="78"/>
        <v>0</v>
      </c>
      <c r="AN92" s="1028">
        <f t="shared" si="79"/>
        <v>9130.4334136169909</v>
      </c>
      <c r="AO92" s="1028">
        <f t="shared" si="80"/>
        <v>463.79922474143336</v>
      </c>
      <c r="AP92" s="1030">
        <f t="shared" si="81"/>
        <v>309.19948316095559</v>
      </c>
      <c r="AQ92" s="104"/>
      <c r="AR92" s="1064">
        <f>'Recycling - Case 1'!G102</f>
        <v>559.72841293499425</v>
      </c>
      <c r="AS92" s="1065">
        <v>1</v>
      </c>
      <c r="AT92" s="1066">
        <f t="shared" si="82"/>
        <v>0.05</v>
      </c>
      <c r="AU92" s="1044">
        <f t="shared" si="83"/>
        <v>13.993210323374857</v>
      </c>
      <c r="AV92" s="1044">
        <f t="shared" si="84"/>
        <v>13.993210323374857</v>
      </c>
      <c r="AW92" s="1045">
        <f t="shared" si="85"/>
        <v>0</v>
      </c>
      <c r="AX92" s="1044">
        <f t="shared" si="51"/>
        <v>165.15517631934694</v>
      </c>
      <c r="AY92" s="1044">
        <f t="shared" si="54"/>
        <v>9.3473339461979954</v>
      </c>
      <c r="AZ92" s="1067">
        <f t="shared" si="52"/>
        <v>6.2315559641319966</v>
      </c>
      <c r="BB92" s="1055">
        <f t="shared" si="86"/>
        <v>427.81069411029051</v>
      </c>
      <c r="BC92" s="1056">
        <f t="shared" si="87"/>
        <v>309.19948316095559</v>
      </c>
      <c r="BD92" s="1082">
        <f t="shared" si="101"/>
        <v>6.2315559641319966</v>
      </c>
      <c r="BE92" s="1056">
        <f t="shared" si="60"/>
        <v>743.24173323537809</v>
      </c>
      <c r="BF92" s="167">
        <v>0</v>
      </c>
      <c r="BG92" s="1075">
        <f t="shared" si="88"/>
        <v>743.24173323537809</v>
      </c>
      <c r="BI92" s="1055">
        <f t="shared" si="89"/>
        <v>427.81069411029051</v>
      </c>
      <c r="BJ92" s="1056">
        <f t="shared" si="90"/>
        <v>309.19948316095559</v>
      </c>
      <c r="BK92" s="1082">
        <f t="shared" si="91"/>
        <v>6.2315559641319966</v>
      </c>
      <c r="BL92" s="1056">
        <f t="shared" si="61"/>
        <v>743.24173323537809</v>
      </c>
      <c r="BM92" s="167">
        <v>0</v>
      </c>
      <c r="BN92" s="1075">
        <f t="shared" si="92"/>
        <v>743.24173323537809</v>
      </c>
    </row>
    <row r="93" spans="1:66">
      <c r="A93" s="927">
        <f>'Input data'!A123</f>
        <v>2023</v>
      </c>
      <c r="B93" s="824">
        <f>'Input data'!B123</f>
        <v>61.381040636574369</v>
      </c>
      <c r="C93" s="824">
        <f>'Recycling - Case 1'!AK103/B93</f>
        <v>373.81875656843408</v>
      </c>
      <c r="D93" s="826">
        <f>'Recycling - Case 1'!AM103</f>
        <v>0.35270374709687796</v>
      </c>
      <c r="E93" s="826">
        <f>'Recycling - Case 1'!BE103</f>
        <v>0.20445870352753015</v>
      </c>
      <c r="F93" s="826">
        <f>'Recycling - Case 1'!BF103</f>
        <v>0.25930894963829509</v>
      </c>
      <c r="G93" s="826">
        <f>'Recycling - Case 1'!BG103</f>
        <v>6.9441973861519388E-2</v>
      </c>
      <c r="H93" s="826">
        <f>'Recycling - Case 1'!BH103</f>
        <v>0</v>
      </c>
      <c r="I93" s="826">
        <f>'Recycling - Case 1'!BI103</f>
        <v>0</v>
      </c>
      <c r="J93" s="826">
        <f>'Recycling - Case 1'!BJ103</f>
        <v>0</v>
      </c>
      <c r="K93" s="826">
        <f>'Recycling - Case 1'!BK103</f>
        <v>0.46679037297265541</v>
      </c>
      <c r="L93" s="827">
        <f t="shared" si="100"/>
        <v>1</v>
      </c>
      <c r="M93" s="104"/>
      <c r="N93" s="838">
        <f t="shared" si="57"/>
        <v>8092.9230168287222</v>
      </c>
      <c r="O93" s="833">
        <f>Parameters!R194</f>
        <v>0.79230769230769216</v>
      </c>
      <c r="P93" s="834">
        <f>E93*'MSW characteristics'!$B$28+'MSW characteristics'!$B$29*'4A SWD Case 1'!F93+'4A SWD Case 1'!G93*'MSW characteristics'!$B$30+'MSW characteristics'!$B$31*'4A SWD Case 1'!H93+'4A SWD Case 1'!I93*'MSW characteristics'!$B$32+'MSW characteristics'!$B$33*'4A SWD Case 1'!J93+'4A SWD Case 1'!K93*'MSW characteristics'!$B$35</f>
        <v>0.11030738500139631</v>
      </c>
      <c r="Q93" s="832">
        <f t="shared" si="62"/>
        <v>353.65017317465652</v>
      </c>
      <c r="R93" s="832">
        <f t="shared" si="63"/>
        <v>353.65017317465652</v>
      </c>
      <c r="S93" s="835">
        <f t="shared" si="64"/>
        <v>0</v>
      </c>
      <c r="T93" s="832">
        <f t="shared" si="65"/>
        <v>12615.352392603181</v>
      </c>
      <c r="U93" s="832">
        <f t="shared" si="66"/>
        <v>628.67091622642772</v>
      </c>
      <c r="V93" s="839">
        <f t="shared" si="67"/>
        <v>419.1139441509518</v>
      </c>
      <c r="W93" s="1449"/>
      <c r="X93" s="1025">
        <f>'Recycling - Case 1'!AM143</f>
        <v>450.53444035479725</v>
      </c>
      <c r="Y93" s="1026">
        <f>Parameters!S194</f>
        <v>0.71500000000000008</v>
      </c>
      <c r="Z93" s="1027">
        <f t="shared" si="68"/>
        <v>0.4</v>
      </c>
      <c r="AA93" s="1028">
        <f t="shared" si="69"/>
        <v>64.426424970736022</v>
      </c>
      <c r="AB93" s="1028">
        <f t="shared" si="70"/>
        <v>64.426424970736022</v>
      </c>
      <c r="AC93" s="1029">
        <f t="shared" si="71"/>
        <v>0</v>
      </c>
      <c r="AD93" s="1028">
        <f t="shared" si="72"/>
        <v>8749.563346447716</v>
      </c>
      <c r="AE93" s="1028">
        <f t="shared" si="73"/>
        <v>445.29649214001091</v>
      </c>
      <c r="AF93" s="1030">
        <f t="shared" si="74"/>
        <v>296.86432809334059</v>
      </c>
      <c r="AG93" s="104"/>
      <c r="AH93" s="1025">
        <f>'Recycling - Case 1'!AM183</f>
        <v>450.53444035479725</v>
      </c>
      <c r="AI93" s="1026">
        <f>Parameters!S194</f>
        <v>0.71500000000000008</v>
      </c>
      <c r="AJ93" s="1027">
        <f t="shared" si="75"/>
        <v>0.4</v>
      </c>
      <c r="AK93" s="1028">
        <f t="shared" si="76"/>
        <v>64.426424970736022</v>
      </c>
      <c r="AL93" s="1028">
        <f t="shared" si="77"/>
        <v>64.426424970736022</v>
      </c>
      <c r="AM93" s="1029">
        <f t="shared" si="78"/>
        <v>0</v>
      </c>
      <c r="AN93" s="1028">
        <f t="shared" si="79"/>
        <v>8749.563346447716</v>
      </c>
      <c r="AO93" s="1028">
        <f t="shared" si="80"/>
        <v>445.29649214001091</v>
      </c>
      <c r="AP93" s="1030">
        <f t="shared" si="81"/>
        <v>296.86432809334059</v>
      </c>
      <c r="AQ93" s="104"/>
      <c r="AR93" s="1064">
        <f>'Recycling - Case 1'!G103</f>
        <v>570.59384848565696</v>
      </c>
      <c r="AS93" s="1065">
        <v>1</v>
      </c>
      <c r="AT93" s="1066">
        <f t="shared" si="82"/>
        <v>0.05</v>
      </c>
      <c r="AU93" s="1044">
        <f t="shared" si="83"/>
        <v>14.264846212141425</v>
      </c>
      <c r="AV93" s="1044">
        <f t="shared" si="84"/>
        <v>14.264846212141425</v>
      </c>
      <c r="AW93" s="1045">
        <f t="shared" si="85"/>
        <v>0</v>
      </c>
      <c r="AX93" s="1044">
        <f t="shared" si="51"/>
        <v>169.80213380755555</v>
      </c>
      <c r="AY93" s="1044">
        <f t="shared" si="54"/>
        <v>9.6178887239328095</v>
      </c>
      <c r="AZ93" s="1067">
        <f t="shared" si="52"/>
        <v>6.4119258159552066</v>
      </c>
      <c r="BB93" s="1055">
        <f t="shared" si="86"/>
        <v>419.1139441509518</v>
      </c>
      <c r="BC93" s="1056">
        <f t="shared" si="87"/>
        <v>296.86432809334059</v>
      </c>
      <c r="BD93" s="1082">
        <f t="shared" si="101"/>
        <v>6.4119258159552066</v>
      </c>
      <c r="BE93" s="1056">
        <f t="shared" si="60"/>
        <v>722.3901980602476</v>
      </c>
      <c r="BF93" s="167">
        <v>0</v>
      </c>
      <c r="BG93" s="1075">
        <f t="shared" si="88"/>
        <v>722.3901980602476</v>
      </c>
      <c r="BI93" s="1055">
        <f t="shared" si="89"/>
        <v>419.1139441509518</v>
      </c>
      <c r="BJ93" s="1056">
        <f t="shared" si="90"/>
        <v>296.86432809334059</v>
      </c>
      <c r="BK93" s="1082">
        <f t="shared" si="91"/>
        <v>6.4119258159552066</v>
      </c>
      <c r="BL93" s="1056">
        <f t="shared" si="61"/>
        <v>722.3901980602476</v>
      </c>
      <c r="BM93" s="167">
        <v>0</v>
      </c>
      <c r="BN93" s="1075">
        <f t="shared" si="92"/>
        <v>722.3901980602476</v>
      </c>
    </row>
    <row r="94" spans="1:66">
      <c r="A94" s="927">
        <f>'Input data'!A124</f>
        <v>2024</v>
      </c>
      <c r="B94" s="824">
        <f>'Input data'!B124</f>
        <v>62.087792487153699</v>
      </c>
      <c r="C94" s="824">
        <f>'Recycling - Case 1'!AK104/B94</f>
        <v>367.98420446405902</v>
      </c>
      <c r="D94" s="826">
        <f>'Recycling - Case 1'!AM104</f>
        <v>0.33582564658939912</v>
      </c>
      <c r="E94" s="826">
        <f>'Recycling - Case 1'!BE104</f>
        <v>0.19786063663408232</v>
      </c>
      <c r="F94" s="826">
        <f>'Recycling - Case 1'!BF104</f>
        <v>0.25094081579872596</v>
      </c>
      <c r="G94" s="826">
        <f>'Recycling - Case 1'!BG104</f>
        <v>7.1380093645311199E-2</v>
      </c>
      <c r="H94" s="826">
        <f>'Recycling - Case 1'!BH104</f>
        <v>0</v>
      </c>
      <c r="I94" s="826">
        <f>'Recycling - Case 1'!BI104</f>
        <v>0</v>
      </c>
      <c r="J94" s="826">
        <f>'Recycling - Case 1'!BJ104</f>
        <v>0</v>
      </c>
      <c r="K94" s="826">
        <f>'Recycling - Case 1'!BK104</f>
        <v>0.47981845392188066</v>
      </c>
      <c r="L94" s="827">
        <f t="shared" si="100"/>
        <v>1.0000000000000002</v>
      </c>
      <c r="M94" s="104"/>
      <c r="N94" s="838">
        <f t="shared" si="57"/>
        <v>7672.7183375332424</v>
      </c>
      <c r="O94" s="833">
        <f>Parameters!R195</f>
        <v>0.80269230769230759</v>
      </c>
      <c r="P94" s="834">
        <f>E94*'MSW characteristics'!$B$28+'MSW characteristics'!$B$29*'4A SWD Case 1'!F94+'4A SWD Case 1'!G94*'MSW characteristics'!$B$30+'MSW characteristics'!$B$31*'4A SWD Case 1'!H94+'4A SWD Case 1'!I94*'MSW characteristics'!$B$32+'MSW characteristics'!$B$33*'4A SWD Case 1'!J94+'4A SWD Case 1'!K94*'MSW characteristics'!$B$35</f>
        <v>0.10841929611298202</v>
      </c>
      <c r="Q94" s="832">
        <f t="shared" si="62"/>
        <v>333.86811454256326</v>
      </c>
      <c r="R94" s="832">
        <f t="shared" si="63"/>
        <v>333.86811454256326</v>
      </c>
      <c r="S94" s="835">
        <f t="shared" si="64"/>
        <v>0</v>
      </c>
      <c r="T94" s="832">
        <f t="shared" si="65"/>
        <v>12333.962510832192</v>
      </c>
      <c r="U94" s="832">
        <f t="shared" si="66"/>
        <v>615.25799631355153</v>
      </c>
      <c r="V94" s="839">
        <f t="shared" si="67"/>
        <v>410.17199754236771</v>
      </c>
      <c r="W94" s="1449"/>
      <c r="X94" s="1025">
        <f>'Recycling - Case 1'!AM144</f>
        <v>293.06803618626037</v>
      </c>
      <c r="Y94" s="1026">
        <f>Parameters!S195</f>
        <v>0.71500000000000008</v>
      </c>
      <c r="Z94" s="1027">
        <f t="shared" si="68"/>
        <v>0.4</v>
      </c>
      <c r="AA94" s="1028">
        <f t="shared" si="69"/>
        <v>41.908729174635241</v>
      </c>
      <c r="AB94" s="1028">
        <f t="shared" si="70"/>
        <v>41.908729174635241</v>
      </c>
      <c r="AC94" s="1029">
        <f t="shared" si="71"/>
        <v>0</v>
      </c>
      <c r="AD94" s="1028">
        <f t="shared" si="72"/>
        <v>8364.7508358486375</v>
      </c>
      <c r="AE94" s="1028">
        <f t="shared" si="73"/>
        <v>426.72123977371365</v>
      </c>
      <c r="AF94" s="1030">
        <f t="shared" si="74"/>
        <v>284.4808265158091</v>
      </c>
      <c r="AG94" s="104"/>
      <c r="AH94" s="1025">
        <f>'Recycling - Case 1'!AM184</f>
        <v>293.06803618626037</v>
      </c>
      <c r="AI94" s="1026">
        <f>Parameters!S195</f>
        <v>0.71500000000000008</v>
      </c>
      <c r="AJ94" s="1027">
        <f t="shared" si="75"/>
        <v>0.4</v>
      </c>
      <c r="AK94" s="1028">
        <f t="shared" si="76"/>
        <v>41.908729174635241</v>
      </c>
      <c r="AL94" s="1028">
        <f t="shared" si="77"/>
        <v>41.908729174635241</v>
      </c>
      <c r="AM94" s="1029">
        <f t="shared" si="78"/>
        <v>0</v>
      </c>
      <c r="AN94" s="1028">
        <f t="shared" si="79"/>
        <v>8364.7508358486375</v>
      </c>
      <c r="AO94" s="1028">
        <f t="shared" si="80"/>
        <v>426.72123977371365</v>
      </c>
      <c r="AP94" s="1030">
        <f t="shared" si="81"/>
        <v>284.4808265158091</v>
      </c>
      <c r="AQ94" s="104"/>
      <c r="AR94" s="1064">
        <f>'Recycling - Case 1'!G104</f>
        <v>581.63529038075126</v>
      </c>
      <c r="AS94" s="1065">
        <v>1</v>
      </c>
      <c r="AT94" s="1066">
        <f t="shared" si="82"/>
        <v>0.05</v>
      </c>
      <c r="AU94" s="1044">
        <f t="shared" si="83"/>
        <v>14.540882259518781</v>
      </c>
      <c r="AV94" s="1044">
        <f t="shared" si="84"/>
        <v>14.540882259518781</v>
      </c>
      <c r="AW94" s="1045">
        <f t="shared" si="85"/>
        <v>0</v>
      </c>
      <c r="AX94" s="1044">
        <f t="shared" si="51"/>
        <v>174.45450960640153</v>
      </c>
      <c r="AY94" s="1044">
        <f t="shared" si="54"/>
        <v>9.8885064606728061</v>
      </c>
      <c r="AZ94" s="1067">
        <f t="shared" si="52"/>
        <v>6.5923376404485374</v>
      </c>
      <c r="BB94" s="1055">
        <f t="shared" si="86"/>
        <v>410.17199754236771</v>
      </c>
      <c r="BC94" s="1056">
        <f t="shared" si="87"/>
        <v>284.4808265158091</v>
      </c>
      <c r="BD94" s="1082">
        <f t="shared" si="101"/>
        <v>6.5923376404485374</v>
      </c>
      <c r="BE94" s="1056">
        <f t="shared" si="60"/>
        <v>701.24516169862534</v>
      </c>
      <c r="BF94" s="167">
        <v>0</v>
      </c>
      <c r="BG94" s="1075">
        <f t="shared" si="88"/>
        <v>701.24516169862534</v>
      </c>
      <c r="BI94" s="1055">
        <f t="shared" si="89"/>
        <v>410.17199754236771</v>
      </c>
      <c r="BJ94" s="1056">
        <f t="shared" si="90"/>
        <v>284.4808265158091</v>
      </c>
      <c r="BK94" s="1082">
        <f t="shared" si="91"/>
        <v>6.5923376404485374</v>
      </c>
      <c r="BL94" s="1056">
        <f t="shared" si="61"/>
        <v>701.24516169862534</v>
      </c>
      <c r="BM94" s="167">
        <v>0</v>
      </c>
      <c r="BN94" s="1075">
        <f t="shared" si="92"/>
        <v>701.24516169862534</v>
      </c>
    </row>
    <row r="95" spans="1:66">
      <c r="A95" s="927">
        <f>'Input data'!A125</f>
        <v>2025</v>
      </c>
      <c r="B95" s="824">
        <f>'Input data'!B125</f>
        <v>62.802682000000026</v>
      </c>
      <c r="C95" s="824">
        <f>'Recycling - Case 1'!AK105/B95</f>
        <v>362.62604818704528</v>
      </c>
      <c r="D95" s="826">
        <f>'Recycling - Case 1'!AM105</f>
        <v>0.31941544655678239</v>
      </c>
      <c r="E95" s="826">
        <f>'Recycling - Case 1'!BE105</f>
        <v>0.19105303960501019</v>
      </c>
      <c r="F95" s="826">
        <f>'Recycling - Case 1'!BF105</f>
        <v>0.24230694106161171</v>
      </c>
      <c r="G95" s="826">
        <f>'Recycling - Case 1'!BG105</f>
        <v>7.33797609259247E-2</v>
      </c>
      <c r="H95" s="826">
        <f>'Recycling - Case 1'!BH105</f>
        <v>0</v>
      </c>
      <c r="I95" s="826">
        <f>'Recycling - Case 1'!BI105</f>
        <v>0</v>
      </c>
      <c r="J95" s="826">
        <f>'Recycling - Case 1'!BJ105</f>
        <v>0</v>
      </c>
      <c r="K95" s="826">
        <f>'Recycling - Case 1'!BK105</f>
        <v>0.49326025840745336</v>
      </c>
      <c r="L95" s="827">
        <f t="shared" si="100"/>
        <v>1</v>
      </c>
      <c r="M95" s="104"/>
      <c r="N95" s="838">
        <f t="shared" si="57"/>
        <v>7274.3317296730966</v>
      </c>
      <c r="O95" s="833">
        <f>Parameters!R196</f>
        <v>0.81307692307692303</v>
      </c>
      <c r="P95" s="834">
        <f>E95*'MSW characteristics'!$B$28+'MSW characteristics'!$B$29*'4A SWD Case 1'!F95+'4A SWD Case 1'!G95*'MSW characteristics'!$B$30+'MSW characteristics'!$B$31*'4A SWD Case 1'!H95+'4A SWD Case 1'!I95*'MSW characteristics'!$B$32+'MSW characteristics'!$B$33*'4A SWD Case 1'!J95+'4A SWD Case 1'!K95*'MSW characteristics'!$B$35</f>
        <v>0.10647124852344376</v>
      </c>
      <c r="Q95" s="832">
        <f t="shared" si="62"/>
        <v>314.86695798985409</v>
      </c>
      <c r="R95" s="832">
        <f t="shared" si="63"/>
        <v>314.86695798985409</v>
      </c>
      <c r="S95" s="835">
        <f t="shared" si="64"/>
        <v>0</v>
      </c>
      <c r="T95" s="832">
        <f t="shared" si="65"/>
        <v>12047.295018982142</v>
      </c>
      <c r="U95" s="832">
        <f t="shared" si="66"/>
        <v>601.53444983990437</v>
      </c>
      <c r="V95" s="839">
        <f t="shared" si="67"/>
        <v>401.02296655993626</v>
      </c>
      <c r="W95" s="1449"/>
      <c r="X95" s="1025">
        <f>'Recycling - Case 1'!AM145</f>
        <v>171.31231952181344</v>
      </c>
      <c r="Y95" s="1026">
        <f>Parameters!S196</f>
        <v>0.71500000000000008</v>
      </c>
      <c r="Z95" s="1027">
        <f t="shared" si="68"/>
        <v>0.4</v>
      </c>
      <c r="AA95" s="1028">
        <f t="shared" si="69"/>
        <v>24.497661691619324</v>
      </c>
      <c r="AB95" s="1028">
        <f t="shared" si="70"/>
        <v>24.497661691619324</v>
      </c>
      <c r="AC95" s="1029">
        <f t="shared" si="71"/>
        <v>0</v>
      </c>
      <c r="AD95" s="1028">
        <f t="shared" si="72"/>
        <v>7981.2947853677852</v>
      </c>
      <c r="AE95" s="1028">
        <f t="shared" si="73"/>
        <v>407.95371217247151</v>
      </c>
      <c r="AF95" s="1030">
        <f t="shared" si="74"/>
        <v>271.96914144831436</v>
      </c>
      <c r="AG95" s="104"/>
      <c r="AH95" s="1025">
        <f>'Recycling - Case 1'!AM185</f>
        <v>171.31231952181344</v>
      </c>
      <c r="AI95" s="1026">
        <f>Parameters!S196</f>
        <v>0.71500000000000008</v>
      </c>
      <c r="AJ95" s="1027">
        <f t="shared" si="75"/>
        <v>0.4</v>
      </c>
      <c r="AK95" s="1028">
        <f t="shared" si="76"/>
        <v>24.497661691619324</v>
      </c>
      <c r="AL95" s="1028">
        <f t="shared" si="77"/>
        <v>24.497661691619324</v>
      </c>
      <c r="AM95" s="1029">
        <f t="shared" si="78"/>
        <v>0</v>
      </c>
      <c r="AN95" s="1028">
        <f t="shared" si="79"/>
        <v>7981.2947853677852</v>
      </c>
      <c r="AO95" s="1028">
        <f t="shared" si="80"/>
        <v>407.95371217247151</v>
      </c>
      <c r="AP95" s="1030">
        <f t="shared" si="81"/>
        <v>271.96914144831436</v>
      </c>
      <c r="AQ95" s="104"/>
      <c r="AR95" s="1064">
        <f>'Recycling - Case 1'!G105</f>
        <v>592.85535125722038</v>
      </c>
      <c r="AS95" s="1065">
        <v>1</v>
      </c>
      <c r="AT95" s="1066">
        <f t="shared" si="82"/>
        <v>0.05</v>
      </c>
      <c r="AU95" s="1044">
        <f t="shared" si="83"/>
        <v>14.82138378143051</v>
      </c>
      <c r="AV95" s="1044">
        <f t="shared" si="84"/>
        <v>14.82138378143051</v>
      </c>
      <c r="AW95" s="1045">
        <f t="shared" si="85"/>
        <v>0</v>
      </c>
      <c r="AX95" s="1044">
        <f t="shared" si="51"/>
        <v>179.11645365257209</v>
      </c>
      <c r="AY95" s="1044">
        <f t="shared" si="54"/>
        <v>10.159439735259955</v>
      </c>
      <c r="AZ95" s="1067">
        <f t="shared" si="52"/>
        <v>6.7729598235066364</v>
      </c>
      <c r="BB95" s="1055">
        <f t="shared" si="86"/>
        <v>401.02296655993626</v>
      </c>
      <c r="BC95" s="1056">
        <f t="shared" si="87"/>
        <v>271.96914144831436</v>
      </c>
      <c r="BD95" s="1082">
        <f t="shared" si="101"/>
        <v>6.7729598235066364</v>
      </c>
      <c r="BE95" s="1056">
        <f t="shared" si="60"/>
        <v>679.76506783175728</v>
      </c>
      <c r="BF95" s="167">
        <v>0</v>
      </c>
      <c r="BG95" s="1075">
        <f t="shared" si="88"/>
        <v>679.76506783175728</v>
      </c>
      <c r="BI95" s="1055">
        <f t="shared" si="89"/>
        <v>401.02296655993626</v>
      </c>
      <c r="BJ95" s="1056">
        <f t="shared" si="90"/>
        <v>271.96914144831436</v>
      </c>
      <c r="BK95" s="1082">
        <f t="shared" si="91"/>
        <v>6.7729598235066364</v>
      </c>
      <c r="BL95" s="1056">
        <f t="shared" si="61"/>
        <v>679.76506783175728</v>
      </c>
      <c r="BM95" s="167">
        <v>0</v>
      </c>
      <c r="BN95" s="1075">
        <f t="shared" si="92"/>
        <v>679.76506783175728</v>
      </c>
    </row>
    <row r="96" spans="1:66">
      <c r="A96" s="927">
        <f>'Input data'!A126</f>
        <v>2026</v>
      </c>
      <c r="B96" s="824">
        <f>'Input data'!B126</f>
        <v>63.421065342005143</v>
      </c>
      <c r="C96" s="824">
        <f>'Recycling - Case 1'!AK106/B96</f>
        <v>358.12652247335149</v>
      </c>
      <c r="D96" s="826">
        <f>'Recycling - Case 1'!AM106</f>
        <v>0.30364555649113156</v>
      </c>
      <c r="E96" s="826">
        <f>'Recycling - Case 1'!BE106</f>
        <v>0.18391066082284532</v>
      </c>
      <c r="F96" s="826">
        <f>'Recycling - Case 1'!BF106</f>
        <v>0.23324847249085384</v>
      </c>
      <c r="G96" s="826">
        <f>'Recycling - Case 1'!BG106</f>
        <v>7.5477767182089692E-2</v>
      </c>
      <c r="H96" s="826">
        <f>'Recycling - Case 1'!BH106</f>
        <v>0</v>
      </c>
      <c r="I96" s="826">
        <f>'Recycling - Case 1'!BI106</f>
        <v>0</v>
      </c>
      <c r="J96" s="826">
        <f>'Recycling - Case 1'!BJ106</f>
        <v>0</v>
      </c>
      <c r="K96" s="826">
        <f>'Recycling - Case 1'!BK106</f>
        <v>0.5073630995042111</v>
      </c>
      <c r="L96" s="827">
        <f t="shared" si="100"/>
        <v>1</v>
      </c>
      <c r="M96" s="104"/>
      <c r="N96" s="838">
        <f t="shared" si="57"/>
        <v>6896.6303447470355</v>
      </c>
      <c r="O96" s="833">
        <f>Parameters!R197</f>
        <v>0.82346153846153847</v>
      </c>
      <c r="P96" s="834">
        <f>E96*'MSW characteristics'!$B$28+'MSW characteristics'!$B$29*'4A SWD Case 1'!F96+'4A SWD Case 1'!G96*'MSW characteristics'!$B$30+'MSW characteristics'!$B$31*'4A SWD Case 1'!H96+'4A SWD Case 1'!I96*'MSW characteristics'!$B$32+'MSW characteristics'!$B$33*'4A SWD Case 1'!J96+'4A SWD Case 1'!K96*'MSW characteristics'!$B$35</f>
        <v>0.10442740049443346</v>
      </c>
      <c r="Q96" s="832">
        <f t="shared" si="62"/>
        <v>296.52733853754046</v>
      </c>
      <c r="R96" s="832">
        <f t="shared" si="63"/>
        <v>296.52733853754046</v>
      </c>
      <c r="S96" s="835">
        <f t="shared" si="64"/>
        <v>0</v>
      </c>
      <c r="T96" s="832">
        <f t="shared" si="65"/>
        <v>11756.268846234241</v>
      </c>
      <c r="U96" s="832">
        <f t="shared" si="66"/>
        <v>587.55351128544055</v>
      </c>
      <c r="V96" s="839">
        <f t="shared" si="67"/>
        <v>391.70234085696035</v>
      </c>
      <c r="W96" s="1449"/>
      <c r="X96" s="1025">
        <f>'Recycling - Case 1'!AM146</f>
        <v>99.139907944091732</v>
      </c>
      <c r="Y96" s="1026">
        <f>Parameters!S197</f>
        <v>0.71500000000000008</v>
      </c>
      <c r="Z96" s="1027">
        <f t="shared" si="68"/>
        <v>0.4</v>
      </c>
      <c r="AA96" s="1028">
        <f t="shared" si="69"/>
        <v>14.17700683600512</v>
      </c>
      <c r="AB96" s="1028">
        <f t="shared" si="70"/>
        <v>14.17700683600512</v>
      </c>
      <c r="AC96" s="1029">
        <f t="shared" si="71"/>
        <v>0</v>
      </c>
      <c r="AD96" s="1028">
        <f t="shared" si="72"/>
        <v>7606.2194522919526</v>
      </c>
      <c r="AE96" s="1028">
        <f t="shared" si="73"/>
        <v>389.25233991183711</v>
      </c>
      <c r="AF96" s="1030">
        <f t="shared" si="74"/>
        <v>259.50155994122474</v>
      </c>
      <c r="AG96" s="104"/>
      <c r="AH96" s="1025">
        <f>'Recycling - Case 1'!AM186</f>
        <v>99.139907944091732</v>
      </c>
      <c r="AI96" s="1026">
        <f>Parameters!S197</f>
        <v>0.71500000000000008</v>
      </c>
      <c r="AJ96" s="1027">
        <f t="shared" si="75"/>
        <v>0.4</v>
      </c>
      <c r="AK96" s="1028">
        <f t="shared" si="76"/>
        <v>14.17700683600512</v>
      </c>
      <c r="AL96" s="1028">
        <f t="shared" si="77"/>
        <v>14.17700683600512</v>
      </c>
      <c r="AM96" s="1029">
        <f t="shared" si="78"/>
        <v>0</v>
      </c>
      <c r="AN96" s="1028">
        <f t="shared" si="79"/>
        <v>7606.2194522919526</v>
      </c>
      <c r="AO96" s="1028">
        <f t="shared" si="80"/>
        <v>389.25233991183711</v>
      </c>
      <c r="AP96" s="1030">
        <f t="shared" si="81"/>
        <v>259.50155994122474</v>
      </c>
      <c r="AQ96" s="104"/>
      <c r="AR96" s="1064">
        <f>'Recycling - Case 1'!G106</f>
        <v>603.26041842938696</v>
      </c>
      <c r="AS96" s="1065">
        <v>1</v>
      </c>
      <c r="AT96" s="1066">
        <f t="shared" si="82"/>
        <v>0.05</v>
      </c>
      <c r="AU96" s="1044">
        <f t="shared" si="83"/>
        <v>15.081510460734675</v>
      </c>
      <c r="AV96" s="1044">
        <f t="shared" si="84"/>
        <v>15.081510460734675</v>
      </c>
      <c r="AW96" s="1045">
        <f t="shared" si="85"/>
        <v>0</v>
      </c>
      <c r="AX96" s="1044">
        <f t="shared" si="51"/>
        <v>183.76703389211394</v>
      </c>
      <c r="AY96" s="1044">
        <f t="shared" si="54"/>
        <v>10.430930221192833</v>
      </c>
      <c r="AZ96" s="1067">
        <f t="shared" si="52"/>
        <v>6.9539534807952217</v>
      </c>
      <c r="BB96" s="1055">
        <f t="shared" si="86"/>
        <v>391.70234085696035</v>
      </c>
      <c r="BC96" s="1056">
        <f t="shared" si="87"/>
        <v>259.50155994122474</v>
      </c>
      <c r="BD96" s="1082">
        <f t="shared" si="101"/>
        <v>6.9539534807952217</v>
      </c>
      <c r="BE96" s="1056">
        <f t="shared" si="60"/>
        <v>658.15785427898027</v>
      </c>
      <c r="BF96" s="167">
        <v>0</v>
      </c>
      <c r="BG96" s="1075">
        <f t="shared" si="88"/>
        <v>658.15785427898027</v>
      </c>
      <c r="BI96" s="1055">
        <f t="shared" si="89"/>
        <v>391.70234085696035</v>
      </c>
      <c r="BJ96" s="1056">
        <f t="shared" si="90"/>
        <v>259.50155994122474</v>
      </c>
      <c r="BK96" s="1082">
        <f t="shared" si="91"/>
        <v>6.9539534807952217</v>
      </c>
      <c r="BL96" s="1056">
        <f t="shared" si="61"/>
        <v>658.15785427898027</v>
      </c>
      <c r="BM96" s="167">
        <v>0</v>
      </c>
      <c r="BN96" s="1075">
        <f t="shared" si="92"/>
        <v>658.15785427898027</v>
      </c>
    </row>
    <row r="97" spans="1:66">
      <c r="A97" s="927">
        <f>'Input data'!A127</f>
        <v>2027</v>
      </c>
      <c r="B97" s="824">
        <f>'Input data'!B127</f>
        <v>64.045537563425796</v>
      </c>
      <c r="C97" s="824">
        <f>'Recycling - Case 1'!AK107/B97</f>
        <v>354.0279761281858</v>
      </c>
      <c r="D97" s="826">
        <f>'Recycling - Case 1'!AM107</f>
        <v>0.28837282873747871</v>
      </c>
      <c r="E97" s="826">
        <f>'Recycling - Case 1'!BE107</f>
        <v>0.17650606330581883</v>
      </c>
      <c r="F97" s="826">
        <f>'Recycling - Case 1'!BF107</f>
        <v>0.22385743962452295</v>
      </c>
      <c r="G97" s="826">
        <f>'Recycling - Case 1'!BG107</f>
        <v>7.7652797713079855E-2</v>
      </c>
      <c r="H97" s="826">
        <f>'Recycling - Case 1'!BH107</f>
        <v>0</v>
      </c>
      <c r="I97" s="826">
        <f>'Recycling - Case 1'!BI107</f>
        <v>0</v>
      </c>
      <c r="J97" s="826">
        <f>'Recycling - Case 1'!BJ107</f>
        <v>0</v>
      </c>
      <c r="K97" s="826">
        <f>'Recycling - Case 1'!BK107</f>
        <v>0.52198369935657829</v>
      </c>
      <c r="L97" s="827">
        <f t="shared" si="100"/>
        <v>1</v>
      </c>
      <c r="M97" s="104"/>
      <c r="N97" s="838">
        <f t="shared" si="57"/>
        <v>6538.5401545638706</v>
      </c>
      <c r="O97" s="833">
        <f>Parameters!R198</f>
        <v>0.8338461538461539</v>
      </c>
      <c r="P97" s="834">
        <f>E97*'MSW characteristics'!$B$28+'MSW characteristics'!$B$29*'4A SWD Case 1'!F97+'4A SWD Case 1'!G97*'MSW characteristics'!$B$30+'MSW characteristics'!$B$31*'4A SWD Case 1'!H97+'4A SWD Case 1'!I97*'MSW characteristics'!$B$32+'MSW characteristics'!$B$33*'4A SWD Case 1'!J97+'4A SWD Case 1'!K97*'MSW characteristics'!$B$35</f>
        <v>0.10230851650600936</v>
      </c>
      <c r="Q97" s="832">
        <f t="shared" si="62"/>
        <v>278.90000160307255</v>
      </c>
      <c r="R97" s="832">
        <f t="shared" si="63"/>
        <v>278.90000160307255</v>
      </c>
      <c r="S97" s="835">
        <f t="shared" si="64"/>
        <v>0</v>
      </c>
      <c r="T97" s="832">
        <f t="shared" si="65"/>
        <v>11461.808850482144</v>
      </c>
      <c r="U97" s="832">
        <f t="shared" si="66"/>
        <v>573.35999735517078</v>
      </c>
      <c r="V97" s="839">
        <f t="shared" si="67"/>
        <v>382.23999823678054</v>
      </c>
      <c r="W97" s="1449"/>
      <c r="X97" s="1025">
        <f>'Recycling - Case 1'!AM147</f>
        <v>58.53700997845619</v>
      </c>
      <c r="Y97" s="1026">
        <f>Parameters!S198</f>
        <v>0.71500000000000008</v>
      </c>
      <c r="Z97" s="1027">
        <f t="shared" si="68"/>
        <v>0.4</v>
      </c>
      <c r="AA97" s="1028">
        <f t="shared" si="69"/>
        <v>8.3707924269192358</v>
      </c>
      <c r="AB97" s="1028">
        <f t="shared" si="70"/>
        <v>8.3707924269192358</v>
      </c>
      <c r="AC97" s="1029">
        <f t="shared" si="71"/>
        <v>0</v>
      </c>
      <c r="AD97" s="1028">
        <f t="shared" si="72"/>
        <v>7243.6305446567294</v>
      </c>
      <c r="AE97" s="1028">
        <f t="shared" si="73"/>
        <v>370.95970006214236</v>
      </c>
      <c r="AF97" s="1030">
        <f t="shared" si="74"/>
        <v>247.30646670809492</v>
      </c>
      <c r="AG97" s="104"/>
      <c r="AH97" s="1025">
        <f>'Recycling - Case 1'!AM187</f>
        <v>58.53700997845619</v>
      </c>
      <c r="AI97" s="1026">
        <f>Parameters!S198</f>
        <v>0.71500000000000008</v>
      </c>
      <c r="AJ97" s="1027">
        <f t="shared" si="75"/>
        <v>0.4</v>
      </c>
      <c r="AK97" s="1028">
        <f t="shared" si="76"/>
        <v>8.3707924269192358</v>
      </c>
      <c r="AL97" s="1028">
        <f t="shared" si="77"/>
        <v>8.3707924269192358</v>
      </c>
      <c r="AM97" s="1029">
        <f t="shared" si="78"/>
        <v>0</v>
      </c>
      <c r="AN97" s="1028">
        <f t="shared" si="79"/>
        <v>7243.6305446567294</v>
      </c>
      <c r="AO97" s="1028">
        <f t="shared" si="80"/>
        <v>370.95970006214236</v>
      </c>
      <c r="AP97" s="1030">
        <f t="shared" si="81"/>
        <v>247.30646670809492</v>
      </c>
      <c r="AQ97" s="104"/>
      <c r="AR97" s="1064">
        <f>'Recycling - Case 1'!G107</f>
        <v>613.81291267606582</v>
      </c>
      <c r="AS97" s="1065">
        <v>1</v>
      </c>
      <c r="AT97" s="1066">
        <f t="shared" si="82"/>
        <v>0.05</v>
      </c>
      <c r="AU97" s="1044">
        <f t="shared" si="83"/>
        <v>15.345322816901646</v>
      </c>
      <c r="AV97" s="1044">
        <f t="shared" si="84"/>
        <v>15.345322816901646</v>
      </c>
      <c r="AW97" s="1045">
        <f t="shared" si="85"/>
        <v>0</v>
      </c>
      <c r="AX97" s="1044">
        <f t="shared" si="51"/>
        <v>188.41059777846917</v>
      </c>
      <c r="AY97" s="1044">
        <f t="shared" si="54"/>
        <v>10.701758930546429</v>
      </c>
      <c r="AZ97" s="1067">
        <f t="shared" si="52"/>
        <v>7.1345059536976194</v>
      </c>
      <c r="BB97" s="1055">
        <f t="shared" si="86"/>
        <v>382.23999823678054</v>
      </c>
      <c r="BC97" s="1056">
        <f t="shared" si="87"/>
        <v>247.30646670809492</v>
      </c>
      <c r="BD97" s="1082">
        <f t="shared" si="101"/>
        <v>7.1345059536976194</v>
      </c>
      <c r="BE97" s="1056">
        <f t="shared" si="60"/>
        <v>636.68097089857304</v>
      </c>
      <c r="BF97" s="167">
        <v>0</v>
      </c>
      <c r="BG97" s="1075">
        <f t="shared" si="88"/>
        <v>636.68097089857304</v>
      </c>
      <c r="BI97" s="1055">
        <f t="shared" si="89"/>
        <v>382.23999823678054</v>
      </c>
      <c r="BJ97" s="1056">
        <f t="shared" si="90"/>
        <v>247.30646670809492</v>
      </c>
      <c r="BK97" s="1082">
        <f t="shared" si="91"/>
        <v>7.1345059536976194</v>
      </c>
      <c r="BL97" s="1056">
        <f t="shared" si="61"/>
        <v>636.68097089857304</v>
      </c>
      <c r="BM97" s="167">
        <v>0</v>
      </c>
      <c r="BN97" s="1075">
        <f t="shared" si="92"/>
        <v>636.68097089857304</v>
      </c>
    </row>
    <row r="98" spans="1:66">
      <c r="A98" s="927">
        <f>'Input data'!A128</f>
        <v>2028</v>
      </c>
      <c r="B98" s="824">
        <f>'Input data'!B128</f>
        <v>64.676158618096451</v>
      </c>
      <c r="C98" s="824">
        <f>'Recycling - Case 1'!AK108/B98</f>
        <v>344.55360296471088</v>
      </c>
      <c r="D98" s="826">
        <f>'Recycling - Case 1'!AM108</f>
        <v>0.27817854327248531</v>
      </c>
      <c r="E98" s="826">
        <f>'Recycling - Case 1'!BE108</f>
        <v>0.17731856912076779</v>
      </c>
      <c r="F98" s="826">
        <f>'Recycling - Case 1'!BF108</f>
        <v>0.22488791681045028</v>
      </c>
      <c r="G98" s="826">
        <f>'Recycling - Case 1'!BG108</f>
        <v>7.7414131809895093E-2</v>
      </c>
      <c r="H98" s="826">
        <f>'Recycling - Case 1'!BH108</f>
        <v>0</v>
      </c>
      <c r="I98" s="826">
        <f>'Recycling - Case 1'!BI108</f>
        <v>0</v>
      </c>
      <c r="J98" s="826">
        <f>'Recycling - Case 1'!BJ108</f>
        <v>0</v>
      </c>
      <c r="K98" s="826">
        <f>'Recycling - Case 1'!BK108</f>
        <v>0.52037938225888702</v>
      </c>
      <c r="L98" s="827">
        <f t="shared" si="100"/>
        <v>1.0000000000000002</v>
      </c>
      <c r="M98" s="104"/>
      <c r="N98" s="838">
        <f t="shared" si="57"/>
        <v>6199.0428971457768</v>
      </c>
      <c r="O98" s="833">
        <f>Parameters!R199</f>
        <v>0.84423076923076934</v>
      </c>
      <c r="P98" s="834">
        <f>E98*'MSW characteristics'!$B$28+'MSW characteristics'!$B$29*'4A SWD Case 1'!F98+'4A SWD Case 1'!G98*'MSW characteristics'!$B$30+'MSW characteristics'!$B$31*'4A SWD Case 1'!H98+'4A SWD Case 1'!I98*'MSW characteristics'!$B$32+'MSW characteristics'!$B$33*'4A SWD Case 1'!J98+'4A SWD Case 1'!K98*'MSW characteristics'!$B$35</f>
        <v>0.10254102145416327</v>
      </c>
      <c r="Q98" s="832">
        <f t="shared" si="62"/>
        <v>268.32025742533665</v>
      </c>
      <c r="R98" s="832">
        <f t="shared" si="63"/>
        <v>268.32025742533665</v>
      </c>
      <c r="S98" s="835">
        <f t="shared" si="64"/>
        <v>0</v>
      </c>
      <c r="T98" s="832">
        <f t="shared" si="65"/>
        <v>11171.130094006658</v>
      </c>
      <c r="U98" s="832">
        <f t="shared" si="66"/>
        <v>558.99901390082368</v>
      </c>
      <c r="V98" s="839">
        <f t="shared" si="67"/>
        <v>372.66600926721577</v>
      </c>
      <c r="W98" s="1449"/>
      <c r="X98" s="1025">
        <f>'Recycling - Case 1'!AM148</f>
        <v>31.674546543176088</v>
      </c>
      <c r="Y98" s="1026">
        <f>Parameters!S199</f>
        <v>0.71500000000000008</v>
      </c>
      <c r="Z98" s="1027">
        <f t="shared" si="68"/>
        <v>0.4</v>
      </c>
      <c r="AA98" s="1028">
        <f t="shared" si="69"/>
        <v>4.5294601556741814</v>
      </c>
      <c r="AB98" s="1028">
        <f t="shared" si="70"/>
        <v>4.5294601556741814</v>
      </c>
      <c r="AC98" s="1029">
        <f t="shared" si="71"/>
        <v>0</v>
      </c>
      <c r="AD98" s="1028">
        <f t="shared" si="72"/>
        <v>6894.8839744452889</v>
      </c>
      <c r="AE98" s="1028">
        <f t="shared" si="73"/>
        <v>353.27603036711508</v>
      </c>
      <c r="AF98" s="1030">
        <f t="shared" si="74"/>
        <v>235.51735357807672</v>
      </c>
      <c r="AG98" s="104"/>
      <c r="AH98" s="1025">
        <f>'Recycling - Case 1'!AM188</f>
        <v>31.674546543176088</v>
      </c>
      <c r="AI98" s="1026">
        <f>Parameters!S199</f>
        <v>0.71500000000000008</v>
      </c>
      <c r="AJ98" s="1027">
        <f t="shared" si="75"/>
        <v>0.4</v>
      </c>
      <c r="AK98" s="1028">
        <f t="shared" si="76"/>
        <v>4.5294601556741814</v>
      </c>
      <c r="AL98" s="1028">
        <f t="shared" si="77"/>
        <v>4.5294601556741814</v>
      </c>
      <c r="AM98" s="1029">
        <f t="shared" si="78"/>
        <v>0</v>
      </c>
      <c r="AN98" s="1028">
        <f t="shared" si="79"/>
        <v>6894.8839744452889</v>
      </c>
      <c r="AO98" s="1028">
        <f t="shared" si="80"/>
        <v>353.27603036711508</v>
      </c>
      <c r="AP98" s="1030">
        <f t="shared" si="81"/>
        <v>235.51735357807672</v>
      </c>
      <c r="AQ98" s="104"/>
      <c r="AR98" s="1064">
        <f>'Recycling - Case 1'!G108</f>
        <v>624.5147284656291</v>
      </c>
      <c r="AS98" s="1065">
        <v>1</v>
      </c>
      <c r="AT98" s="1066">
        <f t="shared" si="82"/>
        <v>0.05</v>
      </c>
      <c r="AU98" s="1044">
        <f t="shared" si="83"/>
        <v>15.612868211640729</v>
      </c>
      <c r="AV98" s="1044">
        <f t="shared" si="84"/>
        <v>15.612868211640729</v>
      </c>
      <c r="AW98" s="1045">
        <f t="shared" si="85"/>
        <v>0</v>
      </c>
      <c r="AX98" s="1044">
        <f t="shared" si="51"/>
        <v>193.05128695081021</v>
      </c>
      <c r="AY98" s="1044">
        <f t="shared" si="54"/>
        <v>10.972179039299665</v>
      </c>
      <c r="AZ98" s="1067">
        <f t="shared" si="52"/>
        <v>7.3147860261997764</v>
      </c>
      <c r="BB98" s="1055">
        <f t="shared" si="86"/>
        <v>372.66600926721577</v>
      </c>
      <c r="BC98" s="1056">
        <f t="shared" si="87"/>
        <v>235.51735357807672</v>
      </c>
      <c r="BD98" s="1082">
        <f t="shared" si="101"/>
        <v>7.3147860261997764</v>
      </c>
      <c r="BE98" s="1056">
        <f t="shared" si="60"/>
        <v>615.49814887149228</v>
      </c>
      <c r="BF98" s="167">
        <v>0</v>
      </c>
      <c r="BG98" s="1075">
        <f t="shared" si="88"/>
        <v>615.49814887149228</v>
      </c>
      <c r="BI98" s="1055">
        <f t="shared" si="89"/>
        <v>372.66600926721577</v>
      </c>
      <c r="BJ98" s="1056">
        <f t="shared" si="90"/>
        <v>235.51735357807672</v>
      </c>
      <c r="BK98" s="1082">
        <f t="shared" si="91"/>
        <v>7.3147860261997764</v>
      </c>
      <c r="BL98" s="1056">
        <f t="shared" si="61"/>
        <v>615.49814887149228</v>
      </c>
      <c r="BM98" s="167">
        <v>0</v>
      </c>
      <c r="BN98" s="1075">
        <f t="shared" si="92"/>
        <v>615.49814887149228</v>
      </c>
    </row>
    <row r="99" spans="1:66">
      <c r="A99" s="927">
        <f>'Input data'!A129</f>
        <v>2029</v>
      </c>
      <c r="B99" s="824">
        <f>'Input data'!B129</f>
        <v>65.31298905018393</v>
      </c>
      <c r="C99" s="824">
        <f>'Recycling - Case 1'!AK109/B99</f>
        <v>335.61605460864763</v>
      </c>
      <c r="D99" s="826">
        <f>'Recycling - Case 1'!AM109</f>
        <v>0.26811814175737969</v>
      </c>
      <c r="E99" s="826">
        <f>'Recycling - Case 1'!BE109</f>
        <v>0.17811824591588135</v>
      </c>
      <c r="F99" s="826">
        <f>'Recycling - Case 1'!BF109</f>
        <v>0.22590212332850684</v>
      </c>
      <c r="G99" s="826">
        <f>'Recycling - Case 1'!BG109</f>
        <v>7.717923431002463E-2</v>
      </c>
      <c r="H99" s="826">
        <f>'Recycling - Case 1'!BH109</f>
        <v>0</v>
      </c>
      <c r="I99" s="826">
        <f>'Recycling - Case 1'!BI109</f>
        <v>0</v>
      </c>
      <c r="J99" s="826">
        <f>'Recycling - Case 1'!BJ109</f>
        <v>0</v>
      </c>
      <c r="K99" s="826">
        <f>'Recycling - Case 1'!BK109</f>
        <v>0.51880039644558706</v>
      </c>
      <c r="L99" s="827">
        <f t="shared" si="100"/>
        <v>0.99999999999999989</v>
      </c>
      <c r="M99" s="104"/>
      <c r="N99" s="838">
        <f t="shared" si="57"/>
        <v>5877.1731812078651</v>
      </c>
      <c r="O99" s="833">
        <f>Parameters!R200</f>
        <v>0.85461538461538478</v>
      </c>
      <c r="P99" s="834">
        <f>E99*'MSW characteristics'!$B$28+'MSW characteristics'!$B$29*'4A SWD Case 1'!F99+'4A SWD Case 1'!G99*'MSW characteristics'!$B$30+'MSW characteristics'!$B$31*'4A SWD Case 1'!H99+'4A SWD Case 1'!I99*'MSW characteristics'!$B$32+'MSW characteristics'!$B$33*'4A SWD Case 1'!J99+'4A SWD Case 1'!K99*'MSW characteristics'!$B$35</f>
        <v>0.10276985527709342</v>
      </c>
      <c r="Q99" s="832">
        <f t="shared" si="62"/>
        <v>258.09223831086325</v>
      </c>
      <c r="R99" s="832">
        <f t="shared" si="63"/>
        <v>258.09223831086325</v>
      </c>
      <c r="S99" s="835">
        <f t="shared" si="64"/>
        <v>0</v>
      </c>
      <c r="T99" s="832">
        <f t="shared" si="65"/>
        <v>10884.399888655424</v>
      </c>
      <c r="U99" s="832">
        <f t="shared" si="66"/>
        <v>544.82244366209738</v>
      </c>
      <c r="V99" s="839">
        <f t="shared" si="67"/>
        <v>363.21496244139826</v>
      </c>
      <c r="W99" s="1449"/>
      <c r="X99" s="1025">
        <f>'Recycling - Case 1'!AM149</f>
        <v>38.33952456287826</v>
      </c>
      <c r="Y99" s="1026">
        <f>Parameters!S200</f>
        <v>0.71500000000000008</v>
      </c>
      <c r="Z99" s="1027">
        <f t="shared" si="68"/>
        <v>0.4</v>
      </c>
      <c r="AA99" s="1028">
        <f t="shared" si="69"/>
        <v>5.4825520124915919</v>
      </c>
      <c r="AB99" s="1028">
        <f t="shared" si="70"/>
        <v>5.4825520124915919</v>
      </c>
      <c r="AC99" s="1029">
        <f t="shared" si="71"/>
        <v>0</v>
      </c>
      <c r="AD99" s="1028">
        <f t="shared" si="72"/>
        <v>6564.0990670232795</v>
      </c>
      <c r="AE99" s="1028">
        <f t="shared" si="73"/>
        <v>336.26745943450095</v>
      </c>
      <c r="AF99" s="1030">
        <f t="shared" si="74"/>
        <v>224.17830628966729</v>
      </c>
      <c r="AG99" s="104"/>
      <c r="AH99" s="1025">
        <f>'Recycling - Case 1'!AM189</f>
        <v>38.33952456287826</v>
      </c>
      <c r="AI99" s="1026">
        <f>Parameters!S200</f>
        <v>0.71500000000000008</v>
      </c>
      <c r="AJ99" s="1027">
        <f t="shared" si="75"/>
        <v>0.4</v>
      </c>
      <c r="AK99" s="1028">
        <f t="shared" si="76"/>
        <v>5.4825520124915919</v>
      </c>
      <c r="AL99" s="1028">
        <f t="shared" si="77"/>
        <v>5.4825520124915919</v>
      </c>
      <c r="AM99" s="1029">
        <f t="shared" si="78"/>
        <v>0</v>
      </c>
      <c r="AN99" s="1028">
        <f t="shared" si="79"/>
        <v>6564.0990670232795</v>
      </c>
      <c r="AO99" s="1028">
        <f t="shared" si="80"/>
        <v>336.26745943450095</v>
      </c>
      <c r="AP99" s="1030">
        <f t="shared" si="81"/>
        <v>224.17830628966729</v>
      </c>
      <c r="AQ99" s="104"/>
      <c r="AR99" s="1064">
        <f>'Recycling - Case 1'!G109</f>
        <v>635.36778328058904</v>
      </c>
      <c r="AS99" s="1065">
        <v>1</v>
      </c>
      <c r="AT99" s="1066">
        <f t="shared" si="82"/>
        <v>0.05</v>
      </c>
      <c r="AU99" s="1044">
        <f t="shared" si="83"/>
        <v>15.884194582014727</v>
      </c>
      <c r="AV99" s="1044">
        <f t="shared" si="84"/>
        <v>15.884194582014727</v>
      </c>
      <c r="AW99" s="1045">
        <f t="shared" si="85"/>
        <v>0</v>
      </c>
      <c r="AX99" s="1044">
        <f t="shared" si="51"/>
        <v>197.69304979508345</v>
      </c>
      <c r="AY99" s="1044">
        <f t="shared" si="54"/>
        <v>11.242431737741471</v>
      </c>
      <c r="AZ99" s="1067">
        <f t="shared" si="52"/>
        <v>7.4949544918276478</v>
      </c>
      <c r="BB99" s="1055">
        <f t="shared" si="86"/>
        <v>363.21496244139826</v>
      </c>
      <c r="BC99" s="1056">
        <f t="shared" si="87"/>
        <v>224.17830628966729</v>
      </c>
      <c r="BD99" s="1082">
        <f t="shared" si="101"/>
        <v>7.4949544918276478</v>
      </c>
      <c r="BE99" s="1056">
        <f t="shared" si="60"/>
        <v>594.8882232228932</v>
      </c>
      <c r="BF99" s="167">
        <v>0</v>
      </c>
      <c r="BG99" s="1075">
        <f t="shared" si="88"/>
        <v>594.8882232228932</v>
      </c>
      <c r="BI99" s="1055">
        <f t="shared" si="89"/>
        <v>363.21496244139826</v>
      </c>
      <c r="BJ99" s="1056">
        <f t="shared" si="90"/>
        <v>224.17830628966729</v>
      </c>
      <c r="BK99" s="1082">
        <f t="shared" si="91"/>
        <v>7.4949544918276478</v>
      </c>
      <c r="BL99" s="1056">
        <f t="shared" si="61"/>
        <v>594.8882232228932</v>
      </c>
      <c r="BM99" s="167">
        <v>0</v>
      </c>
      <c r="BN99" s="1075">
        <f t="shared" si="92"/>
        <v>594.8882232228932</v>
      </c>
    </row>
    <row r="100" spans="1:66">
      <c r="A100" s="927">
        <f>'Input data'!A130</f>
        <v>2030</v>
      </c>
      <c r="B100" s="824">
        <f>'Input data'!B130</f>
        <v>65.956090000000003</v>
      </c>
      <c r="C100" s="824">
        <f>'Recycling - Case 1'!AK110/B100</f>
        <v>327.18239465170882</v>
      </c>
      <c r="D100" s="826">
        <f>'Recycling - Case 1'!AM110</f>
        <v>0.25820669926447132</v>
      </c>
      <c r="E100" s="826">
        <f>'Recycling - Case 1'!BE110</f>
        <v>0.17890535766768509</v>
      </c>
      <c r="F100" s="826">
        <f>'Recycling - Case 1'!BF110</f>
        <v>0.22690039397234227</v>
      </c>
      <c r="G100" s="826">
        <f>'Recycling - Case 1'!BG110</f>
        <v>7.6948027672859368E-2</v>
      </c>
      <c r="H100" s="826">
        <f>'Recycling - Case 1'!BH110</f>
        <v>0</v>
      </c>
      <c r="I100" s="826">
        <f>'Recycling - Case 1'!BI110</f>
        <v>0</v>
      </c>
      <c r="J100" s="826">
        <f>'Recycling - Case 1'!BJ110</f>
        <v>0</v>
      </c>
      <c r="K100" s="826">
        <f>'Recycling - Case 1'!BK110</f>
        <v>0.51724622068711357</v>
      </c>
      <c r="L100" s="827">
        <f t="shared" si="100"/>
        <v>1.0000000000000002</v>
      </c>
      <c r="M100" s="104"/>
      <c r="N100" s="838">
        <f t="shared" si="57"/>
        <v>5572.0157409803969</v>
      </c>
      <c r="O100" s="833">
        <f>Parameters!R201</f>
        <v>0.86499999999999988</v>
      </c>
      <c r="P100" s="834">
        <f>E100*'MSW characteristics'!$B$28+'MSW characteristics'!$B$29*'4A SWD Case 1'!F100+'4A SWD Case 1'!G100*'MSW characteristics'!$B$30+'MSW characteristics'!$B$31*'4A SWD Case 1'!H100+'4A SWD Case 1'!I100*'MSW characteristics'!$B$32+'MSW characteristics'!$B$33*'4A SWD Case 1'!J100+'4A SWD Case 1'!K100*'MSW characteristics'!$B$35</f>
        <v>0.10299509351376496</v>
      </c>
      <c r="Q100" s="832">
        <f t="shared" si="62"/>
        <v>248.20754709580797</v>
      </c>
      <c r="R100" s="832">
        <f t="shared" si="63"/>
        <v>248.20754709580797</v>
      </c>
      <c r="S100" s="835">
        <f t="shared" si="64"/>
        <v>0</v>
      </c>
      <c r="T100" s="832">
        <f t="shared" si="65"/>
        <v>10601.768989217142</v>
      </c>
      <c r="U100" s="832">
        <f t="shared" si="66"/>
        <v>530.83844653408926</v>
      </c>
      <c r="V100" s="839">
        <f t="shared" si="67"/>
        <v>353.89229768939282</v>
      </c>
      <c r="W100" s="1449"/>
      <c r="X100" s="1025">
        <f>'Recycling - Case 1'!AM150</f>
        <v>40.049138925132326</v>
      </c>
      <c r="Y100" s="1026">
        <f>Parameters!S201</f>
        <v>0.71500000000000008</v>
      </c>
      <c r="Z100" s="1027">
        <f t="shared" si="68"/>
        <v>0.4</v>
      </c>
      <c r="AA100" s="1028">
        <f t="shared" si="69"/>
        <v>5.7270268662939232</v>
      </c>
      <c r="AB100" s="1028">
        <f t="shared" si="70"/>
        <v>5.7270268662939232</v>
      </c>
      <c r="AC100" s="1029">
        <f t="shared" si="71"/>
        <v>0</v>
      </c>
      <c r="AD100" s="1028">
        <f t="shared" si="72"/>
        <v>6249.691204756522</v>
      </c>
      <c r="AE100" s="1028">
        <f t="shared" si="73"/>
        <v>320.13488913305156</v>
      </c>
      <c r="AF100" s="1030">
        <f t="shared" si="74"/>
        <v>213.42325942203436</v>
      </c>
      <c r="AG100" s="104"/>
      <c r="AH100" s="1025">
        <f>'Recycling - Case 1'!AM190</f>
        <v>40.049138925132326</v>
      </c>
      <c r="AI100" s="1026">
        <f>Parameters!S201</f>
        <v>0.71500000000000008</v>
      </c>
      <c r="AJ100" s="1027">
        <f t="shared" si="75"/>
        <v>0.4</v>
      </c>
      <c r="AK100" s="1028">
        <f t="shared" si="76"/>
        <v>5.7270268662939232</v>
      </c>
      <c r="AL100" s="1028">
        <f t="shared" si="77"/>
        <v>5.7270268662939232</v>
      </c>
      <c r="AM100" s="1029">
        <f t="shared" si="78"/>
        <v>0</v>
      </c>
      <c r="AN100" s="1028">
        <f t="shared" si="79"/>
        <v>6249.691204756522</v>
      </c>
      <c r="AO100" s="1028">
        <f t="shared" si="80"/>
        <v>320.13488913305156</v>
      </c>
      <c r="AP100" s="1030">
        <f t="shared" si="81"/>
        <v>213.42325942203436</v>
      </c>
      <c r="AQ100" s="104"/>
      <c r="AR100" s="1064">
        <f>'Recycling - Case 1'!G110</f>
        <v>646.37401788713851</v>
      </c>
      <c r="AS100" s="1065">
        <v>1</v>
      </c>
      <c r="AT100" s="1066">
        <f t="shared" si="82"/>
        <v>0.05</v>
      </c>
      <c r="AU100" s="1044">
        <f t="shared" si="83"/>
        <v>16.159350447178465</v>
      </c>
      <c r="AV100" s="1044">
        <f t="shared" si="84"/>
        <v>16.159350447178465</v>
      </c>
      <c r="AW100" s="1045">
        <f t="shared" si="85"/>
        <v>0</v>
      </c>
      <c r="AX100" s="1044">
        <f t="shared" si="51"/>
        <v>202.33965328029291</v>
      </c>
      <c r="AY100" s="1044">
        <f t="shared" si="54"/>
        <v>11.512746961969029</v>
      </c>
      <c r="AZ100" s="1067">
        <f t="shared" si="52"/>
        <v>7.6751646413126862</v>
      </c>
      <c r="BB100" s="1055">
        <f t="shared" si="86"/>
        <v>353.89229768939282</v>
      </c>
      <c r="BC100" s="1056">
        <f t="shared" si="87"/>
        <v>213.42325942203436</v>
      </c>
      <c r="BD100" s="1082">
        <f t="shared" si="101"/>
        <v>7.6751646413126862</v>
      </c>
      <c r="BE100" s="1056">
        <f t="shared" si="60"/>
        <v>574.99072175273989</v>
      </c>
      <c r="BF100" s="167">
        <v>0</v>
      </c>
      <c r="BG100" s="1075">
        <f t="shared" si="88"/>
        <v>574.99072175273989</v>
      </c>
      <c r="BI100" s="1055">
        <f t="shared" si="89"/>
        <v>353.89229768939282</v>
      </c>
      <c r="BJ100" s="1056">
        <f t="shared" si="90"/>
        <v>213.42325942203436</v>
      </c>
      <c r="BK100" s="1082">
        <f t="shared" si="91"/>
        <v>7.6751646413126862</v>
      </c>
      <c r="BL100" s="1056">
        <f t="shared" si="61"/>
        <v>574.99072175273989</v>
      </c>
      <c r="BM100" s="167">
        <v>0</v>
      </c>
      <c r="BN100" s="1075">
        <f t="shared" si="92"/>
        <v>574.99072175273989</v>
      </c>
    </row>
    <row r="101" spans="1:66">
      <c r="A101" s="927">
        <f>'Input data'!A131</f>
        <v>2031</v>
      </c>
      <c r="B101" s="824">
        <f>'Input data'!B131</f>
        <v>66.518977190687664</v>
      </c>
      <c r="C101" s="824">
        <f>'Recycling - Case 1'!AK111/B101</f>
        <v>320.01001515907478</v>
      </c>
      <c r="D101" s="826">
        <f>'Recycling - Case 1'!AM111</f>
        <v>0.24936665275687561</v>
      </c>
      <c r="E101" s="826">
        <f>'Recycling - Case 1'!BE111</f>
        <v>0.17957804457145587</v>
      </c>
      <c r="F101" s="826">
        <f>'Recycling - Case 1'!BF111</f>
        <v>0.22775354295276104</v>
      </c>
      <c r="G101" s="826">
        <f>'Recycling - Case 1'!BG111</f>
        <v>7.6750432253238687E-2</v>
      </c>
      <c r="H101" s="826">
        <f>'Recycling - Case 1'!BH111</f>
        <v>0</v>
      </c>
      <c r="I101" s="826">
        <f>'Recycling - Case 1'!BI111</f>
        <v>0</v>
      </c>
      <c r="J101" s="826">
        <f>'Recycling - Case 1'!BJ111</f>
        <v>0</v>
      </c>
      <c r="K101" s="826">
        <f>'Recycling - Case 1'!BK111</f>
        <v>0.51591798022254431</v>
      </c>
      <c r="L101" s="827">
        <f t="shared" si="100"/>
        <v>1</v>
      </c>
      <c r="M101" s="104"/>
      <c r="N101" s="838">
        <f t="shared" si="57"/>
        <v>5308.2028273926371</v>
      </c>
      <c r="O101" s="833">
        <f>Parameters!R202</f>
        <v>0.87175000000000002</v>
      </c>
      <c r="P101" s="834">
        <f>E101*'MSW characteristics'!$B$28+'MSW characteristics'!$B$29*'4A SWD Case 1'!F101+'4A SWD Case 1'!G101*'MSW characteristics'!$B$30+'MSW characteristics'!$B$31*'4A SWD Case 1'!H101+'4A SWD Case 1'!I101*'MSW characteristics'!$B$32+'MSW characteristics'!$B$33*'4A SWD Case 1'!J101+'4A SWD Case 1'!K101*'MSW characteristics'!$B$35</f>
        <v>0.10318758817756607</v>
      </c>
      <c r="Q101" s="832">
        <f t="shared" si="62"/>
        <v>238.74645464885418</v>
      </c>
      <c r="R101" s="832">
        <f t="shared" si="63"/>
        <v>238.74645464885418</v>
      </c>
      <c r="S101" s="835">
        <f t="shared" si="64"/>
        <v>0</v>
      </c>
      <c r="T101" s="832">
        <f t="shared" si="65"/>
        <v>10323.461068951392</v>
      </c>
      <c r="U101" s="832">
        <f t="shared" si="66"/>
        <v>517.0543749146035</v>
      </c>
      <c r="V101" s="839">
        <f t="shared" si="67"/>
        <v>344.70291660973567</v>
      </c>
      <c r="W101" s="1449"/>
      <c r="X101" s="1025">
        <f>'Recycling - Case 1'!AM151</f>
        <v>37.644254169548127</v>
      </c>
      <c r="Y101" s="1026">
        <f>Parameters!S202</f>
        <v>0.71500000000000008</v>
      </c>
      <c r="Z101" s="1027">
        <f t="shared" si="68"/>
        <v>0.4</v>
      </c>
      <c r="AA101" s="1028">
        <f t="shared" si="69"/>
        <v>5.3831283462453836</v>
      </c>
      <c r="AB101" s="1028">
        <f t="shared" si="70"/>
        <v>5.3831283462453836</v>
      </c>
      <c r="AC101" s="1029">
        <f t="shared" si="71"/>
        <v>0</v>
      </c>
      <c r="AD101" s="1028">
        <f t="shared" si="72"/>
        <v>5950.2732963539656</v>
      </c>
      <c r="AE101" s="1028">
        <f t="shared" si="73"/>
        <v>304.80103674880155</v>
      </c>
      <c r="AF101" s="1030">
        <f t="shared" si="74"/>
        <v>203.20069116586771</v>
      </c>
      <c r="AG101" s="104"/>
      <c r="AH101" s="1025">
        <f>'Recycling - Case 1'!AM191</f>
        <v>37.644254169548127</v>
      </c>
      <c r="AI101" s="1026">
        <f>Parameters!S202</f>
        <v>0.71500000000000008</v>
      </c>
      <c r="AJ101" s="1027">
        <f t="shared" si="75"/>
        <v>0.4</v>
      </c>
      <c r="AK101" s="1028">
        <f t="shared" si="76"/>
        <v>5.3831283462453836</v>
      </c>
      <c r="AL101" s="1028">
        <f t="shared" si="77"/>
        <v>5.3831283462453836</v>
      </c>
      <c r="AM101" s="1029">
        <f t="shared" si="78"/>
        <v>0</v>
      </c>
      <c r="AN101" s="1028">
        <f t="shared" si="79"/>
        <v>5950.2732963539656</v>
      </c>
      <c r="AO101" s="1028">
        <f t="shared" si="80"/>
        <v>304.80103674880155</v>
      </c>
      <c r="AP101" s="1030">
        <f t="shared" si="81"/>
        <v>203.20069116586771</v>
      </c>
      <c r="AQ101" s="104"/>
      <c r="AR101" s="1064">
        <f>'Recycling - Case 1'!G111</f>
        <v>656.68100693696977</v>
      </c>
      <c r="AS101" s="1065">
        <v>1</v>
      </c>
      <c r="AT101" s="1066">
        <f t="shared" si="82"/>
        <v>0.05</v>
      </c>
      <c r="AU101" s="1044">
        <f t="shared" si="83"/>
        <v>16.417025173424246</v>
      </c>
      <c r="AV101" s="1044">
        <f t="shared" si="84"/>
        <v>16.417025173424246</v>
      </c>
      <c r="AW101" s="1045">
        <f t="shared" si="85"/>
        <v>0</v>
      </c>
      <c r="AX101" s="1044">
        <f t="shared" si="51"/>
        <v>206.97333437053788</v>
      </c>
      <c r="AY101" s="1044">
        <f t="shared" si="54"/>
        <v>11.783344083179257</v>
      </c>
      <c r="AZ101" s="1067">
        <f t="shared" si="52"/>
        <v>7.8555627221195046</v>
      </c>
      <c r="BB101" s="1055">
        <f t="shared" si="86"/>
        <v>344.70291660973567</v>
      </c>
      <c r="BC101" s="1056">
        <f t="shared" si="87"/>
        <v>203.20069116586771</v>
      </c>
      <c r="BD101" s="1082">
        <f t="shared" si="101"/>
        <v>7.8555627221195046</v>
      </c>
      <c r="BE101" s="1056">
        <f t="shared" si="60"/>
        <v>555.75917049772295</v>
      </c>
      <c r="BF101" s="167">
        <v>0</v>
      </c>
      <c r="BG101" s="1075">
        <f t="shared" si="88"/>
        <v>555.75917049772295</v>
      </c>
      <c r="BI101" s="1055">
        <f t="shared" si="89"/>
        <v>344.70291660973567</v>
      </c>
      <c r="BJ101" s="1056">
        <f t="shared" si="90"/>
        <v>203.20069116586771</v>
      </c>
      <c r="BK101" s="1082">
        <f t="shared" si="91"/>
        <v>7.8555627221195046</v>
      </c>
      <c r="BL101" s="1056">
        <f t="shared" si="61"/>
        <v>555.75917049772295</v>
      </c>
      <c r="BM101" s="167">
        <v>0</v>
      </c>
      <c r="BN101" s="1075">
        <f t="shared" si="92"/>
        <v>555.75917049772295</v>
      </c>
    </row>
    <row r="102" spans="1:66">
      <c r="A102" s="927">
        <f>'Input data'!A132</f>
        <v>2032</v>
      </c>
      <c r="B102" s="824">
        <f>'Input data'!B132</f>
        <v>67.08666821358311</v>
      </c>
      <c r="C102" s="824">
        <f>'Recycling - Case 1'!AK112/B102</f>
        <v>312.95169592195651</v>
      </c>
      <c r="D102" s="826">
        <f>'Recycling - Case 1'!AM112</f>
        <v>0.24026754761897906</v>
      </c>
      <c r="E102" s="826">
        <f>'Recycling - Case 1'!BE112</f>
        <v>0.18024163675808727</v>
      </c>
      <c r="F102" s="826">
        <f>'Recycling - Case 1'!BF112</f>
        <v>0.22859515737139297</v>
      </c>
      <c r="G102" s="826">
        <f>'Recycling - Case 1'!BG112</f>
        <v>7.6555508320812815E-2</v>
      </c>
      <c r="H102" s="826">
        <f>'Recycling - Case 1'!BH112</f>
        <v>0</v>
      </c>
      <c r="I102" s="826">
        <f>'Recycling - Case 1'!BI112</f>
        <v>0</v>
      </c>
      <c r="J102" s="826">
        <f>'Recycling - Case 1'!BJ112</f>
        <v>0</v>
      </c>
      <c r="K102" s="826">
        <f>'Recycling - Case 1'!BK112</f>
        <v>0.51460769754970714</v>
      </c>
      <c r="L102" s="827">
        <f t="shared" si="100"/>
        <v>1.0000000000000002</v>
      </c>
      <c r="M102" s="104"/>
      <c r="N102" s="838">
        <f t="shared" si="57"/>
        <v>5044.3899138048773</v>
      </c>
      <c r="O102" s="833">
        <f>Parameters!R203</f>
        <v>0.87849999999999995</v>
      </c>
      <c r="P102" s="834">
        <f>E102*'MSW characteristics'!$B$28+'MSW characteristics'!$B$29*'4A SWD Case 1'!F102+'4A SWD Case 1'!G102*'MSW characteristics'!$B$30+'MSW characteristics'!$B$31*'4A SWD Case 1'!H102+'4A SWD Case 1'!I102*'MSW characteristics'!$B$32+'MSW characteristics'!$B$33*'4A SWD Case 1'!J102+'4A SWD Case 1'!K102*'MSW characteristics'!$B$35</f>
        <v>0.10337748031631681</v>
      </c>
      <c r="Q102" s="832">
        <f t="shared" si="62"/>
        <v>229.05847313049728</v>
      </c>
      <c r="R102" s="832">
        <f t="shared" si="63"/>
        <v>229.05847313049728</v>
      </c>
      <c r="S102" s="835">
        <f t="shared" si="64"/>
        <v>0</v>
      </c>
      <c r="T102" s="832">
        <f t="shared" si="65"/>
        <v>10049.038404604657</v>
      </c>
      <c r="U102" s="832">
        <f t="shared" si="66"/>
        <v>503.48113747723346</v>
      </c>
      <c r="V102" s="839">
        <f t="shared" si="67"/>
        <v>335.65409165148895</v>
      </c>
      <c r="W102" s="1449"/>
      <c r="X102" s="1025">
        <f>'Recycling - Case 1'!AM152</f>
        <v>6.6310956304419584</v>
      </c>
      <c r="Y102" s="1026">
        <f>Parameters!S203</f>
        <v>0.71500000000000008</v>
      </c>
      <c r="Z102" s="1027">
        <f t="shared" si="68"/>
        <v>0.4</v>
      </c>
      <c r="AA102" s="1028">
        <f t="shared" si="69"/>
        <v>0.94824667515320027</v>
      </c>
      <c r="AB102" s="1028">
        <f t="shared" si="70"/>
        <v>0.94824667515320027</v>
      </c>
      <c r="AC102" s="1029">
        <f t="shared" si="71"/>
        <v>0</v>
      </c>
      <c r="AD102" s="1028">
        <f t="shared" si="72"/>
        <v>5661.0232899879029</v>
      </c>
      <c r="AE102" s="1028">
        <f t="shared" si="73"/>
        <v>290.19825304121639</v>
      </c>
      <c r="AF102" s="1030">
        <f t="shared" si="74"/>
        <v>193.46550202747758</v>
      </c>
      <c r="AG102" s="104"/>
      <c r="AH102" s="1025">
        <f>'Recycling - Case 1'!AM192</f>
        <v>6.6310956304419584</v>
      </c>
      <c r="AI102" s="1026">
        <f>Parameters!S203</f>
        <v>0.71500000000000008</v>
      </c>
      <c r="AJ102" s="1027">
        <f t="shared" si="75"/>
        <v>0.4</v>
      </c>
      <c r="AK102" s="1028">
        <f t="shared" si="76"/>
        <v>0.94824667515320027</v>
      </c>
      <c r="AL102" s="1028">
        <f t="shared" si="77"/>
        <v>0.94824667515320027</v>
      </c>
      <c r="AM102" s="1029">
        <f t="shared" si="78"/>
        <v>0</v>
      </c>
      <c r="AN102" s="1028">
        <f t="shared" si="79"/>
        <v>5661.0232899879029</v>
      </c>
      <c r="AO102" s="1028">
        <f t="shared" si="80"/>
        <v>290.19825304121639</v>
      </c>
      <c r="AP102" s="1030">
        <f t="shared" si="81"/>
        <v>193.46550202747758</v>
      </c>
      <c r="AQ102" s="104"/>
      <c r="AR102" s="1064">
        <f>'Recycling - Case 1'!G112</f>
        <v>667.11684340477314</v>
      </c>
      <c r="AS102" s="1065">
        <v>1</v>
      </c>
      <c r="AT102" s="1066">
        <f t="shared" si="82"/>
        <v>0.05</v>
      </c>
      <c r="AU102" s="1044">
        <f t="shared" si="83"/>
        <v>16.67792108511933</v>
      </c>
      <c r="AV102" s="1044">
        <f t="shared" si="84"/>
        <v>16.67792108511933</v>
      </c>
      <c r="AW102" s="1045">
        <f t="shared" si="85"/>
        <v>0</v>
      </c>
      <c r="AX102" s="1044">
        <f t="shared" si="51"/>
        <v>211.59806679296568</v>
      </c>
      <c r="AY102" s="1044">
        <f t="shared" si="54"/>
        <v>12.05318866269152</v>
      </c>
      <c r="AZ102" s="1067">
        <f t="shared" si="52"/>
        <v>8.0354591084610139</v>
      </c>
      <c r="BB102" s="1055">
        <f t="shared" si="86"/>
        <v>335.65409165148895</v>
      </c>
      <c r="BC102" s="1056">
        <f t="shared" si="87"/>
        <v>193.46550202747758</v>
      </c>
      <c r="BD102" s="1082">
        <f t="shared" si="101"/>
        <v>8.0354591084610139</v>
      </c>
      <c r="BE102" s="1056">
        <f t="shared" si="60"/>
        <v>537.15505278742762</v>
      </c>
      <c r="BF102" s="167">
        <v>0</v>
      </c>
      <c r="BG102" s="1075">
        <f t="shared" si="88"/>
        <v>537.15505278742762</v>
      </c>
      <c r="BI102" s="1055">
        <f t="shared" si="89"/>
        <v>335.65409165148895</v>
      </c>
      <c r="BJ102" s="1056">
        <f t="shared" si="90"/>
        <v>193.46550202747758</v>
      </c>
      <c r="BK102" s="1082">
        <f t="shared" si="91"/>
        <v>8.0354591084610139</v>
      </c>
      <c r="BL102" s="1056">
        <f t="shared" si="61"/>
        <v>537.15505278742762</v>
      </c>
      <c r="BM102" s="167">
        <v>0</v>
      </c>
      <c r="BN102" s="1075">
        <f t="shared" si="92"/>
        <v>537.15505278742762</v>
      </c>
    </row>
    <row r="103" spans="1:66">
      <c r="A103" s="927">
        <f>'Input data'!A133</f>
        <v>2033</v>
      </c>
      <c r="B103" s="824">
        <f>'Input data'!B133</f>
        <v>67.659204065895452</v>
      </c>
      <c r="C103" s="824">
        <f>'Recycling - Case 1'!AK113/B103</f>
        <v>306.00580123724939</v>
      </c>
      <c r="D103" s="826">
        <f>'Recycling - Case 1'!AM113</f>
        <v>0.23089991515555844</v>
      </c>
      <c r="E103" s="826">
        <f>'Recycling - Case 1'!BE113</f>
        <v>0.18089629394968071</v>
      </c>
      <c r="F103" s="826">
        <f>'Recycling - Case 1'!BF113</f>
        <v>0.22942543979907346</v>
      </c>
      <c r="G103" s="826">
        <f>'Recycling - Case 1'!BG113</f>
        <v>7.6363208958724102E-2</v>
      </c>
      <c r="H103" s="826">
        <f>'Recycling - Case 1'!BH113</f>
        <v>0</v>
      </c>
      <c r="I103" s="826">
        <f>'Recycling - Case 1'!BI113</f>
        <v>0</v>
      </c>
      <c r="J103" s="826">
        <f>'Recycling - Case 1'!BJ113</f>
        <v>0</v>
      </c>
      <c r="K103" s="826">
        <f>'Recycling - Case 1'!BK113</f>
        <v>0.51331505729252191</v>
      </c>
      <c r="L103" s="827">
        <f t="shared" si="100"/>
        <v>1.0000000000000002</v>
      </c>
      <c r="M103" s="104"/>
      <c r="N103" s="838">
        <f t="shared" si="57"/>
        <v>4780.5770002171175</v>
      </c>
      <c r="O103" s="833">
        <f>Parameters!R204</f>
        <v>0.88524999999999998</v>
      </c>
      <c r="P103" s="834">
        <f>E103*'MSW characteristics'!$B$28+'MSW characteristics'!$B$29*'4A SWD Case 1'!F103+'4A SWD Case 1'!G103*'MSW characteristics'!$B$30+'MSW characteristics'!$B$31*'4A SWD Case 1'!H103+'4A SWD Case 1'!I103*'MSW characteristics'!$B$32+'MSW characteristics'!$B$33*'4A SWD Case 1'!J103+'4A SWD Case 1'!K103*'MSW characteristics'!$B$35</f>
        <v>0.10356481563575644</v>
      </c>
      <c r="Q103" s="832">
        <f t="shared" si="62"/>
        <v>219.14344967651783</v>
      </c>
      <c r="R103" s="832">
        <f t="shared" si="63"/>
        <v>219.14344967651783</v>
      </c>
      <c r="S103" s="835">
        <f t="shared" si="64"/>
        <v>0</v>
      </c>
      <c r="T103" s="832">
        <f t="shared" si="65"/>
        <v>9778.0844680741793</v>
      </c>
      <c r="U103" s="832">
        <f t="shared" si="66"/>
        <v>490.09738620699579</v>
      </c>
      <c r="V103" s="839">
        <f t="shared" si="67"/>
        <v>326.73159080466388</v>
      </c>
      <c r="W103" s="1449"/>
      <c r="X103" s="1025">
        <f>'Recycling - Case 1'!AM153</f>
        <v>0</v>
      </c>
      <c r="Y103" s="1026">
        <f>Parameters!S204</f>
        <v>0.71500000000000008</v>
      </c>
      <c r="Z103" s="1027">
        <f t="shared" si="68"/>
        <v>0.4</v>
      </c>
      <c r="AA103" s="1028">
        <f t="shared" si="69"/>
        <v>0</v>
      </c>
      <c r="AB103" s="1028">
        <f t="shared" si="70"/>
        <v>0</v>
      </c>
      <c r="AC103" s="1029">
        <f t="shared" si="71"/>
        <v>0</v>
      </c>
      <c r="AD103" s="1028">
        <f t="shared" si="72"/>
        <v>5384.9319262203317</v>
      </c>
      <c r="AE103" s="1028">
        <f t="shared" si="73"/>
        <v>276.09136376757135</v>
      </c>
      <c r="AF103" s="1030">
        <f t="shared" si="74"/>
        <v>184.06090917838091</v>
      </c>
      <c r="AG103" s="104"/>
      <c r="AH103" s="1025">
        <f>'Recycling - Case 1'!AM193</f>
        <v>0</v>
      </c>
      <c r="AI103" s="1026">
        <f>Parameters!S204</f>
        <v>0.71500000000000008</v>
      </c>
      <c r="AJ103" s="1027">
        <f t="shared" si="75"/>
        <v>0.4</v>
      </c>
      <c r="AK103" s="1028">
        <f t="shared" si="76"/>
        <v>0</v>
      </c>
      <c r="AL103" s="1028">
        <f t="shared" si="77"/>
        <v>0</v>
      </c>
      <c r="AM103" s="1029">
        <f t="shared" si="78"/>
        <v>0</v>
      </c>
      <c r="AN103" s="1028">
        <f t="shared" si="79"/>
        <v>5384.9319262203317</v>
      </c>
      <c r="AO103" s="1028">
        <f t="shared" si="80"/>
        <v>276.09136376757135</v>
      </c>
      <c r="AP103" s="1030">
        <f t="shared" si="81"/>
        <v>184.06090917838091</v>
      </c>
      <c r="AQ103" s="104"/>
      <c r="AR103" s="1064">
        <f>'Recycling - Case 1'!G113</f>
        <v>677.68297583118044</v>
      </c>
      <c r="AS103" s="1065">
        <v>1</v>
      </c>
      <c r="AT103" s="1066">
        <f t="shared" si="82"/>
        <v>0.05</v>
      </c>
      <c r="AU103" s="1044">
        <f t="shared" si="83"/>
        <v>16.94207439577951</v>
      </c>
      <c r="AV103" s="1044">
        <f t="shared" si="84"/>
        <v>16.94207439577951</v>
      </c>
      <c r="AW103" s="1045">
        <f t="shared" si="85"/>
        <v>0</v>
      </c>
      <c r="AX103" s="1044">
        <f t="shared" si="51"/>
        <v>216.21762907638555</v>
      </c>
      <c r="AY103" s="1044">
        <f t="shared" si="54"/>
        <v>12.322512112359648</v>
      </c>
      <c r="AZ103" s="1067">
        <f t="shared" si="52"/>
        <v>8.2150080749064323</v>
      </c>
      <c r="BB103" s="1055">
        <f t="shared" si="86"/>
        <v>326.73159080466388</v>
      </c>
      <c r="BC103" s="1056">
        <f t="shared" si="87"/>
        <v>184.06090917838091</v>
      </c>
      <c r="BD103" s="1082">
        <f t="shared" si="101"/>
        <v>8.2150080749064323</v>
      </c>
      <c r="BE103" s="1056">
        <f t="shared" si="60"/>
        <v>519.00750805795121</v>
      </c>
      <c r="BF103" s="167">
        <v>0</v>
      </c>
      <c r="BG103" s="1075">
        <f t="shared" si="88"/>
        <v>519.00750805795121</v>
      </c>
      <c r="BI103" s="1055">
        <f t="shared" si="89"/>
        <v>326.73159080466388</v>
      </c>
      <c r="BJ103" s="1056">
        <f t="shared" si="90"/>
        <v>184.06090917838091</v>
      </c>
      <c r="BK103" s="1082">
        <f t="shared" si="91"/>
        <v>8.2150080749064323</v>
      </c>
      <c r="BL103" s="1056">
        <f t="shared" si="61"/>
        <v>519.00750805795121</v>
      </c>
      <c r="BM103" s="167">
        <v>0</v>
      </c>
      <c r="BN103" s="1075">
        <f t="shared" si="92"/>
        <v>519.00750805795121</v>
      </c>
    </row>
    <row r="104" spans="1:66">
      <c r="A104" s="927">
        <f>'Input data'!A134</f>
        <v>2034</v>
      </c>
      <c r="B104" s="824">
        <f>'Input data'!B134</f>
        <v>68.236626094715163</v>
      </c>
      <c r="C104" s="824">
        <f>'Recycling - Case 1'!AK114/B104</f>
        <v>299.17072159316484</v>
      </c>
      <c r="D104" s="826">
        <f>'Recycling - Case 1'!AM114</f>
        <v>0.22125381783777373</v>
      </c>
      <c r="E104" s="826">
        <f>'Recycling - Case 1'!BE114</f>
        <v>0.18154217223260266</v>
      </c>
      <c r="F104" s="826">
        <f>'Recycling - Case 1'!BF114</f>
        <v>0.23024458819554225</v>
      </c>
      <c r="G104" s="826">
        <f>'Recycling - Case 1'!BG114</f>
        <v>7.6173488318077687E-2</v>
      </c>
      <c r="H104" s="826">
        <f>'Recycling - Case 1'!BH114</f>
        <v>0</v>
      </c>
      <c r="I104" s="826">
        <f>'Recycling - Case 1'!BI114</f>
        <v>0</v>
      </c>
      <c r="J104" s="826">
        <f>'Recycling - Case 1'!BJ114</f>
        <v>0</v>
      </c>
      <c r="K104" s="826">
        <f>'Recycling - Case 1'!BK114</f>
        <v>0.51203975125377732</v>
      </c>
      <c r="L104" s="827">
        <f t="shared" si="100"/>
        <v>0.99999999999999989</v>
      </c>
      <c r="M104" s="104"/>
      <c r="N104" s="838">
        <f t="shared" si="57"/>
        <v>4516.7640866293577</v>
      </c>
      <c r="O104" s="833">
        <f>Parameters!R205</f>
        <v>0.8919999999999999</v>
      </c>
      <c r="P104" s="834">
        <f>E104*'MSW characteristics'!$B$28+'MSW characteristics'!$B$29*'4A SWD Case 1'!F104+'4A SWD Case 1'!G104*'MSW characteristics'!$B$30+'MSW characteristics'!$B$31*'4A SWD Case 1'!H104+'4A SWD Case 1'!I104*'MSW characteristics'!$B$32+'MSW characteristics'!$B$33*'4A SWD Case 1'!J104+'4A SWD Case 1'!K104*'MSW characteristics'!$B$35</f>
        <v>0.10374963880122992</v>
      </c>
      <c r="Q104" s="832">
        <f t="shared" si="62"/>
        <v>209.0012385720207</v>
      </c>
      <c r="R104" s="832">
        <f t="shared" si="63"/>
        <v>209.0012385720207</v>
      </c>
      <c r="S104" s="835">
        <f t="shared" si="64"/>
        <v>0</v>
      </c>
      <c r="T104" s="832">
        <f t="shared" si="65"/>
        <v>9510.2028998575915</v>
      </c>
      <c r="U104" s="832">
        <f t="shared" si="66"/>
        <v>476.88280678860741</v>
      </c>
      <c r="V104" s="839">
        <f t="shared" si="67"/>
        <v>317.92187119240492</v>
      </c>
      <c r="W104" s="1449"/>
      <c r="X104" s="1025">
        <f>'Recycling - Case 1'!AM154</f>
        <v>0</v>
      </c>
      <c r="Y104" s="1026">
        <f>Parameters!S205</f>
        <v>0.71500000000000008</v>
      </c>
      <c r="Z104" s="1027">
        <f t="shared" si="68"/>
        <v>0.4</v>
      </c>
      <c r="AA104" s="1028">
        <f t="shared" si="69"/>
        <v>0</v>
      </c>
      <c r="AB104" s="1028">
        <f t="shared" si="70"/>
        <v>0</v>
      </c>
      <c r="AC104" s="1029">
        <f t="shared" si="71"/>
        <v>0</v>
      </c>
      <c r="AD104" s="1028">
        <f t="shared" si="72"/>
        <v>5122.3056971540873</v>
      </c>
      <c r="AE104" s="1028">
        <f t="shared" si="73"/>
        <v>262.62622906624421</v>
      </c>
      <c r="AF104" s="1030">
        <f t="shared" si="74"/>
        <v>175.08415271082947</v>
      </c>
      <c r="AG104" s="104"/>
      <c r="AH104" s="1025">
        <f>'Recycling - Case 1'!AM194</f>
        <v>0</v>
      </c>
      <c r="AI104" s="1026">
        <f>Parameters!S205</f>
        <v>0.71500000000000008</v>
      </c>
      <c r="AJ104" s="1027">
        <f t="shared" si="75"/>
        <v>0.4</v>
      </c>
      <c r="AK104" s="1028">
        <f t="shared" si="76"/>
        <v>0</v>
      </c>
      <c r="AL104" s="1028">
        <f t="shared" si="77"/>
        <v>0</v>
      </c>
      <c r="AM104" s="1029">
        <f t="shared" si="78"/>
        <v>0</v>
      </c>
      <c r="AN104" s="1028">
        <f t="shared" si="79"/>
        <v>5122.3056971540873</v>
      </c>
      <c r="AO104" s="1028">
        <f t="shared" si="80"/>
        <v>262.62622906624421</v>
      </c>
      <c r="AP104" s="1030">
        <f t="shared" si="81"/>
        <v>175.08415271082947</v>
      </c>
      <c r="AQ104" s="104"/>
      <c r="AR104" s="1064">
        <f>'Recycling - Case 1'!G114</f>
        <v>688.38086809685626</v>
      </c>
      <c r="AS104" s="1065">
        <v>1</v>
      </c>
      <c r="AT104" s="1066">
        <f t="shared" si="82"/>
        <v>0.05</v>
      </c>
      <c r="AU104" s="1044">
        <f t="shared" si="83"/>
        <v>17.209521702421409</v>
      </c>
      <c r="AV104" s="1044">
        <f t="shared" si="84"/>
        <v>17.209521702421409</v>
      </c>
      <c r="AW104" s="1045">
        <f t="shared" si="85"/>
        <v>0</v>
      </c>
      <c r="AX104" s="1044">
        <f t="shared" si="51"/>
        <v>220.83561630223574</v>
      </c>
      <c r="AY104" s="1044">
        <f t="shared" si="54"/>
        <v>12.591534476571217</v>
      </c>
      <c r="AZ104" s="1067">
        <f t="shared" si="52"/>
        <v>8.3943563177141449</v>
      </c>
      <c r="BB104" s="1055">
        <f t="shared" si="86"/>
        <v>317.92187119240492</v>
      </c>
      <c r="BC104" s="1056">
        <f t="shared" si="87"/>
        <v>175.08415271082947</v>
      </c>
      <c r="BD104" s="1082">
        <f t="shared" si="101"/>
        <v>8.3943563177141449</v>
      </c>
      <c r="BE104" s="1056">
        <f t="shared" si="60"/>
        <v>501.40038022094853</v>
      </c>
      <c r="BF104" s="167">
        <v>0</v>
      </c>
      <c r="BG104" s="1075">
        <f t="shared" si="88"/>
        <v>501.40038022094853</v>
      </c>
      <c r="BI104" s="1055">
        <f t="shared" si="89"/>
        <v>317.92187119240492</v>
      </c>
      <c r="BJ104" s="1056">
        <f t="shared" si="90"/>
        <v>175.08415271082947</v>
      </c>
      <c r="BK104" s="1082">
        <f t="shared" si="91"/>
        <v>8.3943563177141449</v>
      </c>
      <c r="BL104" s="1056">
        <f t="shared" si="61"/>
        <v>501.40038022094853</v>
      </c>
      <c r="BM104" s="167">
        <v>0</v>
      </c>
      <c r="BN104" s="1075">
        <f t="shared" si="92"/>
        <v>501.40038022094853</v>
      </c>
    </row>
    <row r="105" spans="1:66">
      <c r="A105" s="927">
        <f>'Input data'!A135</f>
        <v>2035</v>
      </c>
      <c r="B105" s="824">
        <f>'Input data'!B135</f>
        <v>68.818976000000006</v>
      </c>
      <c r="C105" s="824">
        <f>'Recycling - Case 1'!AK115/B105</f>
        <v>292.44487311696332</v>
      </c>
      <c r="D105" s="826">
        <f>'Recycling - Case 1'!AM115</f>
        <v>0.21131882072888153</v>
      </c>
      <c r="E105" s="826">
        <f>'Recycling - Case 1'!BE115</f>
        <v>0.18217942416048291</v>
      </c>
      <c r="F105" s="826">
        <f>'Recycling - Case 1'!BF115</f>
        <v>0.23105279604007339</v>
      </c>
      <c r="G105" s="826">
        <f>'Recycling - Case 1'!BG115</f>
        <v>7.5986301587686933E-2</v>
      </c>
      <c r="H105" s="826">
        <f>'Recycling - Case 1'!BH115</f>
        <v>0</v>
      </c>
      <c r="I105" s="826">
        <f>'Recycling - Case 1'!BI115</f>
        <v>0</v>
      </c>
      <c r="J105" s="826">
        <f>'Recycling - Case 1'!BJ115</f>
        <v>0</v>
      </c>
      <c r="K105" s="826">
        <f>'Recycling - Case 1'!BK115</f>
        <v>0.51078147821175679</v>
      </c>
      <c r="L105" s="827">
        <f t="shared" si="100"/>
        <v>1</v>
      </c>
      <c r="M105" s="104"/>
      <c r="N105" s="838">
        <f t="shared" si="57"/>
        <v>4252.9511730415979</v>
      </c>
      <c r="O105" s="833">
        <f>Parameters!R206</f>
        <v>0.89875000000000005</v>
      </c>
      <c r="P105" s="834">
        <f>E105*'MSW characteristics'!$B$28+'MSW characteristics'!$B$29*'4A SWD Case 1'!F105+'4A SWD Case 1'!G105*'MSW characteristics'!$B$30+'MSW characteristics'!$B$31*'4A SWD Case 1'!H105+'4A SWD Case 1'!I105*'MSW characteristics'!$B$32+'MSW characteristics'!$B$33*'4A SWD Case 1'!J105+'4A SWD Case 1'!K105*'MSW characteristics'!$B$35</f>
        <v>0.10393199346716189</v>
      </c>
      <c r="Q105" s="832">
        <f t="shared" si="62"/>
        <v>198.63170103126512</v>
      </c>
      <c r="R105" s="832">
        <f t="shared" si="63"/>
        <v>198.63170103126512</v>
      </c>
      <c r="S105" s="835">
        <f t="shared" si="64"/>
        <v>0</v>
      </c>
      <c r="T105" s="832">
        <f t="shared" si="65"/>
        <v>9245.0165323478232</v>
      </c>
      <c r="U105" s="832">
        <f t="shared" si="66"/>
        <v>463.8180685410332</v>
      </c>
      <c r="V105" s="839">
        <f t="shared" si="67"/>
        <v>309.21204569402215</v>
      </c>
      <c r="W105" s="1449"/>
      <c r="X105" s="1025">
        <f>'Recycling - Case 1'!AM155</f>
        <v>-751.91700000000026</v>
      </c>
      <c r="Y105" s="1026">
        <f>Parameters!S206</f>
        <v>0.71500000000000008</v>
      </c>
      <c r="Z105" s="1027">
        <f t="shared" si="68"/>
        <v>0.4</v>
      </c>
      <c r="AA105" s="1028">
        <f t="shared" si="69"/>
        <v>-107.52413100000005</v>
      </c>
      <c r="AB105" s="1028">
        <f t="shared" si="70"/>
        <v>-107.52413100000005</v>
      </c>
      <c r="AC105" s="1029">
        <f t="shared" si="71"/>
        <v>0</v>
      </c>
      <c r="AD105" s="1028">
        <f t="shared" si="72"/>
        <v>4764.9637694206112</v>
      </c>
      <c r="AE105" s="1028">
        <f t="shared" si="73"/>
        <v>249.81779673347614</v>
      </c>
      <c r="AF105" s="1030">
        <f t="shared" si="74"/>
        <v>166.54519782231742</v>
      </c>
      <c r="AG105" s="104"/>
      <c r="AH105" s="1025">
        <f>'Recycling - Case 1'!AM195</f>
        <v>-751.91700000000026</v>
      </c>
      <c r="AI105" s="1026">
        <f>Parameters!S206</f>
        <v>0.71500000000000008</v>
      </c>
      <c r="AJ105" s="1027">
        <f t="shared" si="75"/>
        <v>0.4</v>
      </c>
      <c r="AK105" s="1028">
        <f t="shared" si="76"/>
        <v>-107.52413100000005</v>
      </c>
      <c r="AL105" s="1028">
        <f t="shared" si="77"/>
        <v>-107.52413100000005</v>
      </c>
      <c r="AM105" s="1029">
        <f t="shared" si="78"/>
        <v>0</v>
      </c>
      <c r="AN105" s="1028">
        <f t="shared" si="79"/>
        <v>4764.9637694206112</v>
      </c>
      <c r="AO105" s="1028">
        <f t="shared" si="80"/>
        <v>249.81779673347614</v>
      </c>
      <c r="AP105" s="1030">
        <f t="shared" si="81"/>
        <v>166.54519782231742</v>
      </c>
      <c r="AQ105" s="104"/>
      <c r="AR105" s="1064">
        <f>'Recycling - Case 1'!G115</f>
        <v>699.21199957882664</v>
      </c>
      <c r="AS105" s="1065">
        <v>1</v>
      </c>
      <c r="AT105" s="1066">
        <f t="shared" si="82"/>
        <v>0.05</v>
      </c>
      <c r="AU105" s="1044">
        <f t="shared" si="83"/>
        <v>17.480299989470666</v>
      </c>
      <c r="AV105" s="1044">
        <f t="shared" si="84"/>
        <v>17.480299989470666</v>
      </c>
      <c r="AW105" s="1045">
        <f t="shared" si="85"/>
        <v>0</v>
      </c>
      <c r="AX105" s="1044">
        <f t="shared" si="51"/>
        <v>225.45545117513581</v>
      </c>
      <c r="AY105" s="1044">
        <f t="shared" si="54"/>
        <v>12.860465116570586</v>
      </c>
      <c r="AZ105" s="1067">
        <f t="shared" si="52"/>
        <v>8.5736434110470565</v>
      </c>
      <c r="BB105" s="1055">
        <f t="shared" si="86"/>
        <v>309.21204569402215</v>
      </c>
      <c r="BC105" s="1056">
        <f t="shared" si="87"/>
        <v>166.54519782231742</v>
      </c>
      <c r="BD105" s="1082">
        <f t="shared" si="101"/>
        <v>8.5736434110470565</v>
      </c>
      <c r="BE105" s="1056">
        <f t="shared" si="60"/>
        <v>484.33088692738664</v>
      </c>
      <c r="BF105" s="167">
        <v>0</v>
      </c>
      <c r="BG105" s="1075">
        <f t="shared" si="88"/>
        <v>484.33088692738664</v>
      </c>
      <c r="BI105" s="1055">
        <f t="shared" si="89"/>
        <v>309.21204569402215</v>
      </c>
      <c r="BJ105" s="1056">
        <f t="shared" si="90"/>
        <v>166.54519782231742</v>
      </c>
      <c r="BK105" s="1082">
        <f t="shared" si="91"/>
        <v>8.5736434110470565</v>
      </c>
      <c r="BL105" s="1056">
        <f t="shared" si="61"/>
        <v>484.33088692738664</v>
      </c>
      <c r="BM105" s="167">
        <v>0</v>
      </c>
      <c r="BN105" s="1075">
        <f t="shared" si="92"/>
        <v>484.33088692738664</v>
      </c>
    </row>
    <row r="106" spans="1:66">
      <c r="A106" s="927">
        <f>'Input data'!A136</f>
        <v>2036</v>
      </c>
      <c r="B106" s="824">
        <f>'Input data'!B136</f>
        <v>69.322810489383542</v>
      </c>
      <c r="C106" s="824">
        <f>'Recycling - Case 1'!AK116/B106</f>
        <v>286.03749237591961</v>
      </c>
      <c r="D106" s="826">
        <f>'Recycling - Case 1'!AM116</f>
        <v>0.20117775858184658</v>
      </c>
      <c r="E106" s="826">
        <f>'Recycling - Case 1'!BE116</f>
        <v>0.18271965574350774</v>
      </c>
      <c r="F106" s="826">
        <f>'Recycling - Case 1'!BF116</f>
        <v>0.23173795583977225</v>
      </c>
      <c r="G106" s="826">
        <f>'Recycling - Case 1'!BG116</f>
        <v>7.5827613666543003E-2</v>
      </c>
      <c r="H106" s="826">
        <f>'Recycling - Case 1'!BH116</f>
        <v>0</v>
      </c>
      <c r="I106" s="826">
        <f>'Recycling - Case 1'!BI116</f>
        <v>0</v>
      </c>
      <c r="J106" s="826">
        <f>'Recycling - Case 1'!BJ116</f>
        <v>0</v>
      </c>
      <c r="K106" s="826">
        <f>'Recycling - Case 1'!BK116</f>
        <v>0.5097147747501769</v>
      </c>
      <c r="L106" s="827">
        <f t="shared" si="100"/>
        <v>0.99999999999999989</v>
      </c>
      <c r="M106" s="104"/>
      <c r="N106" s="838">
        <f t="shared" si="57"/>
        <v>3989.1382594538386</v>
      </c>
      <c r="O106" s="833">
        <f>Parameters!R207</f>
        <v>0.90549999999999997</v>
      </c>
      <c r="P106" s="834">
        <f>E106*'MSW characteristics'!$B$28+'MSW characteristics'!$B$29*'4A SWD Case 1'!F106+'4A SWD Case 1'!G106*'MSW characteristics'!$B$30+'MSW characteristics'!$B$31*'4A SWD Case 1'!H106+'4A SWD Case 1'!I106*'MSW characteristics'!$B$32+'MSW characteristics'!$B$33*'4A SWD Case 1'!J106+'4A SWD Case 1'!K106*'MSW characteristics'!$B$35</f>
        <v>0.10408658499609781</v>
      </c>
      <c r="Q106" s="832">
        <f t="shared" si="62"/>
        <v>187.98894371760798</v>
      </c>
      <c r="R106" s="832">
        <f t="shared" si="63"/>
        <v>187.98894371760798</v>
      </c>
      <c r="S106" s="835">
        <f t="shared" si="64"/>
        <v>0</v>
      </c>
      <c r="T106" s="832">
        <f t="shared" si="65"/>
        <v>8982.1206992824136</v>
      </c>
      <c r="U106" s="832">
        <f t="shared" si="66"/>
        <v>450.8847767830166</v>
      </c>
      <c r="V106" s="839">
        <f t="shared" si="67"/>
        <v>300.58985118867776</v>
      </c>
      <c r="W106" s="1449"/>
      <c r="X106" s="1025">
        <f>'Recycling - Case 1'!AM156</f>
        <v>0</v>
      </c>
      <c r="Y106" s="1026">
        <f>Parameters!S207</f>
        <v>0.71500000000000008</v>
      </c>
      <c r="Z106" s="1027">
        <f t="shared" si="68"/>
        <v>0.4</v>
      </c>
      <c r="AA106" s="1028">
        <f t="shared" si="69"/>
        <v>0</v>
      </c>
      <c r="AB106" s="1028">
        <f t="shared" si="70"/>
        <v>0</v>
      </c>
      <c r="AC106" s="1029">
        <f t="shared" si="71"/>
        <v>0</v>
      </c>
      <c r="AD106" s="1028">
        <f t="shared" si="72"/>
        <v>4532.5737441527208</v>
      </c>
      <c r="AE106" s="1028">
        <f t="shared" si="73"/>
        <v>232.39002526789025</v>
      </c>
      <c r="AF106" s="1030">
        <f t="shared" si="74"/>
        <v>154.92668351192683</v>
      </c>
      <c r="AG106" s="104"/>
      <c r="AH106" s="1025">
        <f>'Recycling - Case 1'!AM196</f>
        <v>0</v>
      </c>
      <c r="AI106" s="1026">
        <f>Parameters!S207</f>
        <v>0.71500000000000008</v>
      </c>
      <c r="AJ106" s="1027">
        <f t="shared" si="75"/>
        <v>0.4</v>
      </c>
      <c r="AK106" s="1028">
        <f t="shared" si="76"/>
        <v>0</v>
      </c>
      <c r="AL106" s="1028">
        <f t="shared" si="77"/>
        <v>0</v>
      </c>
      <c r="AM106" s="1029">
        <f t="shared" si="78"/>
        <v>0</v>
      </c>
      <c r="AN106" s="1028">
        <f t="shared" si="79"/>
        <v>4532.5737441527208</v>
      </c>
      <c r="AO106" s="1028">
        <f t="shared" si="80"/>
        <v>232.39002526789025</v>
      </c>
      <c r="AP106" s="1030">
        <f t="shared" si="81"/>
        <v>154.92668351192683</v>
      </c>
      <c r="AQ106" s="104"/>
      <c r="AR106" s="1064">
        <f>'Recycling - Case 1'!G116</f>
        <v>709.32362801394981</v>
      </c>
      <c r="AS106" s="1065">
        <v>1</v>
      </c>
      <c r="AT106" s="1066">
        <f t="shared" si="82"/>
        <v>0.05</v>
      </c>
      <c r="AU106" s="1044">
        <f t="shared" si="83"/>
        <v>17.733090700348747</v>
      </c>
      <c r="AV106" s="1044">
        <f t="shared" si="84"/>
        <v>17.733090700348747</v>
      </c>
      <c r="AW106" s="1045">
        <f t="shared" si="85"/>
        <v>0</v>
      </c>
      <c r="AX106" s="1044">
        <f t="shared" si="51"/>
        <v>230.05903852032688</v>
      </c>
      <c r="AY106" s="1044">
        <f t="shared" si="54"/>
        <v>13.129503355157674</v>
      </c>
      <c r="AZ106" s="1067">
        <f t="shared" si="52"/>
        <v>8.753002236771783</v>
      </c>
      <c r="BB106" s="1055">
        <f t="shared" si="86"/>
        <v>300.58985118867776</v>
      </c>
      <c r="BC106" s="1056">
        <f t="shared" si="87"/>
        <v>154.92668351192683</v>
      </c>
      <c r="BD106" s="1082">
        <f t="shared" si="101"/>
        <v>8.753002236771783</v>
      </c>
      <c r="BE106" s="1056">
        <f t="shared" si="60"/>
        <v>464.26953693737636</v>
      </c>
      <c r="BF106" s="167">
        <v>0</v>
      </c>
      <c r="BG106" s="1075">
        <f t="shared" si="88"/>
        <v>464.26953693737636</v>
      </c>
      <c r="BI106" s="1055">
        <f t="shared" si="89"/>
        <v>300.58985118867776</v>
      </c>
      <c r="BJ106" s="1056">
        <f t="shared" si="90"/>
        <v>154.92668351192683</v>
      </c>
      <c r="BK106" s="1082">
        <f t="shared" si="91"/>
        <v>8.753002236771783</v>
      </c>
      <c r="BL106" s="1056">
        <f t="shared" si="61"/>
        <v>464.26953693737636</v>
      </c>
      <c r="BM106" s="167">
        <v>0</v>
      </c>
      <c r="BN106" s="1075">
        <f t="shared" si="92"/>
        <v>464.26953693737636</v>
      </c>
    </row>
    <row r="107" spans="1:66">
      <c r="A107" s="927">
        <f>'Input data'!A137</f>
        <v>2037</v>
      </c>
      <c r="B107" s="824">
        <f>'Input data'!B137</f>
        <v>69.830333629884052</v>
      </c>
      <c r="C107" s="824">
        <f>'Recycling - Case 1'!AK117/B107</f>
        <v>283.06754357735701</v>
      </c>
      <c r="D107" s="826">
        <f>'Recycling - Case 1'!AM117</f>
        <v>0.19732230568709686</v>
      </c>
      <c r="E107" s="826">
        <f>'Recycling - Case 1'!BE117</f>
        <v>0.18325373369670417</v>
      </c>
      <c r="F107" s="826">
        <f>'Recycling - Case 1'!BF117</f>
        <v>0.23241531117206654</v>
      </c>
      <c r="G107" s="826">
        <f>'Recycling - Case 1'!BG117</f>
        <v>7.5670733315995969E-2</v>
      </c>
      <c r="H107" s="826">
        <f>'Recycling - Case 1'!BH117</f>
        <v>0</v>
      </c>
      <c r="I107" s="826">
        <f>'Recycling - Case 1'!BI117</f>
        <v>0</v>
      </c>
      <c r="J107" s="826">
        <f>'Recycling - Case 1'!BJ117</f>
        <v>0</v>
      </c>
      <c r="K107" s="826">
        <f>'Recycling - Case 1'!BK117</f>
        <v>0.5086602218152334</v>
      </c>
      <c r="L107" s="827">
        <f t="shared" si="100"/>
        <v>1</v>
      </c>
      <c r="M107" s="104"/>
      <c r="N107" s="838">
        <f t="shared" si="57"/>
        <v>3900.4110186862777</v>
      </c>
      <c r="O107" s="833">
        <f>Parameters!R208</f>
        <v>0.91225000000000001</v>
      </c>
      <c r="P107" s="834">
        <f>E107*'MSW characteristics'!$B$28+'MSW characteristics'!$B$29*'4A SWD Case 1'!F107+'4A SWD Case 1'!G107*'MSW characteristics'!$B$30+'MSW characteristics'!$B$31*'4A SWD Case 1'!H107+'4A SWD Case 1'!I107*'MSW characteristics'!$B$32+'MSW characteristics'!$B$33*'4A SWD Case 1'!J107+'4A SWD Case 1'!K107*'MSW characteristics'!$B$35</f>
        <v>0.10423941561531733</v>
      </c>
      <c r="Q107" s="832">
        <f t="shared" si="62"/>
        <v>185.44973582347129</v>
      </c>
      <c r="R107" s="832">
        <f t="shared" si="63"/>
        <v>185.44973582347129</v>
      </c>
      <c r="S107" s="835">
        <f t="shared" si="64"/>
        <v>0</v>
      </c>
      <c r="T107" s="832">
        <f t="shared" si="65"/>
        <v>8729.5072393978317</v>
      </c>
      <c r="U107" s="832">
        <f t="shared" si="66"/>
        <v>438.06319570805238</v>
      </c>
      <c r="V107" s="839">
        <f t="shared" si="67"/>
        <v>292.0421304720349</v>
      </c>
      <c r="W107" s="1449"/>
      <c r="X107" s="1025">
        <f>'Recycling - Case 1'!AM157</f>
        <v>0</v>
      </c>
      <c r="Y107" s="1026">
        <f>Parameters!S208</f>
        <v>0.71500000000000008</v>
      </c>
      <c r="Z107" s="1027">
        <f t="shared" si="68"/>
        <v>0.4</v>
      </c>
      <c r="AA107" s="1028">
        <f t="shared" si="69"/>
        <v>0</v>
      </c>
      <c r="AB107" s="1028">
        <f t="shared" si="70"/>
        <v>0</v>
      </c>
      <c r="AC107" s="1029">
        <f t="shared" si="71"/>
        <v>0</v>
      </c>
      <c r="AD107" s="1028">
        <f t="shared" si="72"/>
        <v>4311.5175141574391</v>
      </c>
      <c r="AE107" s="1028">
        <f t="shared" si="73"/>
        <v>221.05622999528163</v>
      </c>
      <c r="AF107" s="1030">
        <f t="shared" si="74"/>
        <v>147.37081999685441</v>
      </c>
      <c r="AG107" s="104"/>
      <c r="AH107" s="1025">
        <f>'Recycling - Case 1'!AM197</f>
        <v>0</v>
      </c>
      <c r="AI107" s="1026">
        <f>Parameters!S208</f>
        <v>0.71500000000000008</v>
      </c>
      <c r="AJ107" s="1027">
        <f t="shared" si="75"/>
        <v>0.4</v>
      </c>
      <c r="AK107" s="1028">
        <f t="shared" si="76"/>
        <v>0</v>
      </c>
      <c r="AL107" s="1028">
        <f t="shared" si="77"/>
        <v>0</v>
      </c>
      <c r="AM107" s="1029">
        <f t="shared" si="78"/>
        <v>0</v>
      </c>
      <c r="AN107" s="1028">
        <f t="shared" si="79"/>
        <v>4311.5175141574391</v>
      </c>
      <c r="AO107" s="1028">
        <f t="shared" si="80"/>
        <v>221.05622999528163</v>
      </c>
      <c r="AP107" s="1030">
        <f t="shared" si="81"/>
        <v>147.37081999685441</v>
      </c>
      <c r="AQ107" s="104"/>
      <c r="AR107" s="1064">
        <f>'Recycling - Case 1'!G117</f>
        <v>719.54583678051574</v>
      </c>
      <c r="AS107" s="1065">
        <v>1</v>
      </c>
      <c r="AT107" s="1066">
        <f t="shared" si="82"/>
        <v>0.05</v>
      </c>
      <c r="AU107" s="1044">
        <f t="shared" si="83"/>
        <v>17.988645919512894</v>
      </c>
      <c r="AV107" s="1044">
        <f t="shared" si="84"/>
        <v>17.988645919512894</v>
      </c>
      <c r="AW107" s="1045">
        <f t="shared" si="85"/>
        <v>0</v>
      </c>
      <c r="AX107" s="1044">
        <f t="shared" si="51"/>
        <v>234.65008902844923</v>
      </c>
      <c r="AY107" s="1044">
        <f t="shared" si="54"/>
        <v>13.397595411390526</v>
      </c>
      <c r="AZ107" s="1067">
        <f t="shared" si="52"/>
        <v>8.9317302742603513</v>
      </c>
      <c r="BB107" s="1055">
        <f t="shared" si="86"/>
        <v>292.0421304720349</v>
      </c>
      <c r="BC107" s="1056">
        <f t="shared" si="87"/>
        <v>147.37081999685441</v>
      </c>
      <c r="BD107" s="1082">
        <f t="shared" si="101"/>
        <v>8.9317302742603513</v>
      </c>
      <c r="BE107" s="1056">
        <f t="shared" si="60"/>
        <v>448.34468074314969</v>
      </c>
      <c r="BF107" s="167">
        <v>0</v>
      </c>
      <c r="BG107" s="1075">
        <f t="shared" si="88"/>
        <v>448.34468074314969</v>
      </c>
      <c r="BI107" s="1055">
        <f t="shared" si="89"/>
        <v>292.0421304720349</v>
      </c>
      <c r="BJ107" s="1056">
        <f t="shared" si="90"/>
        <v>147.37081999685441</v>
      </c>
      <c r="BK107" s="1082">
        <f t="shared" si="91"/>
        <v>8.9317302742603513</v>
      </c>
      <c r="BL107" s="1056">
        <f t="shared" si="61"/>
        <v>448.34468074314969</v>
      </c>
      <c r="BM107" s="167">
        <v>0</v>
      </c>
      <c r="BN107" s="1075">
        <f t="shared" si="92"/>
        <v>448.34468074314969</v>
      </c>
    </row>
    <row r="108" spans="1:66">
      <c r="A108" s="927">
        <f>'Input data'!A138</f>
        <v>2038</v>
      </c>
      <c r="B108" s="824">
        <f>'Input data'!B138</f>
        <v>70.341572426693446</v>
      </c>
      <c r="C108" s="824">
        <f>'Recycling - Case 1'!AK118/B108</f>
        <v>278.64590360939866</v>
      </c>
      <c r="D108" s="826">
        <f>'Recycling - Case 1'!AM118</f>
        <v>0.19046816691183077</v>
      </c>
      <c r="E108" s="826">
        <f>'Recycling - Case 1'!BE118</f>
        <v>0.18378174859788676</v>
      </c>
      <c r="F108" s="826">
        <f>'Recycling - Case 1'!BF118</f>
        <v>0.2330849769141296</v>
      </c>
      <c r="G108" s="826">
        <f>'Recycling - Case 1'!BG118</f>
        <v>7.5515633929668854E-2</v>
      </c>
      <c r="H108" s="826">
        <f>'Recycling - Case 1'!BH118</f>
        <v>0</v>
      </c>
      <c r="I108" s="826">
        <f>'Recycling - Case 1'!BI118</f>
        <v>0</v>
      </c>
      <c r="J108" s="826">
        <f>'Recycling - Case 1'!BJ118</f>
        <v>0</v>
      </c>
      <c r="K108" s="826">
        <f>'Recycling - Case 1'!BK118</f>
        <v>0.50761764055831471</v>
      </c>
      <c r="L108" s="827">
        <f t="shared" si="100"/>
        <v>1</v>
      </c>
      <c r="M108" s="104"/>
      <c r="N108" s="838">
        <f t="shared" si="57"/>
        <v>3733.2505464568658</v>
      </c>
      <c r="O108" s="833">
        <f>Parameters!R209</f>
        <v>0.91899999999999993</v>
      </c>
      <c r="P108" s="834">
        <f>E108*'MSW characteristics'!$B$28+'MSW characteristics'!$B$29*'4A SWD Case 1'!F108+'4A SWD Case 1'!G108*'MSW characteristics'!$B$30+'MSW characteristics'!$B$31*'4A SWD Case 1'!H108+'4A SWD Case 1'!I108*'MSW characteristics'!$B$32+'MSW characteristics'!$B$33*'4A SWD Case 1'!J108+'4A SWD Case 1'!K108*'MSW characteristics'!$B$35</f>
        <v>0.10439051124437648</v>
      </c>
      <c r="Q108" s="832">
        <f t="shared" si="62"/>
        <v>179.07447128149684</v>
      </c>
      <c r="R108" s="832">
        <f t="shared" si="63"/>
        <v>179.07447128149684</v>
      </c>
      <c r="S108" s="835">
        <f t="shared" si="64"/>
        <v>0</v>
      </c>
      <c r="T108" s="832">
        <f t="shared" si="65"/>
        <v>8482.8386187887136</v>
      </c>
      <c r="U108" s="832">
        <f t="shared" si="66"/>
        <v>425.74309189061552</v>
      </c>
      <c r="V108" s="839">
        <f t="shared" si="67"/>
        <v>283.82872792707701</v>
      </c>
      <c r="W108" s="1449"/>
      <c r="X108" s="1025">
        <f>'Recycling - Case 1'!AM158</f>
        <v>0</v>
      </c>
      <c r="Y108" s="1026">
        <f>Parameters!S209</f>
        <v>0.71500000000000008</v>
      </c>
      <c r="Z108" s="1027">
        <f t="shared" si="68"/>
        <v>0.4</v>
      </c>
      <c r="AA108" s="1028">
        <f t="shared" si="69"/>
        <v>0</v>
      </c>
      <c r="AB108" s="1028">
        <f t="shared" si="70"/>
        <v>0</v>
      </c>
      <c r="AC108" s="1029">
        <f t="shared" si="71"/>
        <v>0</v>
      </c>
      <c r="AD108" s="1028">
        <f t="shared" si="72"/>
        <v>4101.2423237167295</v>
      </c>
      <c r="AE108" s="1028">
        <f t="shared" si="73"/>
        <v>210.27519044070922</v>
      </c>
      <c r="AF108" s="1030">
        <f t="shared" si="74"/>
        <v>140.18346029380615</v>
      </c>
      <c r="AG108" s="104"/>
      <c r="AH108" s="1025">
        <f>'Recycling - Case 1'!AM198</f>
        <v>0</v>
      </c>
      <c r="AI108" s="1026">
        <f>Parameters!S209</f>
        <v>0.71500000000000008</v>
      </c>
      <c r="AJ108" s="1027">
        <f t="shared" si="75"/>
        <v>0.4</v>
      </c>
      <c r="AK108" s="1028">
        <f t="shared" si="76"/>
        <v>0</v>
      </c>
      <c r="AL108" s="1028">
        <f t="shared" si="77"/>
        <v>0</v>
      </c>
      <c r="AM108" s="1029">
        <f t="shared" si="78"/>
        <v>0</v>
      </c>
      <c r="AN108" s="1028">
        <f t="shared" si="79"/>
        <v>4101.2423237167295</v>
      </c>
      <c r="AO108" s="1028">
        <f t="shared" si="80"/>
        <v>210.27519044070922</v>
      </c>
      <c r="AP108" s="1030">
        <f t="shared" si="81"/>
        <v>140.18346029380615</v>
      </c>
      <c r="AQ108" s="104"/>
      <c r="AR108" s="1064">
        <f>'Recycling - Case 1'!G118</f>
        <v>729.87970305381032</v>
      </c>
      <c r="AS108" s="1065">
        <v>1</v>
      </c>
      <c r="AT108" s="1066">
        <f t="shared" si="82"/>
        <v>0.05</v>
      </c>
      <c r="AU108" s="1044">
        <f t="shared" si="83"/>
        <v>18.24699257634526</v>
      </c>
      <c r="AV108" s="1044">
        <f t="shared" si="84"/>
        <v>18.24699257634526</v>
      </c>
      <c r="AW108" s="1045">
        <f t="shared" si="85"/>
        <v>0</v>
      </c>
      <c r="AX108" s="1044">
        <f t="shared" si="51"/>
        <v>239.23212422572519</v>
      </c>
      <c r="AY108" s="1044">
        <f t="shared" si="54"/>
        <v>13.664957379069303</v>
      </c>
      <c r="AZ108" s="1067">
        <f t="shared" si="52"/>
        <v>9.1099715860462016</v>
      </c>
      <c r="BB108" s="1055">
        <f t="shared" si="86"/>
        <v>283.82872792707701</v>
      </c>
      <c r="BC108" s="1056">
        <f t="shared" si="87"/>
        <v>140.18346029380615</v>
      </c>
      <c r="BD108" s="1082">
        <f t="shared" si="101"/>
        <v>9.1099715860462016</v>
      </c>
      <c r="BE108" s="1056">
        <f t="shared" si="60"/>
        <v>433.12215980692935</v>
      </c>
      <c r="BF108" s="167">
        <v>0</v>
      </c>
      <c r="BG108" s="1075">
        <f t="shared" si="88"/>
        <v>433.12215980692935</v>
      </c>
      <c r="BI108" s="1055">
        <f t="shared" si="89"/>
        <v>283.82872792707701</v>
      </c>
      <c r="BJ108" s="1056">
        <f t="shared" si="90"/>
        <v>140.18346029380615</v>
      </c>
      <c r="BK108" s="1082">
        <f t="shared" si="91"/>
        <v>9.1099715860462016</v>
      </c>
      <c r="BL108" s="1056">
        <f t="shared" si="61"/>
        <v>433.12215980692935</v>
      </c>
      <c r="BM108" s="167">
        <v>0</v>
      </c>
      <c r="BN108" s="1075">
        <f t="shared" si="92"/>
        <v>433.12215980692935</v>
      </c>
    </row>
    <row r="109" spans="1:66">
      <c r="A109" s="927">
        <f>'Input data'!A139</f>
        <v>2039</v>
      </c>
      <c r="B109" s="824">
        <f>'Input data'!B139</f>
        <v>70.856554082712819</v>
      </c>
      <c r="C109" s="824">
        <f>'Recycling - Case 1'!AK119/B109</f>
        <v>274.28336017466643</v>
      </c>
      <c r="D109" s="826">
        <f>'Recycling - Case 1'!AM119</f>
        <v>0.18349017699734635</v>
      </c>
      <c r="E109" s="826">
        <f>'Recycling - Case 1'!BE119</f>
        <v>0.18430378929892163</v>
      </c>
      <c r="F109" s="826">
        <f>'Recycling - Case 1'!BF119</f>
        <v>0.23374706575416554</v>
      </c>
      <c r="G109" s="826">
        <f>'Recycling - Case 1'!BG119</f>
        <v>7.5362289408165917E-2</v>
      </c>
      <c r="H109" s="826">
        <f>'Recycling - Case 1'!BH119</f>
        <v>0</v>
      </c>
      <c r="I109" s="826">
        <f>'Recycling - Case 1'!BI119</f>
        <v>0</v>
      </c>
      <c r="J109" s="826">
        <f>'Recycling - Case 1'!BJ119</f>
        <v>0</v>
      </c>
      <c r="K109" s="826">
        <f>'Recycling - Case 1'!BK119</f>
        <v>0.50658685553874683</v>
      </c>
      <c r="L109" s="827">
        <f t="shared" si="100"/>
        <v>0.99999999999999989</v>
      </c>
      <c r="M109" s="104"/>
      <c r="N109" s="838">
        <f t="shared" si="57"/>
        <v>3566.0900742274548</v>
      </c>
      <c r="O109" s="833">
        <f>Parameters!R210</f>
        <v>0.92575000000000007</v>
      </c>
      <c r="P109" s="834">
        <f>E109*'MSW characteristics'!$B$28+'MSW characteristics'!$B$29*'4A SWD Case 1'!F109+'4A SWD Case 1'!G109*'MSW characteristics'!$B$30+'MSW characteristics'!$B$31*'4A SWD Case 1'!H109+'4A SWD Case 1'!I109*'MSW characteristics'!$B$32+'MSW characteristics'!$B$33*'4A SWD Case 1'!J109+'4A SWD Case 1'!K109*'MSW characteristics'!$B$35</f>
        <v>0.10453989730893773</v>
      </c>
      <c r="Q109" s="832">
        <f t="shared" si="62"/>
        <v>172.55919370510694</v>
      </c>
      <c r="R109" s="832">
        <f t="shared" si="63"/>
        <v>172.55919370510694</v>
      </c>
      <c r="S109" s="835">
        <f t="shared" si="64"/>
        <v>0</v>
      </c>
      <c r="T109" s="832">
        <f t="shared" si="65"/>
        <v>8241.6848911879279</v>
      </c>
      <c r="U109" s="832">
        <f t="shared" si="66"/>
        <v>413.71292130589381</v>
      </c>
      <c r="V109" s="839">
        <f t="shared" si="67"/>
        <v>275.80861420392921</v>
      </c>
      <c r="W109" s="1449"/>
      <c r="X109" s="1025">
        <f>'Recycling - Case 1'!AM159</f>
        <v>0</v>
      </c>
      <c r="Y109" s="1026">
        <f>Parameters!S210</f>
        <v>0.71500000000000008</v>
      </c>
      <c r="Z109" s="1027">
        <f t="shared" si="68"/>
        <v>0.4</v>
      </c>
      <c r="AA109" s="1028">
        <f t="shared" si="69"/>
        <v>0</v>
      </c>
      <c r="AB109" s="1028">
        <f t="shared" si="70"/>
        <v>0</v>
      </c>
      <c r="AC109" s="1029">
        <f t="shared" si="71"/>
        <v>0</v>
      </c>
      <c r="AD109" s="1028">
        <f t="shared" si="72"/>
        <v>3901.2223753270355</v>
      </c>
      <c r="AE109" s="1028">
        <f t="shared" si="73"/>
        <v>200.01994838969384</v>
      </c>
      <c r="AF109" s="1030">
        <f t="shared" si="74"/>
        <v>133.34663225979588</v>
      </c>
      <c r="AG109" s="104"/>
      <c r="AH109" s="1025">
        <f>'Recycling - Case 1'!AM199</f>
        <v>0</v>
      </c>
      <c r="AI109" s="1026">
        <f>Parameters!S210</f>
        <v>0.71500000000000008</v>
      </c>
      <c r="AJ109" s="1027">
        <f t="shared" si="75"/>
        <v>0.4</v>
      </c>
      <c r="AK109" s="1028">
        <f t="shared" si="76"/>
        <v>0</v>
      </c>
      <c r="AL109" s="1028">
        <f t="shared" si="77"/>
        <v>0</v>
      </c>
      <c r="AM109" s="1029">
        <f t="shared" si="78"/>
        <v>0</v>
      </c>
      <c r="AN109" s="1028">
        <f t="shared" si="79"/>
        <v>3901.2223753270355</v>
      </c>
      <c r="AO109" s="1028">
        <f t="shared" si="80"/>
        <v>200.01994838969384</v>
      </c>
      <c r="AP109" s="1030">
        <f t="shared" si="81"/>
        <v>133.34663225979588</v>
      </c>
      <c r="AQ109" s="104"/>
      <c r="AR109" s="1064">
        <f>'Recycling - Case 1'!G119</f>
        <v>740.32631385442471</v>
      </c>
      <c r="AS109" s="1065">
        <v>1</v>
      </c>
      <c r="AT109" s="1066">
        <f t="shared" si="82"/>
        <v>0.05</v>
      </c>
      <c r="AU109" s="1044">
        <f t="shared" si="83"/>
        <v>18.508157846360618</v>
      </c>
      <c r="AV109" s="1044">
        <f t="shared" si="84"/>
        <v>18.508157846360618</v>
      </c>
      <c r="AW109" s="1045">
        <f t="shared" si="85"/>
        <v>0</v>
      </c>
      <c r="AX109" s="1044">
        <f t="shared" si="51"/>
        <v>243.80848773616975</v>
      </c>
      <c r="AY109" s="1044">
        <f t="shared" si="54"/>
        <v>13.931794335916058</v>
      </c>
      <c r="AZ109" s="1067">
        <f t="shared" si="52"/>
        <v>9.2878628906107057</v>
      </c>
      <c r="BB109" s="1055">
        <f t="shared" si="86"/>
        <v>275.80861420392921</v>
      </c>
      <c r="BC109" s="1056">
        <f t="shared" si="87"/>
        <v>133.34663225979588</v>
      </c>
      <c r="BD109" s="1082">
        <f t="shared" si="101"/>
        <v>9.2878628906107057</v>
      </c>
      <c r="BE109" s="1056">
        <f t="shared" si="60"/>
        <v>418.44310935433583</v>
      </c>
      <c r="BF109" s="167">
        <v>0</v>
      </c>
      <c r="BG109" s="1075">
        <f t="shared" si="88"/>
        <v>418.44310935433583</v>
      </c>
      <c r="BI109" s="1055">
        <f t="shared" si="89"/>
        <v>275.80861420392921</v>
      </c>
      <c r="BJ109" s="1056">
        <f t="shared" si="90"/>
        <v>133.34663225979588</v>
      </c>
      <c r="BK109" s="1082">
        <f t="shared" si="91"/>
        <v>9.2878628906107057</v>
      </c>
      <c r="BL109" s="1056">
        <f t="shared" si="61"/>
        <v>418.44310935433583</v>
      </c>
      <c r="BM109" s="167">
        <v>0</v>
      </c>
      <c r="BN109" s="1075">
        <f t="shared" si="92"/>
        <v>418.44310935433583</v>
      </c>
    </row>
    <row r="110" spans="1:66">
      <c r="A110" s="927">
        <f>'Input data'!A140</f>
        <v>2040</v>
      </c>
      <c r="B110" s="824">
        <f>'Input data'!B140</f>
        <v>71.375305999999995</v>
      </c>
      <c r="C110" s="824">
        <f>'Recycling - Case 1'!AK120/B110</f>
        <v>269.97920138349122</v>
      </c>
      <c r="D110" s="826">
        <f>'Recycling - Case 1'!AM120</f>
        <v>0.17638590518074596</v>
      </c>
      <c r="E110" s="826">
        <f>'Recycling - Case 1'!BE120</f>
        <v>0.18481994296669221</v>
      </c>
      <c r="F110" s="826">
        <f>'Recycling - Case 1'!BF120</f>
        <v>0.23440168824336427</v>
      </c>
      <c r="G110" s="826">
        <f>'Recycling - Case 1'!BG120</f>
        <v>7.5210674147039053E-2</v>
      </c>
      <c r="H110" s="826">
        <f>'Recycling - Case 1'!BH120</f>
        <v>0</v>
      </c>
      <c r="I110" s="826">
        <f>'Recycling - Case 1'!BI120</f>
        <v>0</v>
      </c>
      <c r="J110" s="826">
        <f>'Recycling - Case 1'!BJ120</f>
        <v>0</v>
      </c>
      <c r="K110" s="826">
        <f>'Recycling - Case 1'!BK120</f>
        <v>0.50556769464290463</v>
      </c>
      <c r="L110" s="827">
        <f t="shared" si="100"/>
        <v>1.0000000000000002</v>
      </c>
      <c r="M110" s="104"/>
      <c r="N110" s="838">
        <f t="shared" si="57"/>
        <v>3398.929601998042</v>
      </c>
      <c r="O110" s="833">
        <f>Parameters!R211</f>
        <v>0.9325</v>
      </c>
      <c r="P110" s="834">
        <f>E110*'MSW characteristics'!$B$28+'MSW characteristics'!$B$29*'4A SWD Case 1'!F110+'4A SWD Case 1'!G110*'MSW characteristics'!$B$30+'MSW characteristics'!$B$31*'4A SWD Case 1'!H110+'4A SWD Case 1'!I110*'MSW characteristics'!$B$32+'MSW characteristics'!$B$33*'4A SWD Case 1'!J110+'4A SWD Case 1'!K110*'MSW characteristics'!$B$35</f>
        <v>0.10468759875249231</v>
      </c>
      <c r="Q110" s="832">
        <f t="shared" si="62"/>
        <v>165.90376916125425</v>
      </c>
      <c r="R110" s="832">
        <f t="shared" si="63"/>
        <v>165.90376916125425</v>
      </c>
      <c r="S110" s="835">
        <f t="shared" si="64"/>
        <v>0</v>
      </c>
      <c r="T110" s="832">
        <f t="shared" si="65"/>
        <v>8005.6369451221763</v>
      </c>
      <c r="U110" s="832">
        <f t="shared" si="66"/>
        <v>401.95171522700542</v>
      </c>
      <c r="V110" s="839">
        <f t="shared" si="67"/>
        <v>267.96781015133695</v>
      </c>
      <c r="W110" s="1449"/>
      <c r="X110" s="1025">
        <f>'Recycling - Case 1'!AM160</f>
        <v>0</v>
      </c>
      <c r="Y110" s="1026">
        <f>Parameters!S211</f>
        <v>0.71500000000000008</v>
      </c>
      <c r="Z110" s="1027">
        <f t="shared" si="68"/>
        <v>0.4</v>
      </c>
      <c r="AA110" s="1028">
        <f t="shared" si="69"/>
        <v>0</v>
      </c>
      <c r="AB110" s="1028">
        <f t="shared" si="70"/>
        <v>0</v>
      </c>
      <c r="AC110" s="1029">
        <f t="shared" si="71"/>
        <v>0</v>
      </c>
      <c r="AD110" s="1028">
        <f t="shared" si="72"/>
        <v>3710.9575149316447</v>
      </c>
      <c r="AE110" s="1028">
        <f t="shared" si="73"/>
        <v>190.264860395391</v>
      </c>
      <c r="AF110" s="1030">
        <f t="shared" si="74"/>
        <v>126.843240263594</v>
      </c>
      <c r="AG110" s="104"/>
      <c r="AH110" s="1025">
        <f>'Recycling - Case 1'!AM200</f>
        <v>0</v>
      </c>
      <c r="AI110" s="1026">
        <f>Parameters!S211</f>
        <v>0.71500000000000008</v>
      </c>
      <c r="AJ110" s="1027">
        <f t="shared" si="75"/>
        <v>0.4</v>
      </c>
      <c r="AK110" s="1028">
        <f t="shared" si="76"/>
        <v>0</v>
      </c>
      <c r="AL110" s="1028">
        <f t="shared" si="77"/>
        <v>0</v>
      </c>
      <c r="AM110" s="1029">
        <f t="shared" si="78"/>
        <v>0</v>
      </c>
      <c r="AN110" s="1028">
        <f t="shared" si="79"/>
        <v>3710.9575149316447</v>
      </c>
      <c r="AO110" s="1028">
        <f t="shared" si="80"/>
        <v>190.264860395391</v>
      </c>
      <c r="AP110" s="1030">
        <f t="shared" si="81"/>
        <v>126.843240263594</v>
      </c>
      <c r="AQ110" s="104"/>
      <c r="AR110" s="1064">
        <f>'Recycling - Case 1'!G120</f>
        <v>750.88676613467851</v>
      </c>
      <c r="AS110" s="1065">
        <v>1</v>
      </c>
      <c r="AT110" s="1066">
        <f t="shared" si="82"/>
        <v>0.05</v>
      </c>
      <c r="AU110" s="1044">
        <f t="shared" si="83"/>
        <v>18.772169153366963</v>
      </c>
      <c r="AV110" s="1044">
        <f t="shared" si="84"/>
        <v>18.772169153366963</v>
      </c>
      <c r="AW110" s="1045">
        <f t="shared" si="85"/>
        <v>0</v>
      </c>
      <c r="AX110" s="1044">
        <f t="shared" si="51"/>
        <v>248.38235589010191</v>
      </c>
      <c r="AY110" s="1044">
        <f t="shared" si="54"/>
        <v>14.198300999434821</v>
      </c>
      <c r="AZ110" s="1067">
        <f t="shared" si="52"/>
        <v>9.4655339996232133</v>
      </c>
      <c r="BB110" s="1055">
        <f t="shared" si="86"/>
        <v>267.96781015133695</v>
      </c>
      <c r="BC110" s="1056">
        <f t="shared" si="87"/>
        <v>126.843240263594</v>
      </c>
      <c r="BD110" s="1082">
        <f t="shared" si="101"/>
        <v>9.4655339996232133</v>
      </c>
      <c r="BE110" s="1056">
        <f t="shared" si="60"/>
        <v>404.27658441455418</v>
      </c>
      <c r="BF110" s="167">
        <v>0</v>
      </c>
      <c r="BG110" s="1075">
        <f t="shared" si="88"/>
        <v>404.27658441455418</v>
      </c>
      <c r="BI110" s="1055">
        <f t="shared" si="89"/>
        <v>267.96781015133695</v>
      </c>
      <c r="BJ110" s="1056">
        <f t="shared" si="90"/>
        <v>126.843240263594</v>
      </c>
      <c r="BK110" s="1082">
        <f t="shared" si="91"/>
        <v>9.4655339996232133</v>
      </c>
      <c r="BL110" s="1056">
        <f t="shared" si="61"/>
        <v>404.27658441455418</v>
      </c>
      <c r="BM110" s="167">
        <v>0</v>
      </c>
      <c r="BN110" s="1075">
        <f t="shared" si="92"/>
        <v>404.27658441455418</v>
      </c>
    </row>
    <row r="111" spans="1:66">
      <c r="A111" s="927">
        <f>'Input data'!A141</f>
        <v>2041</v>
      </c>
      <c r="B111" s="824">
        <f>'Input data'!B141</f>
        <v>71.818612994947316</v>
      </c>
      <c r="C111" s="824">
        <f>'Recycling - Case 1'!AK121/B111</f>
        <v>265.90210513653562</v>
      </c>
      <c r="D111" s="826">
        <f>'Recycling - Case 1'!AM121</f>
        <v>0.16923163060959834</v>
      </c>
      <c r="E111" s="826">
        <f>'Recycling - Case 1'!BE121</f>
        <v>0.18525351002095683</v>
      </c>
      <c r="F111" s="826">
        <f>'Recycling - Case 1'!BF121</f>
        <v>0.23495156856393473</v>
      </c>
      <c r="G111" s="826">
        <f>'Recycling - Case 1'!BG121</f>
        <v>7.5083317923005433E-2</v>
      </c>
      <c r="H111" s="826">
        <f>'Recycling - Case 1'!BH121</f>
        <v>0</v>
      </c>
      <c r="I111" s="826">
        <f>'Recycling - Case 1'!BI121</f>
        <v>0</v>
      </c>
      <c r="J111" s="826">
        <f>'Recycling - Case 1'!BJ121</f>
        <v>0</v>
      </c>
      <c r="K111" s="826">
        <f>'Recycling - Case 1'!BK121</f>
        <v>0.50471160349210298</v>
      </c>
      <c r="L111" s="827">
        <f t="shared" si="100"/>
        <v>1</v>
      </c>
      <c r="M111" s="104"/>
      <c r="N111" s="838">
        <f t="shared" si="57"/>
        <v>3231.7691297686301</v>
      </c>
      <c r="O111" s="833">
        <f>Parameters!R212</f>
        <v>0.93925000000000003</v>
      </c>
      <c r="P111" s="834">
        <f>E111*'MSW characteristics'!$B$28+'MSW characteristics'!$B$29*'4A SWD Case 1'!F111+'4A SWD Case 1'!G111*'MSW characteristics'!$B$30+'MSW characteristics'!$B$31*'4A SWD Case 1'!H111+'4A SWD Case 1'!I111*'MSW characteristics'!$B$32+'MSW characteristics'!$B$33*'4A SWD Case 1'!J111+'4A SWD Case 1'!K111*'MSW characteristics'!$B$35</f>
        <v>0.10481166738513265</v>
      </c>
      <c r="Q111" s="832">
        <f t="shared" si="62"/>
        <v>159.07471954791859</v>
      </c>
      <c r="R111" s="832">
        <f t="shared" si="63"/>
        <v>159.07471954791859</v>
      </c>
      <c r="S111" s="835">
        <f t="shared" si="64"/>
        <v>0</v>
      </c>
      <c r="T111" s="832">
        <f t="shared" si="65"/>
        <v>7774.2721436181409</v>
      </c>
      <c r="U111" s="832">
        <f t="shared" si="66"/>
        <v>390.43952105195433</v>
      </c>
      <c r="V111" s="839">
        <f t="shared" si="67"/>
        <v>260.2930140346362</v>
      </c>
      <c r="W111" s="1449"/>
      <c r="X111" s="1025">
        <f>'Recycling - Case 1'!AM161</f>
        <v>0</v>
      </c>
      <c r="Y111" s="1026">
        <f>Parameters!S212</f>
        <v>0.71500000000000008</v>
      </c>
      <c r="Z111" s="1027">
        <f t="shared" si="68"/>
        <v>0.4</v>
      </c>
      <c r="AA111" s="1028">
        <f t="shared" si="69"/>
        <v>0</v>
      </c>
      <c r="AB111" s="1028">
        <f t="shared" si="70"/>
        <v>0</v>
      </c>
      <c r="AC111" s="1029">
        <f t="shared" si="71"/>
        <v>0</v>
      </c>
      <c r="AD111" s="1028">
        <f t="shared" si="72"/>
        <v>3529.9719812750282</v>
      </c>
      <c r="AE111" s="1028">
        <f t="shared" si="73"/>
        <v>180.98553365661647</v>
      </c>
      <c r="AF111" s="1030">
        <f t="shared" si="74"/>
        <v>120.65702243774432</v>
      </c>
      <c r="AG111" s="104"/>
      <c r="AH111" s="1025">
        <f>'Recycling - Case 1'!AM201</f>
        <v>0</v>
      </c>
      <c r="AI111" s="1026">
        <f>Parameters!S212</f>
        <v>0.71500000000000008</v>
      </c>
      <c r="AJ111" s="1027">
        <f t="shared" si="75"/>
        <v>0.4</v>
      </c>
      <c r="AK111" s="1028">
        <f t="shared" si="76"/>
        <v>0</v>
      </c>
      <c r="AL111" s="1028">
        <f t="shared" si="77"/>
        <v>0</v>
      </c>
      <c r="AM111" s="1029">
        <f t="shared" si="78"/>
        <v>0</v>
      </c>
      <c r="AN111" s="1028">
        <f t="shared" si="79"/>
        <v>3529.9719812750282</v>
      </c>
      <c r="AO111" s="1028">
        <f t="shared" si="80"/>
        <v>180.98553365661647</v>
      </c>
      <c r="AP111" s="1030">
        <f t="shared" si="81"/>
        <v>120.65702243774432</v>
      </c>
      <c r="AQ111" s="104"/>
      <c r="AR111" s="1064">
        <f>'Recycling - Case 1'!G121</f>
        <v>760.72280514389797</v>
      </c>
      <c r="AS111" s="1065">
        <v>1</v>
      </c>
      <c r="AT111" s="1066">
        <f t="shared" si="82"/>
        <v>0.05</v>
      </c>
      <c r="AU111" s="1044">
        <f t="shared" si="83"/>
        <v>19.018070128597451</v>
      </c>
      <c r="AV111" s="1044">
        <f t="shared" si="84"/>
        <v>19.018070128597451</v>
      </c>
      <c r="AW111" s="1045">
        <f t="shared" si="85"/>
        <v>0</v>
      </c>
      <c r="AX111" s="1044">
        <f t="shared" si="51"/>
        <v>252.93576367399615</v>
      </c>
      <c r="AY111" s="1044">
        <f t="shared" si="54"/>
        <v>14.464662344703212</v>
      </c>
      <c r="AZ111" s="1067">
        <f t="shared" si="52"/>
        <v>9.6431082298021416</v>
      </c>
      <c r="BB111" s="1055">
        <f t="shared" si="86"/>
        <v>260.2930140346362</v>
      </c>
      <c r="BC111" s="1056">
        <f t="shared" si="87"/>
        <v>120.65702243774432</v>
      </c>
      <c r="BD111" s="1082">
        <f t="shared" si="101"/>
        <v>9.6431082298021416</v>
      </c>
      <c r="BE111" s="1056">
        <f t="shared" si="60"/>
        <v>390.59314470218266</v>
      </c>
      <c r="BF111" s="167">
        <v>0</v>
      </c>
      <c r="BG111" s="1075">
        <f t="shared" si="88"/>
        <v>390.59314470218266</v>
      </c>
      <c r="BI111" s="1055">
        <f t="shared" si="89"/>
        <v>260.2930140346362</v>
      </c>
      <c r="BJ111" s="1056">
        <f t="shared" si="90"/>
        <v>120.65702243774432</v>
      </c>
      <c r="BK111" s="1082">
        <f t="shared" si="91"/>
        <v>9.6431082298021416</v>
      </c>
      <c r="BL111" s="1056">
        <f t="shared" si="61"/>
        <v>390.59314470218266</v>
      </c>
      <c r="BM111" s="167">
        <v>0</v>
      </c>
      <c r="BN111" s="1075">
        <f t="shared" si="92"/>
        <v>390.59314470218266</v>
      </c>
    </row>
    <row r="112" spans="1:66">
      <c r="A112" s="927">
        <f>'Input data'!A142</f>
        <v>2042</v>
      </c>
      <c r="B112" s="824">
        <f>'Input data'!B142</f>
        <v>72.264673338395411</v>
      </c>
      <c r="C112" s="824">
        <f>'Recycling - Case 1'!AK122/B112</f>
        <v>261.87232410803506</v>
      </c>
      <c r="D112" s="826">
        <f>'Recycling - Case 1'!AM122</f>
        <v>0.16194195493472113</v>
      </c>
      <c r="E112" s="826">
        <f>'Recycling - Case 1'!BE122</f>
        <v>0.18568294851289546</v>
      </c>
      <c r="F112" s="826">
        <f>'Recycling - Case 1'!BF122</f>
        <v>0.23549621275054844</v>
      </c>
      <c r="G112" s="826">
        <f>'Recycling - Case 1'!BG122</f>
        <v>7.4957174425131154E-2</v>
      </c>
      <c r="H112" s="826">
        <f>'Recycling - Case 1'!BH122</f>
        <v>0</v>
      </c>
      <c r="I112" s="826">
        <f>'Recycling - Case 1'!BI122</f>
        <v>0</v>
      </c>
      <c r="J112" s="826">
        <f>'Recycling - Case 1'!BJ122</f>
        <v>0</v>
      </c>
      <c r="K112" s="826">
        <f>'Recycling - Case 1'!BK122</f>
        <v>0.50386366431142482</v>
      </c>
      <c r="L112" s="827">
        <f t="shared" si="100"/>
        <v>0.99999999999999989</v>
      </c>
      <c r="M112" s="104"/>
      <c r="N112" s="838">
        <f t="shared" si="57"/>
        <v>3064.6086575392183</v>
      </c>
      <c r="O112" s="833">
        <f>Parameters!R213</f>
        <v>0.94599999999999995</v>
      </c>
      <c r="P112" s="834">
        <f>E112*'MSW characteristics'!$B$28+'MSW characteristics'!$B$29*'4A SWD Case 1'!F112+'4A SWD Case 1'!G112*'MSW characteristics'!$B$30+'MSW characteristics'!$B$31*'4A SWD Case 1'!H112+'4A SWD Case 1'!I112*'MSW characteristics'!$B$32+'MSW characteristics'!$B$33*'4A SWD Case 1'!J112+'4A SWD Case 1'!K112*'MSW characteristics'!$B$35</f>
        <v>0.10493455459709647</v>
      </c>
      <c r="Q112" s="832">
        <f t="shared" si="62"/>
        <v>152.10892194532315</v>
      </c>
      <c r="R112" s="832">
        <f t="shared" si="63"/>
        <v>152.10892194532315</v>
      </c>
      <c r="S112" s="835">
        <f t="shared" si="64"/>
        <v>0</v>
      </c>
      <c r="T112" s="832">
        <f t="shared" si="65"/>
        <v>7547.2253390311398</v>
      </c>
      <c r="U112" s="832">
        <f t="shared" si="66"/>
        <v>379.15572653232442</v>
      </c>
      <c r="V112" s="839">
        <f t="shared" si="67"/>
        <v>252.77048435488294</v>
      </c>
      <c r="W112" s="1449"/>
      <c r="X112" s="1025">
        <f>'Recycling - Case 1'!AM162</f>
        <v>0</v>
      </c>
      <c r="Y112" s="1026">
        <f>Parameters!S213</f>
        <v>0.71500000000000008</v>
      </c>
      <c r="Z112" s="1027">
        <f t="shared" si="68"/>
        <v>0.4</v>
      </c>
      <c r="AA112" s="1028">
        <f t="shared" si="69"/>
        <v>0</v>
      </c>
      <c r="AB112" s="1028">
        <f t="shared" si="70"/>
        <v>0</v>
      </c>
      <c r="AC112" s="1029">
        <f t="shared" si="71"/>
        <v>0</v>
      </c>
      <c r="AD112" s="1028">
        <f t="shared" si="72"/>
        <v>3357.8132162518905</v>
      </c>
      <c r="AE112" s="1028">
        <f t="shared" si="73"/>
        <v>172.1587650231379</v>
      </c>
      <c r="AF112" s="1030">
        <f t="shared" si="74"/>
        <v>114.77251001542527</v>
      </c>
      <c r="AG112" s="104"/>
      <c r="AH112" s="1025">
        <f>'Recycling - Case 1'!AM202</f>
        <v>0</v>
      </c>
      <c r="AI112" s="1026">
        <f>Parameters!S213</f>
        <v>0.71500000000000008</v>
      </c>
      <c r="AJ112" s="1027">
        <f t="shared" si="75"/>
        <v>0.4</v>
      </c>
      <c r="AK112" s="1028">
        <f t="shared" si="76"/>
        <v>0</v>
      </c>
      <c r="AL112" s="1028">
        <f t="shared" si="77"/>
        <v>0</v>
      </c>
      <c r="AM112" s="1029">
        <f t="shared" si="78"/>
        <v>0</v>
      </c>
      <c r="AN112" s="1028">
        <f t="shared" si="79"/>
        <v>3357.8132162518905</v>
      </c>
      <c r="AO112" s="1028">
        <f t="shared" si="80"/>
        <v>172.1587650231379</v>
      </c>
      <c r="AP112" s="1030">
        <f t="shared" si="81"/>
        <v>114.77251001542527</v>
      </c>
      <c r="AQ112" s="104"/>
      <c r="AR112" s="1064">
        <f>'Recycling - Case 1'!G122</f>
        <v>770.6520601014862</v>
      </c>
      <c r="AS112" s="1065">
        <v>1</v>
      </c>
      <c r="AT112" s="1066">
        <f t="shared" si="82"/>
        <v>0.05</v>
      </c>
      <c r="AU112" s="1044">
        <f t="shared" si="83"/>
        <v>19.266301502537157</v>
      </c>
      <c r="AV112" s="1044">
        <f t="shared" si="84"/>
        <v>19.266301502537157</v>
      </c>
      <c r="AW112" s="1045">
        <f t="shared" si="85"/>
        <v>0</v>
      </c>
      <c r="AX112" s="1044">
        <f t="shared" si="51"/>
        <v>257.47223300575388</v>
      </c>
      <c r="AY112" s="1044">
        <f t="shared" si="54"/>
        <v>14.729832170779405</v>
      </c>
      <c r="AZ112" s="1067">
        <f t="shared" si="52"/>
        <v>9.8198881138529366</v>
      </c>
      <c r="BB112" s="1055">
        <f t="shared" si="86"/>
        <v>252.77048435488294</v>
      </c>
      <c r="BC112" s="1056">
        <f t="shared" si="87"/>
        <v>114.77251001542527</v>
      </c>
      <c r="BD112" s="1082">
        <f t="shared" si="101"/>
        <v>9.8198881138529366</v>
      </c>
      <c r="BE112" s="1056">
        <f t="shared" si="60"/>
        <v>377.3628824841611</v>
      </c>
      <c r="BF112" s="167">
        <v>0</v>
      </c>
      <c r="BG112" s="1075">
        <f t="shared" si="88"/>
        <v>377.3628824841611</v>
      </c>
      <c r="BI112" s="1055">
        <f t="shared" si="89"/>
        <v>252.77048435488294</v>
      </c>
      <c r="BJ112" s="1056">
        <f t="shared" si="90"/>
        <v>114.77251001542527</v>
      </c>
      <c r="BK112" s="1082">
        <f t="shared" si="91"/>
        <v>9.8198881138529366</v>
      </c>
      <c r="BL112" s="1056">
        <f t="shared" si="61"/>
        <v>377.3628824841611</v>
      </c>
      <c r="BM112" s="167">
        <v>0</v>
      </c>
      <c r="BN112" s="1075">
        <f t="shared" si="92"/>
        <v>377.3628824841611</v>
      </c>
    </row>
    <row r="113" spans="1:66">
      <c r="A113" s="927">
        <f>'Input data'!A143</f>
        <v>2043</v>
      </c>
      <c r="B113" s="824">
        <f>'Input data'!B143</f>
        <v>72.713504131197794</v>
      </c>
      <c r="C113" s="824">
        <f>'Recycling - Case 1'!AK123/B113</f>
        <v>257.8893723283731</v>
      </c>
      <c r="D113" s="826">
        <f>'Recycling - Case 1'!AM123</f>
        <v>0.15451375927904881</v>
      </c>
      <c r="E113" s="826">
        <f>'Recycling - Case 1'!BE123</f>
        <v>0.1861083090182826</v>
      </c>
      <c r="F113" s="826">
        <f>'Recycling - Case 1'!BF123</f>
        <v>0.2360356849469703</v>
      </c>
      <c r="G113" s="826">
        <f>'Recycling - Case 1'!BG123</f>
        <v>7.4832228797260453E-2</v>
      </c>
      <c r="H113" s="826">
        <f>'Recycling - Case 1'!BH123</f>
        <v>0</v>
      </c>
      <c r="I113" s="826">
        <f>'Recycling - Case 1'!BI123</f>
        <v>0</v>
      </c>
      <c r="J113" s="826">
        <f>'Recycling - Case 1'!BJ123</f>
        <v>0</v>
      </c>
      <c r="K113" s="826">
        <f>'Recycling - Case 1'!BK123</f>
        <v>0.50302377723748637</v>
      </c>
      <c r="L113" s="827">
        <f t="shared" si="100"/>
        <v>0.99999999999999978</v>
      </c>
      <c r="M113" s="104"/>
      <c r="N113" s="838">
        <f t="shared" si="57"/>
        <v>2897.4481853098064</v>
      </c>
      <c r="O113" s="833">
        <f>Parameters!R214</f>
        <v>0.9527500000000001</v>
      </c>
      <c r="P113" s="834">
        <f>E113*'MSW characteristics'!$B$28+'MSW characteristics'!$B$29*'4A SWD Case 1'!F113+'4A SWD Case 1'!G113*'MSW characteristics'!$B$30+'MSW characteristics'!$B$31*'4A SWD Case 1'!H113+'4A SWD Case 1'!I113*'MSW characteristics'!$B$32+'MSW characteristics'!$B$33*'4A SWD Case 1'!J113+'4A SWD Case 1'!K113*'MSW characteristics'!$B$35</f>
        <v>0.10505627486104063</v>
      </c>
      <c r="Q113" s="832">
        <f t="shared" si="62"/>
        <v>145.00622193228531</v>
      </c>
      <c r="R113" s="832">
        <f t="shared" si="63"/>
        <v>145.00622193228531</v>
      </c>
      <c r="S113" s="835">
        <f t="shared" si="64"/>
        <v>0</v>
      </c>
      <c r="T113" s="832">
        <f t="shared" si="65"/>
        <v>7324.1490377560831</v>
      </c>
      <c r="U113" s="832">
        <f t="shared" si="66"/>
        <v>368.08252320734249</v>
      </c>
      <c r="V113" s="839">
        <f t="shared" si="67"/>
        <v>245.388348804895</v>
      </c>
      <c r="W113" s="1449"/>
      <c r="X113" s="1025">
        <f>'Recycling - Case 1'!AM163</f>
        <v>0</v>
      </c>
      <c r="Y113" s="1026">
        <f>Parameters!S214</f>
        <v>0.71500000000000008</v>
      </c>
      <c r="Z113" s="1027">
        <f t="shared" si="68"/>
        <v>0.4</v>
      </c>
      <c r="AA113" s="1028">
        <f t="shared" si="69"/>
        <v>0</v>
      </c>
      <c r="AB113" s="1028">
        <f t="shared" si="70"/>
        <v>0</v>
      </c>
      <c r="AC113" s="1029">
        <f t="shared" si="71"/>
        <v>0</v>
      </c>
      <c r="AD113" s="1028">
        <f t="shared" si="72"/>
        <v>3194.0507332761772</v>
      </c>
      <c r="AE113" s="1028">
        <f t="shared" si="73"/>
        <v>163.76248297571311</v>
      </c>
      <c r="AF113" s="1030">
        <f t="shared" si="74"/>
        <v>109.17498865047541</v>
      </c>
      <c r="AG113" s="104"/>
      <c r="AH113" s="1025">
        <f>'Recycling - Case 1'!AM203</f>
        <v>0</v>
      </c>
      <c r="AI113" s="1026">
        <f>Parameters!S214</f>
        <v>0.71500000000000008</v>
      </c>
      <c r="AJ113" s="1027">
        <f t="shared" si="75"/>
        <v>0.4</v>
      </c>
      <c r="AK113" s="1028">
        <f t="shared" si="76"/>
        <v>0</v>
      </c>
      <c r="AL113" s="1028">
        <f t="shared" si="77"/>
        <v>0</v>
      </c>
      <c r="AM113" s="1029">
        <f t="shared" si="78"/>
        <v>0</v>
      </c>
      <c r="AN113" s="1028">
        <f t="shared" si="79"/>
        <v>3194.0507332761772</v>
      </c>
      <c r="AO113" s="1028">
        <f t="shared" si="80"/>
        <v>163.76248297571311</v>
      </c>
      <c r="AP113" s="1030">
        <f t="shared" si="81"/>
        <v>109.17498865047541</v>
      </c>
      <c r="AQ113" s="104"/>
      <c r="AR113" s="1064">
        <f>'Recycling - Case 1'!G123</f>
        <v>780.67530949126035</v>
      </c>
      <c r="AS113" s="1065">
        <v>1</v>
      </c>
      <c r="AT113" s="1066">
        <f t="shared" si="82"/>
        <v>0.05</v>
      </c>
      <c r="AU113" s="1044">
        <f t="shared" si="83"/>
        <v>19.516882737281509</v>
      </c>
      <c r="AV113" s="1044">
        <f t="shared" si="84"/>
        <v>19.516882737281509</v>
      </c>
      <c r="AW113" s="1045">
        <f t="shared" si="85"/>
        <v>0</v>
      </c>
      <c r="AX113" s="1044">
        <f t="shared" si="51"/>
        <v>261.99510016484032</v>
      </c>
      <c r="AY113" s="1044">
        <f t="shared" si="54"/>
        <v>14.994015578195068</v>
      </c>
      <c r="AZ113" s="1067">
        <f t="shared" si="52"/>
        <v>9.9960103854633786</v>
      </c>
      <c r="BB113" s="1055">
        <f t="shared" si="86"/>
        <v>245.388348804895</v>
      </c>
      <c r="BC113" s="1056">
        <f t="shared" si="87"/>
        <v>109.17498865047541</v>
      </c>
      <c r="BD113" s="1082">
        <f t="shared" si="101"/>
        <v>9.9960103854633786</v>
      </c>
      <c r="BE113" s="1056">
        <f t="shared" si="60"/>
        <v>364.55934784083377</v>
      </c>
      <c r="BF113" s="167">
        <v>0</v>
      </c>
      <c r="BG113" s="1075">
        <f t="shared" si="88"/>
        <v>364.55934784083377</v>
      </c>
      <c r="BI113" s="1055">
        <f t="shared" si="89"/>
        <v>245.388348804895</v>
      </c>
      <c r="BJ113" s="1056">
        <f t="shared" si="90"/>
        <v>109.17498865047541</v>
      </c>
      <c r="BK113" s="1082">
        <f t="shared" si="91"/>
        <v>9.9960103854633786</v>
      </c>
      <c r="BL113" s="1056">
        <f t="shared" si="61"/>
        <v>364.55934784083377</v>
      </c>
      <c r="BM113" s="167">
        <v>0</v>
      </c>
      <c r="BN113" s="1075">
        <f t="shared" si="92"/>
        <v>364.55934784083377</v>
      </c>
    </row>
    <row r="114" spans="1:66">
      <c r="A114" s="927">
        <f>'Input data'!A144</f>
        <v>2044</v>
      </c>
      <c r="B114" s="824">
        <f>'Input data'!B144</f>
        <v>73.165122580420132</v>
      </c>
      <c r="C114" s="824">
        <f>'Recycling - Case 1'!AK124/B114</f>
        <v>253.95276926291643</v>
      </c>
      <c r="D114" s="826">
        <f>'Recycling - Case 1'!AM124</f>
        <v>0.14694383061973804</v>
      </c>
      <c r="E114" s="826">
        <f>'Recycling - Case 1'!BE124</f>
        <v>0.18652964131175637</v>
      </c>
      <c r="F114" s="826">
        <f>'Recycling - Case 1'!BF124</f>
        <v>0.23657004828090716</v>
      </c>
      <c r="G114" s="826">
        <f>'Recycling - Case 1'!BG124</f>
        <v>7.470846641856399E-2</v>
      </c>
      <c r="H114" s="826">
        <f>'Recycling - Case 1'!BH124</f>
        <v>0</v>
      </c>
      <c r="I114" s="826">
        <f>'Recycling - Case 1'!BI124</f>
        <v>0</v>
      </c>
      <c r="J114" s="826">
        <f>'Recycling - Case 1'!BJ124</f>
        <v>0</v>
      </c>
      <c r="K114" s="826">
        <f>'Recycling - Case 1'!BK124</f>
        <v>0.5021918439887727</v>
      </c>
      <c r="L114" s="827">
        <f t="shared" si="100"/>
        <v>1.0000000000000002</v>
      </c>
      <c r="M114" s="104"/>
      <c r="N114" s="838">
        <f t="shared" si="57"/>
        <v>2730.2877130803945</v>
      </c>
      <c r="O114" s="833">
        <f>Parameters!R215</f>
        <v>0.95950000000000002</v>
      </c>
      <c r="P114" s="834">
        <f>E114*'MSW characteristics'!$B$28+'MSW characteristics'!$B$29*'4A SWD Case 1'!F114+'4A SWD Case 1'!G114*'MSW characteristics'!$B$30+'MSW characteristics'!$B$31*'4A SWD Case 1'!H114+'4A SWD Case 1'!I114*'MSW characteristics'!$B$32+'MSW characteristics'!$B$33*'4A SWD Case 1'!J114+'4A SWD Case 1'!K114*'MSW characteristics'!$B$35</f>
        <v>0.10517684242037048</v>
      </c>
      <c r="Q114" s="832">
        <f t="shared" si="62"/>
        <v>137.76646870910633</v>
      </c>
      <c r="R114" s="832">
        <f t="shared" si="63"/>
        <v>137.76646870910633</v>
      </c>
      <c r="S114" s="835">
        <f t="shared" si="64"/>
        <v>0</v>
      </c>
      <c r="T114" s="832">
        <f t="shared" si="65"/>
        <v>7104.7125428512836</v>
      </c>
      <c r="U114" s="832">
        <f t="shared" si="66"/>
        <v>357.20296361390587</v>
      </c>
      <c r="V114" s="839">
        <f t="shared" si="67"/>
        <v>238.13530907593724</v>
      </c>
      <c r="W114" s="1449"/>
      <c r="X114" s="1025">
        <f>'Recycling - Case 1'!AM164</f>
        <v>0</v>
      </c>
      <c r="Y114" s="1026">
        <f>Parameters!S215</f>
        <v>0.71500000000000008</v>
      </c>
      <c r="Z114" s="1027">
        <f t="shared" si="68"/>
        <v>0.4</v>
      </c>
      <c r="AA114" s="1028">
        <f t="shared" si="69"/>
        <v>0</v>
      </c>
      <c r="AB114" s="1028">
        <f t="shared" si="70"/>
        <v>0</v>
      </c>
      <c r="AC114" s="1029">
        <f t="shared" si="71"/>
        <v>0</v>
      </c>
      <c r="AD114" s="1028">
        <f t="shared" si="72"/>
        <v>3038.2750408403817</v>
      </c>
      <c r="AE114" s="1028">
        <f t="shared" si="73"/>
        <v>155.77569243579555</v>
      </c>
      <c r="AF114" s="1030">
        <f t="shared" si="74"/>
        <v>103.85046162386369</v>
      </c>
      <c r="AG114" s="104"/>
      <c r="AH114" s="1025">
        <f>'Recycling - Case 1'!AM204</f>
        <v>0</v>
      </c>
      <c r="AI114" s="1026">
        <f>Parameters!S215</f>
        <v>0.71500000000000008</v>
      </c>
      <c r="AJ114" s="1027">
        <f t="shared" si="75"/>
        <v>0.4</v>
      </c>
      <c r="AK114" s="1028">
        <f t="shared" si="76"/>
        <v>0</v>
      </c>
      <c r="AL114" s="1028">
        <f t="shared" si="77"/>
        <v>0</v>
      </c>
      <c r="AM114" s="1029">
        <f t="shared" si="78"/>
        <v>0</v>
      </c>
      <c r="AN114" s="1028">
        <f t="shared" si="79"/>
        <v>3038.2750408403817</v>
      </c>
      <c r="AO114" s="1028">
        <f t="shared" si="80"/>
        <v>155.77569243579555</v>
      </c>
      <c r="AP114" s="1030">
        <f t="shared" si="81"/>
        <v>103.85046162386369</v>
      </c>
      <c r="AQ114" s="104"/>
      <c r="AR114" s="1064">
        <f>'Recycling - Case 1'!G124</f>
        <v>790.79333787138808</v>
      </c>
      <c r="AS114" s="1065">
        <v>1</v>
      </c>
      <c r="AT114" s="1066">
        <f t="shared" si="82"/>
        <v>0.05</v>
      </c>
      <c r="AU114" s="1044">
        <f t="shared" si="83"/>
        <v>19.769833446784702</v>
      </c>
      <c r="AV114" s="1044">
        <f t="shared" si="84"/>
        <v>19.769833446784702</v>
      </c>
      <c r="AW114" s="1045">
        <f t="shared" si="85"/>
        <v>0</v>
      </c>
      <c r="AX114" s="1044">
        <f t="shared" si="51"/>
        <v>266.50752675488411</v>
      </c>
      <c r="AY114" s="1044">
        <f t="shared" si="54"/>
        <v>15.257406856740952</v>
      </c>
      <c r="AZ114" s="1067">
        <f t="shared" si="52"/>
        <v>10.171604571160634</v>
      </c>
      <c r="BB114" s="1055">
        <f t="shared" si="86"/>
        <v>238.13530907593724</v>
      </c>
      <c r="BC114" s="1056">
        <f t="shared" si="87"/>
        <v>103.85046162386369</v>
      </c>
      <c r="BD114" s="1082">
        <f t="shared" si="101"/>
        <v>10.171604571160634</v>
      </c>
      <c r="BE114" s="1056">
        <f t="shared" si="60"/>
        <v>352.15737527096155</v>
      </c>
      <c r="BF114" s="167">
        <v>0</v>
      </c>
      <c r="BG114" s="1075">
        <f t="shared" si="88"/>
        <v>352.15737527096155</v>
      </c>
      <c r="BI114" s="1055">
        <f t="shared" si="89"/>
        <v>238.13530907593724</v>
      </c>
      <c r="BJ114" s="1056">
        <f t="shared" si="90"/>
        <v>103.85046162386369</v>
      </c>
      <c r="BK114" s="1082">
        <f t="shared" si="91"/>
        <v>10.171604571160634</v>
      </c>
      <c r="BL114" s="1056">
        <f t="shared" si="61"/>
        <v>352.15737527096155</v>
      </c>
      <c r="BM114" s="167">
        <v>0</v>
      </c>
      <c r="BN114" s="1075">
        <f t="shared" si="92"/>
        <v>352.15737527096155</v>
      </c>
    </row>
    <row r="115" spans="1:66">
      <c r="A115" s="927">
        <f>'Input data'!A145</f>
        <v>2045</v>
      </c>
      <c r="B115" s="824">
        <f>'Input data'!B145</f>
        <v>73.619545999999971</v>
      </c>
      <c r="C115" s="824">
        <f>'Recycling - Case 1'!AK125/B115</f>
        <v>250.06203973382028</v>
      </c>
      <c r="D115" s="826">
        <f>'Recycling - Case 1'!AM125</f>
        <v>0.13922885836483925</v>
      </c>
      <c r="E115" s="826">
        <f>'Recycling - Case 1'!BE125</f>
        <v>0.18694699438263682</v>
      </c>
      <c r="F115" s="826">
        <f>'Recycling - Case 1'!BF125</f>
        <v>0.23709936488407021</v>
      </c>
      <c r="G115" s="826">
        <f>'Recycling - Case 1'!BG125</f>
        <v>7.4585872898891889E-2</v>
      </c>
      <c r="H115" s="826">
        <f>'Recycling - Case 1'!BH125</f>
        <v>0</v>
      </c>
      <c r="I115" s="826">
        <f>'Recycling - Case 1'!BI125</f>
        <v>0</v>
      </c>
      <c r="J115" s="826">
        <f>'Recycling - Case 1'!BJ125</f>
        <v>0</v>
      </c>
      <c r="K115" s="826">
        <f>'Recycling - Case 1'!BK125</f>
        <v>0.50136776783440118</v>
      </c>
      <c r="L115" s="827">
        <f t="shared" si="100"/>
        <v>1</v>
      </c>
      <c r="M115" s="104"/>
      <c r="N115" s="838">
        <f t="shared" si="57"/>
        <v>2563.1272408509826</v>
      </c>
      <c r="O115" s="833">
        <f>Parameters!R216</f>
        <v>0.96625000000000005</v>
      </c>
      <c r="P115" s="834">
        <f>E115*'MSW characteristics'!$B$28+'MSW characteristics'!$B$29*'4A SWD Case 1'!F115+'4A SWD Case 1'!G115*'MSW characteristics'!$B$30+'MSW characteristics'!$B$31*'4A SWD Case 1'!H115+'4A SWD Case 1'!I115*'MSW characteristics'!$B$32+'MSW characteristics'!$B$33*'4A SWD Case 1'!J115+'4A SWD Case 1'!K115*'MSW characteristics'!$B$35</f>
        <v>0.10529627129376633</v>
      </c>
      <c r="Q115" s="832">
        <f t="shared" si="62"/>
        <v>130.38951502188556</v>
      </c>
      <c r="R115" s="832">
        <f t="shared" si="63"/>
        <v>130.38951502188556</v>
      </c>
      <c r="S115" s="835">
        <f t="shared" si="64"/>
        <v>0</v>
      </c>
      <c r="T115" s="832">
        <f t="shared" si="65"/>
        <v>6888.6011384013173</v>
      </c>
      <c r="U115" s="832">
        <f t="shared" si="66"/>
        <v>346.50091947185263</v>
      </c>
      <c r="V115" s="839">
        <f t="shared" si="67"/>
        <v>231.00061298123509</v>
      </c>
      <c r="W115" s="1449"/>
      <c r="X115" s="1025">
        <f>'Recycling - Case 1'!AM165</f>
        <v>0</v>
      </c>
      <c r="Y115" s="1026">
        <f>Parameters!S216</f>
        <v>0.71500000000000008</v>
      </c>
      <c r="Z115" s="1027">
        <f t="shared" si="68"/>
        <v>0.4</v>
      </c>
      <c r="AA115" s="1028">
        <f t="shared" si="69"/>
        <v>0</v>
      </c>
      <c r="AB115" s="1028">
        <f t="shared" si="70"/>
        <v>0</v>
      </c>
      <c r="AC115" s="1029">
        <f t="shared" si="71"/>
        <v>0</v>
      </c>
      <c r="AD115" s="1028">
        <f t="shared" si="72"/>
        <v>2890.0966185734796</v>
      </c>
      <c r="AE115" s="1028">
        <f t="shared" si="73"/>
        <v>148.17842226690203</v>
      </c>
      <c r="AF115" s="1030">
        <f t="shared" si="74"/>
        <v>98.785614844601355</v>
      </c>
      <c r="AG115" s="104"/>
      <c r="AH115" s="1025">
        <f>'Recycling - Case 1'!AM205</f>
        <v>0</v>
      </c>
      <c r="AI115" s="1026">
        <f>Parameters!S216</f>
        <v>0.71500000000000008</v>
      </c>
      <c r="AJ115" s="1027">
        <f t="shared" si="75"/>
        <v>0.4</v>
      </c>
      <c r="AK115" s="1028">
        <f t="shared" si="76"/>
        <v>0</v>
      </c>
      <c r="AL115" s="1028">
        <f t="shared" si="77"/>
        <v>0</v>
      </c>
      <c r="AM115" s="1029">
        <f t="shared" si="78"/>
        <v>0</v>
      </c>
      <c r="AN115" s="1028">
        <f t="shared" si="79"/>
        <v>2890.0966185734796</v>
      </c>
      <c r="AO115" s="1028">
        <f t="shared" si="80"/>
        <v>148.17842226690203</v>
      </c>
      <c r="AP115" s="1030">
        <f t="shared" si="81"/>
        <v>98.785614844601355</v>
      </c>
      <c r="AQ115" s="104"/>
      <c r="AR115" s="1064">
        <f>'Recycling - Case 1'!G125</f>
        <v>801.00693591981212</v>
      </c>
      <c r="AS115" s="1065">
        <v>1</v>
      </c>
      <c r="AT115" s="1066">
        <f t="shared" si="82"/>
        <v>0.05</v>
      </c>
      <c r="AU115" s="1044">
        <f t="shared" si="83"/>
        <v>20.025173397995303</v>
      </c>
      <c r="AV115" s="1044">
        <f t="shared" si="84"/>
        <v>20.025173397995303</v>
      </c>
      <c r="AW115" s="1045">
        <f t="shared" si="85"/>
        <v>0</v>
      </c>
      <c r="AX115" s="1044">
        <f t="shared" si="51"/>
        <v>271.0125100290004</v>
      </c>
      <c r="AY115" s="1044">
        <f t="shared" si="54"/>
        <v>15.52019012387899</v>
      </c>
      <c r="AZ115" s="1067">
        <f t="shared" si="52"/>
        <v>10.346793415919327</v>
      </c>
      <c r="BB115" s="1055">
        <f t="shared" si="86"/>
        <v>231.00061298123509</v>
      </c>
      <c r="BC115" s="1056">
        <f t="shared" si="87"/>
        <v>98.785614844601355</v>
      </c>
      <c r="BD115" s="1082">
        <f t="shared" si="101"/>
        <v>10.346793415919327</v>
      </c>
      <c r="BE115" s="1056">
        <f t="shared" si="60"/>
        <v>340.13302124175578</v>
      </c>
      <c r="BF115" s="167">
        <v>0</v>
      </c>
      <c r="BG115" s="1075">
        <f t="shared" si="88"/>
        <v>340.13302124175578</v>
      </c>
      <c r="BI115" s="1055">
        <f t="shared" si="89"/>
        <v>231.00061298123509</v>
      </c>
      <c r="BJ115" s="1056">
        <f t="shared" si="90"/>
        <v>98.785614844601355</v>
      </c>
      <c r="BK115" s="1082">
        <f t="shared" si="91"/>
        <v>10.346793415919327</v>
      </c>
      <c r="BL115" s="1056">
        <f t="shared" si="61"/>
        <v>340.13302124175578</v>
      </c>
      <c r="BM115" s="167">
        <v>0</v>
      </c>
      <c r="BN115" s="1075">
        <f t="shared" si="92"/>
        <v>340.13302124175578</v>
      </c>
    </row>
    <row r="116" spans="1:66">
      <c r="A116" s="927">
        <f>'Input data'!A146</f>
        <v>2046</v>
      </c>
      <c r="B116" s="824">
        <f>'Input data'!B146</f>
        <v>73.995362001779526</v>
      </c>
      <c r="C116" s="824">
        <f>'Recycling - Case 1'!AK126/B116</f>
        <v>246.36276968453541</v>
      </c>
      <c r="D116" s="826">
        <f>'Recycling - Case 1'!AM126</f>
        <v>0.13143202920706248</v>
      </c>
      <c r="E116" s="826">
        <f>'Recycling - Case 1'!BE126</f>
        <v>0.18728726320529812</v>
      </c>
      <c r="F116" s="826">
        <f>'Recycling - Case 1'!BF126</f>
        <v>0.23753091780638</v>
      </c>
      <c r="G116" s="826">
        <f>'Recycling - Case 1'!BG126</f>
        <v>7.4485922148519484E-2</v>
      </c>
      <c r="H116" s="826">
        <f>'Recycling - Case 1'!BH126</f>
        <v>0</v>
      </c>
      <c r="I116" s="826">
        <f>'Recycling - Case 1'!BI126</f>
        <v>0</v>
      </c>
      <c r="J116" s="826">
        <f>'Recycling - Case 1'!BJ126</f>
        <v>0</v>
      </c>
      <c r="K116" s="826">
        <f>'Recycling - Case 1'!BK126</f>
        <v>0.50069589683980242</v>
      </c>
      <c r="L116" s="827">
        <f t="shared" si="100"/>
        <v>1</v>
      </c>
      <c r="M116" s="104"/>
      <c r="N116" s="838">
        <f t="shared" si="57"/>
        <v>2395.9667686215707</v>
      </c>
      <c r="O116" s="833">
        <f>Parameters!R217</f>
        <v>0.97300000000000009</v>
      </c>
      <c r="P116" s="834">
        <f>E116*'MSW characteristics'!$B$28+'MSW characteristics'!$B$29*'4A SWD Case 1'!F116+'4A SWD Case 1'!G116*'MSW characteristics'!$B$30+'MSW characteristics'!$B$31*'4A SWD Case 1'!H116+'4A SWD Case 1'!I116*'MSW characteristics'!$B$32+'MSW characteristics'!$B$33*'4A SWD Case 1'!J116+'4A SWD Case 1'!K116*'MSW characteristics'!$B$35</f>
        <v>0.10539364190147853</v>
      </c>
      <c r="Q116" s="832">
        <f t="shared" si="62"/>
        <v>122.85081635110301</v>
      </c>
      <c r="R116" s="832">
        <f t="shared" si="63"/>
        <v>122.85081635110301</v>
      </c>
      <c r="S116" s="835">
        <f t="shared" si="64"/>
        <v>0</v>
      </c>
      <c r="T116" s="832">
        <f>R116+(T115*$C$8)</f>
        <v>6675.490912847552</v>
      </c>
      <c r="U116" s="832">
        <f t="shared" si="66"/>
        <v>335.96104190486881</v>
      </c>
      <c r="V116" s="839">
        <f t="shared" si="67"/>
        <v>223.9740279365792</v>
      </c>
      <c r="W116" s="1449"/>
      <c r="X116" s="1025">
        <f>'Recycling - Case 1'!AM166</f>
        <v>0</v>
      </c>
      <c r="Y116" s="1026">
        <f>Parameters!S217</f>
        <v>0.71500000000000008</v>
      </c>
      <c r="Z116" s="1027">
        <f t="shared" si="68"/>
        <v>0.4</v>
      </c>
      <c r="AA116" s="1028">
        <f t="shared" si="69"/>
        <v>0</v>
      </c>
      <c r="AB116" s="1028">
        <f t="shared" si="70"/>
        <v>0</v>
      </c>
      <c r="AC116" s="1029">
        <f t="shared" si="71"/>
        <v>0</v>
      </c>
      <c r="AD116" s="1028">
        <f t="shared" si="72"/>
        <v>2749.1449432371105</v>
      </c>
      <c r="AE116" s="1028">
        <f t="shared" si="73"/>
        <v>140.95167533636902</v>
      </c>
      <c r="AF116" s="1030">
        <f t="shared" si="74"/>
        <v>93.967783557579352</v>
      </c>
      <c r="AG116" s="104"/>
      <c r="AH116" s="1025">
        <f>'Recycling - Case 1'!AM206</f>
        <v>0</v>
      </c>
      <c r="AI116" s="1026">
        <f>Parameters!S217</f>
        <v>0.71500000000000008</v>
      </c>
      <c r="AJ116" s="1027">
        <f t="shared" si="75"/>
        <v>0.4</v>
      </c>
      <c r="AK116" s="1028">
        <f t="shared" si="76"/>
        <v>0</v>
      </c>
      <c r="AL116" s="1028">
        <f t="shared" si="77"/>
        <v>0</v>
      </c>
      <c r="AM116" s="1029">
        <f t="shared" si="78"/>
        <v>0</v>
      </c>
      <c r="AN116" s="1028">
        <f t="shared" si="79"/>
        <v>2749.1449432371105</v>
      </c>
      <c r="AO116" s="1028">
        <f t="shared" si="80"/>
        <v>140.95167533636902</v>
      </c>
      <c r="AP116" s="1030">
        <f t="shared" si="81"/>
        <v>93.967783557579352</v>
      </c>
      <c r="AQ116" s="104"/>
      <c r="AR116" s="1064">
        <f>'Recycling - Case 1'!G126</f>
        <v>810.42505056127879</v>
      </c>
      <c r="AS116" s="1065">
        <v>1</v>
      </c>
      <c r="AT116" s="1066">
        <f t="shared" si="82"/>
        <v>0.05</v>
      </c>
      <c r="AU116" s="1044">
        <f t="shared" si="83"/>
        <v>20.26062626403197</v>
      </c>
      <c r="AV116" s="1044">
        <f t="shared" si="84"/>
        <v>20.26062626403197</v>
      </c>
      <c r="AW116" s="1045">
        <f t="shared" si="85"/>
        <v>0</v>
      </c>
      <c r="AX116" s="1044">
        <f t="shared" si="51"/>
        <v>275.49059636699008</v>
      </c>
      <c r="AY116" s="1044">
        <f t="shared" si="54"/>
        <v>15.782539926042309</v>
      </c>
      <c r="AZ116" s="1067">
        <f t="shared" si="52"/>
        <v>10.521693284028206</v>
      </c>
      <c r="BB116" s="1055">
        <f t="shared" si="86"/>
        <v>223.9740279365792</v>
      </c>
      <c r="BC116" s="1056">
        <f t="shared" si="87"/>
        <v>93.967783557579352</v>
      </c>
      <c r="BD116" s="1082">
        <f t="shared" si="101"/>
        <v>10.521693284028206</v>
      </c>
      <c r="BE116" s="1056">
        <f t="shared" si="60"/>
        <v>328.4635047781868</v>
      </c>
      <c r="BF116" s="167">
        <v>0</v>
      </c>
      <c r="BG116" s="1075">
        <f t="shared" si="88"/>
        <v>328.4635047781868</v>
      </c>
      <c r="BI116" s="1055">
        <f t="shared" si="89"/>
        <v>223.9740279365792</v>
      </c>
      <c r="BJ116" s="1056">
        <f t="shared" si="90"/>
        <v>93.967783557579352</v>
      </c>
      <c r="BK116" s="1082">
        <f t="shared" si="91"/>
        <v>10.521693284028206</v>
      </c>
      <c r="BL116" s="1056">
        <f t="shared" si="61"/>
        <v>328.4635047781868</v>
      </c>
      <c r="BM116" s="167">
        <v>0</v>
      </c>
      <c r="BN116" s="1075">
        <f t="shared" si="92"/>
        <v>328.4635047781868</v>
      </c>
    </row>
    <row r="117" spans="1:66">
      <c r="A117" s="927">
        <f>'Input data'!A147</f>
        <v>2047</v>
      </c>
      <c r="B117" s="824">
        <f>'Input data'!B147</f>
        <v>74.373096484110363</v>
      </c>
      <c r="C117" s="824">
        <f>'Recycling - Case 1'!AK127/B117</f>
        <v>242.69971882361628</v>
      </c>
      <c r="D117" s="826">
        <f>'Recycling - Case 1'!AM127</f>
        <v>0.12347731843120803</v>
      </c>
      <c r="E117" s="826">
        <f>'Recycling - Case 1'!BE127</f>
        <v>0.18762490000098597</v>
      </c>
      <c r="F117" s="826">
        <f>'Recycling - Case 1'!BF127</f>
        <v>0.23795913260642762</v>
      </c>
      <c r="G117" s="826">
        <f>'Recycling - Case 1'!BG127</f>
        <v>7.4386744531192123E-2</v>
      </c>
      <c r="H117" s="826">
        <f>'Recycling - Case 1'!BH127</f>
        <v>0</v>
      </c>
      <c r="I117" s="826">
        <f>'Recycling - Case 1'!BI127</f>
        <v>0</v>
      </c>
      <c r="J117" s="826">
        <f>'Recycling - Case 1'!BJ127</f>
        <v>0</v>
      </c>
      <c r="K117" s="826">
        <f>'Recycling - Case 1'!BK127</f>
        <v>0.5000292228613944</v>
      </c>
      <c r="L117" s="827">
        <f t="shared" si="100"/>
        <v>1</v>
      </c>
      <c r="M117" s="104"/>
      <c r="N117" s="838">
        <f t="shared" si="57"/>
        <v>2228.8062963921584</v>
      </c>
      <c r="O117" s="833">
        <f>Parameters!R218</f>
        <v>0.97975000000000012</v>
      </c>
      <c r="P117" s="834">
        <f>E117*'MSW characteristics'!$B$28+'MSW characteristics'!$B$29*'4A SWD Case 1'!F117+'4A SWD Case 1'!G117*'MSW characteristics'!$B$30+'MSW characteristics'!$B$31*'4A SWD Case 1'!H117+'4A SWD Case 1'!I117*'MSW characteristics'!$B$32+'MSW characteristics'!$B$33*'4A SWD Case 1'!J117+'4A SWD Case 1'!K117*'MSW characteristics'!$B$35</f>
        <v>0.10549025933391026</v>
      </c>
      <c r="Q117" s="832">
        <f t="shared" si="62"/>
        <v>115.1781138943394</v>
      </c>
      <c r="R117" s="832">
        <f t="shared" si="63"/>
        <v>115.1781138943394</v>
      </c>
      <c r="S117" s="835">
        <f t="shared" si="64"/>
        <v>0</v>
      </c>
      <c r="T117" s="832">
        <f t="shared" ref="T117:T120" si="102">R117+(T116*$C$8)</f>
        <v>6465.1014931820628</v>
      </c>
      <c r="U117" s="832">
        <f t="shared" si="66"/>
        <v>325.56753355982903</v>
      </c>
      <c r="V117" s="839">
        <f t="shared" si="67"/>
        <v>217.04502237321935</v>
      </c>
      <c r="W117" s="1449"/>
      <c r="X117" s="1025">
        <f>'Recycling - Case 1'!AM167</f>
        <v>0</v>
      </c>
      <c r="Y117" s="1026">
        <f>Parameters!S218</f>
        <v>0.71500000000000008</v>
      </c>
      <c r="Z117" s="1027">
        <f t="shared" si="68"/>
        <v>0.4</v>
      </c>
      <c r="AA117" s="1028">
        <f t="shared" si="69"/>
        <v>0</v>
      </c>
      <c r="AB117" s="1028">
        <f t="shared" si="70"/>
        <v>0</v>
      </c>
      <c r="AC117" s="1029">
        <f t="shared" si="71"/>
        <v>0</v>
      </c>
      <c r="AD117" s="1028">
        <f t="shared" si="72"/>
        <v>2615.0675622244848</v>
      </c>
      <c r="AE117" s="1028">
        <f t="shared" si="73"/>
        <v>134.07738101262578</v>
      </c>
      <c r="AF117" s="1030">
        <f t="shared" si="74"/>
        <v>89.384920675083848</v>
      </c>
      <c r="AG117" s="104"/>
      <c r="AH117" s="1025">
        <f>'Recycling - Case 1'!AM207</f>
        <v>0</v>
      </c>
      <c r="AI117" s="1026">
        <f>Parameters!S218</f>
        <v>0.71500000000000008</v>
      </c>
      <c r="AJ117" s="1027">
        <f t="shared" si="75"/>
        <v>0.4</v>
      </c>
      <c r="AK117" s="1028">
        <f t="shared" si="76"/>
        <v>0</v>
      </c>
      <c r="AL117" s="1028">
        <f t="shared" si="77"/>
        <v>0</v>
      </c>
      <c r="AM117" s="1029">
        <f t="shared" si="78"/>
        <v>0</v>
      </c>
      <c r="AN117" s="1028">
        <f t="shared" si="79"/>
        <v>2615.0675622244848</v>
      </c>
      <c r="AO117" s="1028">
        <f t="shared" si="80"/>
        <v>134.07738101262578</v>
      </c>
      <c r="AP117" s="1030">
        <f t="shared" si="81"/>
        <v>89.384920675083848</v>
      </c>
      <c r="AQ117" s="104"/>
      <c r="AR117" s="1064">
        <f>'Recycling - Case 1'!G127</f>
        <v>819.91844738595455</v>
      </c>
      <c r="AS117" s="1065">
        <v>1</v>
      </c>
      <c r="AT117" s="1066">
        <f t="shared" si="82"/>
        <v>0.05</v>
      </c>
      <c r="AU117" s="1044">
        <f t="shared" si="83"/>
        <v>20.497961184648865</v>
      </c>
      <c r="AV117" s="1044">
        <f t="shared" si="84"/>
        <v>20.497961184648865</v>
      </c>
      <c r="AW117" s="1045">
        <f t="shared" si="85"/>
        <v>0</v>
      </c>
      <c r="AX117" s="1044">
        <f t="shared" si="51"/>
        <v>279.94523417905384</v>
      </c>
      <c r="AY117" s="1044">
        <f t="shared" si="54"/>
        <v>16.043323372585142</v>
      </c>
      <c r="AZ117" s="1067">
        <f t="shared" si="52"/>
        <v>10.695548915056762</v>
      </c>
      <c r="BB117" s="1055">
        <f t="shared" si="86"/>
        <v>217.04502237321935</v>
      </c>
      <c r="BC117" s="1056">
        <f t="shared" si="87"/>
        <v>89.384920675083848</v>
      </c>
      <c r="BD117" s="1082">
        <f t="shared" si="101"/>
        <v>10.695548915056762</v>
      </c>
      <c r="BE117" s="1056">
        <f t="shared" si="60"/>
        <v>317.12549196335993</v>
      </c>
      <c r="BF117" s="167">
        <v>0</v>
      </c>
      <c r="BG117" s="1075">
        <f t="shared" si="88"/>
        <v>317.12549196335993</v>
      </c>
      <c r="BI117" s="1055">
        <f t="shared" si="89"/>
        <v>217.04502237321935</v>
      </c>
      <c r="BJ117" s="1056">
        <f t="shared" si="90"/>
        <v>89.384920675083848</v>
      </c>
      <c r="BK117" s="1082">
        <f t="shared" si="91"/>
        <v>10.695548915056762</v>
      </c>
      <c r="BL117" s="1056">
        <f t="shared" si="61"/>
        <v>317.12549196335993</v>
      </c>
      <c r="BM117" s="167">
        <v>0</v>
      </c>
      <c r="BN117" s="1075">
        <f t="shared" si="92"/>
        <v>317.12549196335993</v>
      </c>
    </row>
    <row r="118" spans="1:66">
      <c r="A118" s="927">
        <f>'Input data'!A148</f>
        <v>2048</v>
      </c>
      <c r="B118" s="824">
        <f>'Input data'!B148</f>
        <v>74.752759240528661</v>
      </c>
      <c r="C118" s="824">
        <f>'Recycling - Case 1'!AK128/B118</f>
        <v>242.04472938065743</v>
      </c>
      <c r="D118" s="826">
        <f>'Recycling - Case 1'!AM128</f>
        <v>0.12318262881540074</v>
      </c>
      <c r="E118" s="826">
        <f>'Recycling - Case 1'!BE128</f>
        <v>0.18795993086424437</v>
      </c>
      <c r="F118" s="826">
        <f>'Recycling - Case 1'!BF128</f>
        <v>0.23838404237915467</v>
      </c>
      <c r="G118" s="826">
        <f>'Recycling - Case 1'!BG128</f>
        <v>7.4288332381884134E-2</v>
      </c>
      <c r="H118" s="826">
        <f>'Recycling - Case 1'!BH128</f>
        <v>0</v>
      </c>
      <c r="I118" s="826">
        <f>'Recycling - Case 1'!BI128</f>
        <v>0</v>
      </c>
      <c r="J118" s="826">
        <f>'Recycling - Case 1'!BJ128</f>
        <v>0</v>
      </c>
      <c r="K118" s="826">
        <f>'Recycling - Case 1'!BK128</f>
        <v>0.49936769437471668</v>
      </c>
      <c r="L118" s="827">
        <f t="shared" si="100"/>
        <v>0.99999999999999978</v>
      </c>
      <c r="M118" s="104"/>
      <c r="N118" s="838">
        <f t="shared" si="57"/>
        <v>2228.8062963921584</v>
      </c>
      <c r="O118" s="833">
        <f>Parameters!R219</f>
        <v>0.98650000000000015</v>
      </c>
      <c r="P118" s="834">
        <f>E118*'MSW characteristics'!$B$28+'MSW characteristics'!$B$29*'4A SWD Case 1'!F118+'4A SWD Case 1'!G118*'MSW characteristics'!$B$30+'MSW characteristics'!$B$31*'4A SWD Case 1'!H118+'4A SWD Case 1'!I118*'MSW characteristics'!$B$32+'MSW characteristics'!$B$33*'4A SWD Case 1'!J118+'4A SWD Case 1'!K118*'MSW characteristics'!$B$35</f>
        <v>0.10558613105822125</v>
      </c>
      <c r="Q118" s="832">
        <f t="shared" si="62"/>
        <v>116.0770323795544</v>
      </c>
      <c r="R118" s="832">
        <f t="shared" si="63"/>
        <v>116.0770323795544</v>
      </c>
      <c r="S118" s="835">
        <f t="shared" si="64"/>
        <v>0</v>
      </c>
      <c r="T118" s="832">
        <f t="shared" si="102"/>
        <v>6265.8718050778343</v>
      </c>
      <c r="U118" s="832">
        <f t="shared" si="66"/>
        <v>315.30672048378233</v>
      </c>
      <c r="V118" s="839">
        <f t="shared" si="67"/>
        <v>210.20448032252156</v>
      </c>
      <c r="W118" s="1449"/>
      <c r="X118" s="1025">
        <f>'Recycling - Case 1'!AM168</f>
        <v>0</v>
      </c>
      <c r="Y118" s="1026">
        <f>Parameters!S219</f>
        <v>0.71500000000000008</v>
      </c>
      <c r="Z118" s="1027">
        <f t="shared" si="68"/>
        <v>0.4</v>
      </c>
      <c r="AA118" s="1028">
        <f t="shared" si="69"/>
        <v>0</v>
      </c>
      <c r="AB118" s="1028">
        <f t="shared" si="70"/>
        <v>0</v>
      </c>
      <c r="AC118" s="1029">
        <f t="shared" si="71"/>
        <v>0</v>
      </c>
      <c r="AD118" s="1028">
        <f t="shared" si="72"/>
        <v>2487.529212245282</v>
      </c>
      <c r="AE118" s="1028">
        <f t="shared" si="73"/>
        <v>127.53834997920299</v>
      </c>
      <c r="AF118" s="1030">
        <f t="shared" si="74"/>
        <v>85.025566652801999</v>
      </c>
      <c r="AG118" s="104"/>
      <c r="AH118" s="1025">
        <f>'Recycling - Case 1'!AM208</f>
        <v>0</v>
      </c>
      <c r="AI118" s="1026">
        <f>Parameters!S219</f>
        <v>0.71500000000000008</v>
      </c>
      <c r="AJ118" s="1027">
        <f t="shared" si="75"/>
        <v>0.4</v>
      </c>
      <c r="AK118" s="1028">
        <f t="shared" si="76"/>
        <v>0</v>
      </c>
      <c r="AL118" s="1028">
        <f t="shared" si="77"/>
        <v>0</v>
      </c>
      <c r="AM118" s="1029">
        <f t="shared" si="78"/>
        <v>0</v>
      </c>
      <c r="AN118" s="1028">
        <f t="shared" si="79"/>
        <v>2487.529212245282</v>
      </c>
      <c r="AO118" s="1028">
        <f t="shared" si="80"/>
        <v>127.53834997920299</v>
      </c>
      <c r="AP118" s="1030">
        <f t="shared" si="81"/>
        <v>85.025566652801999</v>
      </c>
      <c r="AQ118" s="104"/>
      <c r="AR118" s="1064">
        <f>'Recycling - Case 1'!G128</f>
        <v>829.4876495705023</v>
      </c>
      <c r="AS118" s="1065">
        <v>1</v>
      </c>
      <c r="AT118" s="1066">
        <f t="shared" si="82"/>
        <v>0.05</v>
      </c>
      <c r="AU118" s="1044">
        <f t="shared" si="83"/>
        <v>20.737191239262557</v>
      </c>
      <c r="AV118" s="1044">
        <f t="shared" si="84"/>
        <v>20.737191239262557</v>
      </c>
      <c r="AW118" s="1045">
        <f t="shared" si="85"/>
        <v>0</v>
      </c>
      <c r="AX118" s="1044">
        <f t="shared" si="51"/>
        <v>284.37968413503245</v>
      </c>
      <c r="AY118" s="1044">
        <f t="shared" si="54"/>
        <v>16.302741283283918</v>
      </c>
      <c r="AZ118" s="1067">
        <f t="shared" si="52"/>
        <v>10.868494188855946</v>
      </c>
      <c r="BB118" s="1055">
        <f t="shared" si="86"/>
        <v>210.20448032252156</v>
      </c>
      <c r="BC118" s="1056">
        <f t="shared" si="87"/>
        <v>85.025566652801999</v>
      </c>
      <c r="BD118" s="1082">
        <f t="shared" si="101"/>
        <v>10.868494188855946</v>
      </c>
      <c r="BE118" s="1056">
        <f t="shared" si="60"/>
        <v>306.09854116417949</v>
      </c>
      <c r="BF118" s="167">
        <v>0</v>
      </c>
      <c r="BG118" s="1075">
        <f t="shared" si="88"/>
        <v>306.09854116417949</v>
      </c>
      <c r="BI118" s="1055">
        <f t="shared" si="89"/>
        <v>210.20448032252156</v>
      </c>
      <c r="BJ118" s="1056">
        <f t="shared" si="90"/>
        <v>85.025566652801999</v>
      </c>
      <c r="BK118" s="1082">
        <f t="shared" si="91"/>
        <v>10.868494188855946</v>
      </c>
      <c r="BL118" s="1056">
        <f t="shared" si="61"/>
        <v>306.09854116417949</v>
      </c>
      <c r="BM118" s="167">
        <v>0</v>
      </c>
      <c r="BN118" s="1075">
        <f t="shared" si="92"/>
        <v>306.09854116417949</v>
      </c>
    </row>
    <row r="119" spans="1:66">
      <c r="A119" s="927">
        <f>'Input data'!A149</f>
        <v>2049</v>
      </c>
      <c r="B119" s="824">
        <f>'Input data'!B149</f>
        <v>75.134360114565098</v>
      </c>
      <c r="C119" s="824">
        <f>'Recycling - Case 1'!AK129/B119</f>
        <v>241.39323220033924</v>
      </c>
      <c r="D119" s="826">
        <f>'Recycling - Case 1'!AM129</f>
        <v>0.12288776454186226</v>
      </c>
      <c r="E119" s="826">
        <f>'Recycling - Case 1'!BE129</f>
        <v>0.1882923815554092</v>
      </c>
      <c r="F119" s="826">
        <f>'Recycling - Case 1'!BF129</f>
        <v>0.23880567979563602</v>
      </c>
      <c r="G119" s="826">
        <f>'Recycling - Case 1'!BG129</f>
        <v>7.419067813374039E-2</v>
      </c>
      <c r="H119" s="826">
        <f>'Recycling - Case 1'!BH129</f>
        <v>0</v>
      </c>
      <c r="I119" s="826">
        <f>'Recycling - Case 1'!BI129</f>
        <v>0</v>
      </c>
      <c r="J119" s="826">
        <f>'Recycling - Case 1'!BJ129</f>
        <v>0</v>
      </c>
      <c r="K119" s="826">
        <f>'Recycling - Case 1'!BK129</f>
        <v>0.49871126051521419</v>
      </c>
      <c r="L119" s="827">
        <f t="shared" si="100"/>
        <v>0.99999999999999978</v>
      </c>
      <c r="M119" s="104"/>
      <c r="N119" s="838">
        <f t="shared" si="57"/>
        <v>2228.8062963921584</v>
      </c>
      <c r="O119" s="833">
        <f>Parameters!R220</f>
        <v>0.99325000000000008</v>
      </c>
      <c r="P119" s="834">
        <f>E119*'MSW characteristics'!$B$28+'MSW characteristics'!$B$29*'4A SWD Case 1'!F119+'4A SWD Case 1'!G119*'MSW characteristics'!$B$30+'MSW characteristics'!$B$31*'4A SWD Case 1'!H119+'4A SWD Case 1'!I119*'MSW characteristics'!$B$32+'MSW characteristics'!$B$33*'4A SWD Case 1'!J119+'4A SWD Case 1'!K119*'MSW characteristics'!$B$35</f>
        <v>0.10568126444593474</v>
      </c>
      <c r="Q119" s="832">
        <f t="shared" si="62"/>
        <v>116.9765759507158</v>
      </c>
      <c r="R119" s="832">
        <f t="shared" si="63"/>
        <v>116.9765759507158</v>
      </c>
      <c r="S119" s="835">
        <f t="shared" si="64"/>
        <v>0</v>
      </c>
      <c r="T119" s="832">
        <f t="shared" si="102"/>
        <v>6077.2582070901535</v>
      </c>
      <c r="U119" s="832">
        <f t="shared" si="66"/>
        <v>305.59017393839588</v>
      </c>
      <c r="V119" s="839">
        <f t="shared" si="67"/>
        <v>203.72678262559725</v>
      </c>
      <c r="W119" s="1449"/>
      <c r="X119" s="1025">
        <f>'Recycling - Case 1'!AM169</f>
        <v>0</v>
      </c>
      <c r="Y119" s="1026">
        <f>Parameters!S220</f>
        <v>0.71500000000000008</v>
      </c>
      <c r="Z119" s="1027">
        <f t="shared" si="68"/>
        <v>0.4</v>
      </c>
      <c r="AA119" s="1028">
        <f t="shared" si="69"/>
        <v>0</v>
      </c>
      <c r="AB119" s="1028">
        <f t="shared" si="70"/>
        <v>0</v>
      </c>
      <c r="AC119" s="1029">
        <f t="shared" si="71"/>
        <v>0</v>
      </c>
      <c r="AD119" s="1028">
        <f t="shared" si="72"/>
        <v>2366.2109809927942</v>
      </c>
      <c r="AE119" s="1028">
        <f t="shared" si="73"/>
        <v>121.31823125248792</v>
      </c>
      <c r="AF119" s="1030">
        <f t="shared" si="74"/>
        <v>80.878820834991942</v>
      </c>
      <c r="AG119" s="104"/>
      <c r="AH119" s="1025">
        <f>'Recycling - Case 1'!AM209</f>
        <v>0</v>
      </c>
      <c r="AI119" s="1026">
        <f>Parameters!S220</f>
        <v>0.71500000000000008</v>
      </c>
      <c r="AJ119" s="1027">
        <f t="shared" si="75"/>
        <v>0.4</v>
      </c>
      <c r="AK119" s="1028">
        <f t="shared" si="76"/>
        <v>0</v>
      </c>
      <c r="AL119" s="1028">
        <f t="shared" si="77"/>
        <v>0</v>
      </c>
      <c r="AM119" s="1029">
        <f t="shared" si="78"/>
        <v>0</v>
      </c>
      <c r="AN119" s="1028">
        <f t="shared" si="79"/>
        <v>2366.2109809927942</v>
      </c>
      <c r="AO119" s="1028">
        <f t="shared" si="80"/>
        <v>121.31823125248792</v>
      </c>
      <c r="AP119" s="1030">
        <f t="shared" si="81"/>
        <v>80.878820834991942</v>
      </c>
      <c r="AQ119" s="104"/>
      <c r="AR119" s="1064">
        <f>'Recycling - Case 1'!G129</f>
        <v>839.13318367124407</v>
      </c>
      <c r="AS119" s="1065">
        <v>1</v>
      </c>
      <c r="AT119" s="1066">
        <f t="shared" si="82"/>
        <v>0.05</v>
      </c>
      <c r="AU119" s="1044">
        <f t="shared" si="83"/>
        <v>20.978329591781105</v>
      </c>
      <c r="AV119" s="1044">
        <f t="shared" si="84"/>
        <v>20.978329591781105</v>
      </c>
      <c r="AW119" s="1045">
        <f t="shared" si="85"/>
        <v>0</v>
      </c>
      <c r="AX119" s="1044">
        <f t="shared" si="51"/>
        <v>288.79703018204594</v>
      </c>
      <c r="AY119" s="1044">
        <f t="shared" si="54"/>
        <v>16.560983544767641</v>
      </c>
      <c r="AZ119" s="1067">
        <f t="shared" si="52"/>
        <v>11.040655696511761</v>
      </c>
      <c r="BB119" s="1055">
        <f t="shared" si="86"/>
        <v>203.72678262559725</v>
      </c>
      <c r="BC119" s="1056">
        <f t="shared" si="87"/>
        <v>80.878820834991942</v>
      </c>
      <c r="BD119" s="1082">
        <f t="shared" si="101"/>
        <v>11.040655696511761</v>
      </c>
      <c r="BE119" s="1056">
        <f t="shared" si="60"/>
        <v>295.64625915710093</v>
      </c>
      <c r="BF119" s="167">
        <v>0</v>
      </c>
      <c r="BG119" s="1075">
        <f t="shared" si="88"/>
        <v>295.64625915710093</v>
      </c>
      <c r="BI119" s="1055">
        <f t="shared" si="89"/>
        <v>203.72678262559725</v>
      </c>
      <c r="BJ119" s="1056">
        <f t="shared" si="90"/>
        <v>80.878820834991942</v>
      </c>
      <c r="BK119" s="1082">
        <f t="shared" si="91"/>
        <v>11.040655696511761</v>
      </c>
      <c r="BL119" s="1056">
        <f t="shared" si="61"/>
        <v>295.64625915710093</v>
      </c>
      <c r="BM119" s="167">
        <v>0</v>
      </c>
      <c r="BN119" s="1075">
        <f t="shared" si="92"/>
        <v>295.64625915710093</v>
      </c>
    </row>
    <row r="120" spans="1:66" ht="15.75" thickBot="1">
      <c r="A120" s="928">
        <f>'Input data'!A150</f>
        <v>2050</v>
      </c>
      <c r="B120" s="828">
        <f>'Input data'!B150</f>
        <v>75.517908999999989</v>
      </c>
      <c r="C120" s="828">
        <f>'Recycling - Case 1'!AK130/B120</f>
        <v>240.74520722189973</v>
      </c>
      <c r="D120" s="830">
        <f>'Recycling - Case 1'!AM130</f>
        <v>0.12259273093157032</v>
      </c>
      <c r="E120" s="830">
        <f>'Recycling - Case 1'!BE130</f>
        <v>0.18862227750594662</v>
      </c>
      <c r="F120" s="830">
        <f>'Recycling - Case 1'!BF130</f>
        <v>0.239224077109851</v>
      </c>
      <c r="G120" s="830">
        <f>'Recycling - Case 1'!BG130</f>
        <v>7.4093774316508057E-2</v>
      </c>
      <c r="H120" s="830">
        <f>'Recycling - Case 1'!BH130</f>
        <v>0</v>
      </c>
      <c r="I120" s="830">
        <f>'Recycling - Case 1'!BI130</f>
        <v>0</v>
      </c>
      <c r="J120" s="830">
        <f>'Recycling - Case 1'!BJ130</f>
        <v>0</v>
      </c>
      <c r="K120" s="830">
        <f>'Recycling - Case 1'!BK130</f>
        <v>0.49805987106769423</v>
      </c>
      <c r="L120" s="831">
        <f t="shared" si="100"/>
        <v>0.99999999999999989</v>
      </c>
      <c r="M120" s="104"/>
      <c r="N120" s="840">
        <f t="shared" si="57"/>
        <v>2228.8062963921584</v>
      </c>
      <c r="O120" s="841">
        <f>Parameters!R221</f>
        <v>1</v>
      </c>
      <c r="P120" s="842">
        <f>E120*'MSW characteristics'!$B$28+'MSW characteristics'!$B$29*'4A SWD Case 1'!F120+'4A SWD Case 1'!G120*'MSW characteristics'!$B$30+'MSW characteristics'!$B$31*'4A SWD Case 1'!H120+'4A SWD Case 1'!I120*'MSW characteristics'!$B$32+'MSW characteristics'!$B$33*'4A SWD Case 1'!J120+'4A SWD Case 1'!K120*'MSW characteristics'!$B$35</f>
        <v>0.10577566677446543</v>
      </c>
      <c r="Q120" s="843">
        <f t="shared" si="62"/>
        <v>117.87673605600368</v>
      </c>
      <c r="R120" s="843">
        <f t="shared" si="63"/>
        <v>117.87673605600368</v>
      </c>
      <c r="S120" s="844">
        <f t="shared" si="64"/>
        <v>0</v>
      </c>
      <c r="T120" s="843">
        <f t="shared" si="102"/>
        <v>5898.7435629286119</v>
      </c>
      <c r="U120" s="843">
        <f t="shared" si="66"/>
        <v>296.3913802175457</v>
      </c>
      <c r="V120" s="845">
        <f t="shared" si="67"/>
        <v>197.59425347836381</v>
      </c>
      <c r="W120" s="1449"/>
      <c r="X120" s="1031">
        <f>'Recycling - Case 1'!AM170</f>
        <v>0</v>
      </c>
      <c r="Y120" s="1032">
        <f>Parameters!S221</f>
        <v>0.71500000000000008</v>
      </c>
      <c r="Z120" s="1033">
        <f t="shared" si="68"/>
        <v>0.4</v>
      </c>
      <c r="AA120" s="1034">
        <f t="shared" si="69"/>
        <v>0</v>
      </c>
      <c r="AB120" s="1034">
        <f t="shared" si="70"/>
        <v>0</v>
      </c>
      <c r="AC120" s="1035">
        <f t="shared" si="71"/>
        <v>0</v>
      </c>
      <c r="AD120" s="1034">
        <f t="shared" si="72"/>
        <v>2250.8095096970455</v>
      </c>
      <c r="AE120" s="1034">
        <f t="shared" si="73"/>
        <v>115.40147129574862</v>
      </c>
      <c r="AF120" s="1036">
        <f t="shared" si="74"/>
        <v>76.934314197165747</v>
      </c>
      <c r="AG120" s="104"/>
      <c r="AH120" s="1031">
        <f>'Recycling - Case 1'!AM210</f>
        <v>0</v>
      </c>
      <c r="AI120" s="1032">
        <f>Parameters!S221</f>
        <v>0.71500000000000008</v>
      </c>
      <c r="AJ120" s="1033">
        <f t="shared" si="75"/>
        <v>0.4</v>
      </c>
      <c r="AK120" s="1034">
        <f t="shared" si="76"/>
        <v>0</v>
      </c>
      <c r="AL120" s="1034">
        <f t="shared" si="77"/>
        <v>0</v>
      </c>
      <c r="AM120" s="1035">
        <f t="shared" si="78"/>
        <v>0</v>
      </c>
      <c r="AN120" s="1034">
        <f t="shared" si="79"/>
        <v>2250.8095096970455</v>
      </c>
      <c r="AO120" s="1034">
        <f t="shared" si="80"/>
        <v>115.40147129574862</v>
      </c>
      <c r="AP120" s="1036">
        <f t="shared" si="81"/>
        <v>76.934314197165747</v>
      </c>
      <c r="AQ120" s="104"/>
      <c r="AR120" s="1068">
        <f>'Recycling - Case 1'!G130</f>
        <v>848.85557964503187</v>
      </c>
      <c r="AS120" s="1069">
        <f>Parameters!R221</f>
        <v>1</v>
      </c>
      <c r="AT120" s="1070">
        <f t="shared" si="82"/>
        <v>0.05</v>
      </c>
      <c r="AU120" s="1049">
        <f t="shared" si="83"/>
        <v>21.221389491125798</v>
      </c>
      <c r="AV120" s="1049">
        <f t="shared" si="84"/>
        <v>21.221389491125798</v>
      </c>
      <c r="AW120" s="1050">
        <f t="shared" si="85"/>
        <v>0</v>
      </c>
      <c r="AX120" s="1049">
        <f t="shared" si="51"/>
        <v>293.2001899210365</v>
      </c>
      <c r="AY120" s="1049">
        <f t="shared" si="54"/>
        <v>16.818229752135245</v>
      </c>
      <c r="AZ120" s="1071">
        <f t="shared" si="52"/>
        <v>11.212153168090163</v>
      </c>
      <c r="BB120" s="1057">
        <f t="shared" si="86"/>
        <v>197.59425347836381</v>
      </c>
      <c r="BC120" s="1058">
        <f t="shared" si="87"/>
        <v>76.934314197165747</v>
      </c>
      <c r="BD120" s="1083">
        <f t="shared" si="101"/>
        <v>11.212153168090163</v>
      </c>
      <c r="BE120" s="1058">
        <f t="shared" si="60"/>
        <v>285.74072084361967</v>
      </c>
      <c r="BF120" s="1059">
        <v>0</v>
      </c>
      <c r="BG120" s="1076">
        <f t="shared" si="88"/>
        <v>285.74072084361967</v>
      </c>
      <c r="BI120" s="1057">
        <f t="shared" si="89"/>
        <v>197.59425347836381</v>
      </c>
      <c r="BJ120" s="1058">
        <f t="shared" si="90"/>
        <v>76.934314197165747</v>
      </c>
      <c r="BK120" s="1083">
        <f t="shared" si="91"/>
        <v>11.212153168090163</v>
      </c>
      <c r="BL120" s="1058">
        <f t="shared" si="61"/>
        <v>285.74072084361967</v>
      </c>
      <c r="BM120" s="1059">
        <v>0</v>
      </c>
      <c r="BN120" s="1076">
        <f t="shared" si="92"/>
        <v>285.74072084361967</v>
      </c>
    </row>
    <row r="121" spans="1:66">
      <c r="A121" s="100"/>
      <c r="B121" s="4"/>
      <c r="C121" s="4"/>
      <c r="D121" s="4"/>
      <c r="E121" s="4"/>
      <c r="F121" s="4"/>
      <c r="G121" s="4"/>
      <c r="H121" s="4"/>
      <c r="I121" s="4"/>
      <c r="J121" s="4"/>
      <c r="K121" s="4"/>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row r="207" spans="1:1">
      <c r="A207" s="100"/>
    </row>
    <row r="208" spans="1:1">
      <c r="A208" s="100"/>
    </row>
  </sheetData>
  <mergeCells count="28">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 ref="L16:L17"/>
    <mergeCell ref="A16:A18"/>
    <mergeCell ref="B16:B17"/>
    <mergeCell ref="C16:C17"/>
    <mergeCell ref="D16:D17"/>
    <mergeCell ref="E16:E17"/>
    <mergeCell ref="F16:F17"/>
    <mergeCell ref="G16:G17"/>
    <mergeCell ref="H16:H17"/>
    <mergeCell ref="I16:I17"/>
    <mergeCell ref="J16:J17"/>
    <mergeCell ref="K16:K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3.57031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6.425781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14"/>
    <col min="56" max="56" width="8.85546875" style="1078"/>
    <col min="57" max="57" width="11.28515625" customWidth="1"/>
    <col min="59" max="59" width="12.28515625" customWidth="1"/>
    <col min="61" max="62" width="11.28515625" customWidth="1"/>
    <col min="63" max="63" width="11.28515625" style="1078" customWidth="1"/>
    <col min="64" max="64" width="11.28515625" customWidth="1"/>
    <col min="66" max="66" width="12.28515625" customWidth="1"/>
  </cols>
  <sheetData>
    <row r="1" spans="1:66">
      <c r="A1" s="141" t="s">
        <v>198</v>
      </c>
      <c r="B1" s="115"/>
      <c r="C1" s="115" t="s">
        <v>267</v>
      </c>
      <c r="D1" s="1441" t="s">
        <v>315</v>
      </c>
      <c r="E1" s="1174" t="s">
        <v>320</v>
      </c>
      <c r="F1" s="104"/>
      <c r="G1" s="104"/>
    </row>
    <row r="2" spans="1:66">
      <c r="A2" s="150"/>
      <c r="B2" s="99"/>
      <c r="C2" s="99"/>
      <c r="D2" s="104"/>
      <c r="E2" s="130"/>
      <c r="F2" s="104"/>
      <c r="G2" s="104"/>
    </row>
    <row r="3" spans="1:66">
      <c r="A3" s="150" t="s">
        <v>316</v>
      </c>
      <c r="B3" s="99"/>
      <c r="C3" s="99" t="str">
        <f>Parameters!D94</f>
        <v>varies</v>
      </c>
      <c r="D3" s="941">
        <v>0.4</v>
      </c>
      <c r="E3" s="1175">
        <f>Parameters!F94</f>
        <v>0.05</v>
      </c>
      <c r="F3" s="104"/>
      <c r="G3" s="104"/>
    </row>
    <row r="4" spans="1:66">
      <c r="A4" s="150" t="s">
        <v>260</v>
      </c>
      <c r="B4" s="99"/>
      <c r="C4" s="99">
        <f>Parameters!D95</f>
        <v>0.5</v>
      </c>
      <c r="D4" s="99">
        <f>Parameters!E95</f>
        <v>0.5</v>
      </c>
      <c r="E4" s="1175">
        <f>Parameters!F95</f>
        <v>0.5</v>
      </c>
      <c r="F4" s="104"/>
      <c r="G4" s="104"/>
    </row>
    <row r="5" spans="1:66">
      <c r="A5" s="174" t="s">
        <v>257</v>
      </c>
      <c r="B5" s="175"/>
      <c r="C5" s="175">
        <f>Parameters!D96</f>
        <v>0.05</v>
      </c>
      <c r="D5" s="99">
        <f>Parameters!E96</f>
        <v>0.05</v>
      </c>
      <c r="E5" s="1175">
        <f>Parameters!F96</f>
        <v>0.06</v>
      </c>
      <c r="F5" s="104"/>
      <c r="G5" s="104"/>
    </row>
    <row r="6" spans="1:66">
      <c r="A6" s="150" t="s">
        <v>258</v>
      </c>
      <c r="B6" s="107" t="s">
        <v>211</v>
      </c>
      <c r="C6" s="107">
        <f>Parameters!D97</f>
        <v>13.862943611198904</v>
      </c>
      <c r="D6" s="106">
        <f>Parameters!E97</f>
        <v>13.862943611198904</v>
      </c>
      <c r="E6" s="1176">
        <f>Parameters!F97</f>
        <v>11.552453009332423</v>
      </c>
      <c r="F6" s="104"/>
      <c r="G6" s="104"/>
    </row>
    <row r="7" spans="1:66">
      <c r="A7" s="150" t="s">
        <v>255</v>
      </c>
      <c r="B7" s="107" t="s">
        <v>256</v>
      </c>
      <c r="C7" s="107">
        <f>Parameters!D98</f>
        <v>6</v>
      </c>
      <c r="D7" s="99">
        <f>Parameters!E98</f>
        <v>6</v>
      </c>
      <c r="E7" s="1175">
        <f>Parameters!F98</f>
        <v>6</v>
      </c>
      <c r="F7" s="104"/>
      <c r="G7" s="104"/>
    </row>
    <row r="8" spans="1:66">
      <c r="A8" s="151" t="s">
        <v>248</v>
      </c>
      <c r="B8" s="108" t="s">
        <v>249</v>
      </c>
      <c r="C8" s="108">
        <f>Parameters!D99</f>
        <v>0.95122942450071402</v>
      </c>
      <c r="D8" s="158">
        <f>Parameters!E99</f>
        <v>0.95122942450071402</v>
      </c>
      <c r="E8" s="1177">
        <f>Parameters!F99</f>
        <v>0.94176453358424872</v>
      </c>
      <c r="F8" s="104"/>
      <c r="G8" s="104"/>
    </row>
    <row r="9" spans="1:66">
      <c r="A9" s="151" t="s">
        <v>250</v>
      </c>
      <c r="B9" s="108" t="s">
        <v>251</v>
      </c>
      <c r="C9" s="108">
        <f>Parameters!D100</f>
        <v>13</v>
      </c>
      <c r="D9" s="99">
        <f>Parameters!E100</f>
        <v>13</v>
      </c>
      <c r="E9" s="1175">
        <f>Parameters!F100</f>
        <v>13</v>
      </c>
      <c r="F9" s="104"/>
      <c r="G9" s="104"/>
      <c r="H9" s="561"/>
    </row>
    <row r="10" spans="1:66">
      <c r="A10" s="151" t="s">
        <v>252</v>
      </c>
      <c r="B10" s="108" t="s">
        <v>253</v>
      </c>
      <c r="C10" s="108">
        <f>Parameters!D101</f>
        <v>1</v>
      </c>
      <c r="D10" s="99">
        <f>Parameters!E101</f>
        <v>1</v>
      </c>
      <c r="E10" s="1175">
        <f>Parameters!F101</f>
        <v>1</v>
      </c>
      <c r="F10" s="104"/>
      <c r="G10" s="104"/>
      <c r="X10" s="2"/>
      <c r="Y10" s="2"/>
      <c r="Z10" s="2"/>
      <c r="AA10" s="2"/>
      <c r="AB10" s="2"/>
      <c r="AC10" s="2"/>
      <c r="AD10" s="2"/>
      <c r="AE10" s="2"/>
      <c r="AF10" s="2"/>
      <c r="AG10" s="2"/>
      <c r="AH10" s="2"/>
      <c r="AI10" s="2"/>
    </row>
    <row r="11" spans="1:66">
      <c r="A11" s="151" t="s">
        <v>259</v>
      </c>
      <c r="B11" s="108" t="s">
        <v>254</v>
      </c>
      <c r="C11" s="108">
        <f>Parameters!D102</f>
        <v>0.5</v>
      </c>
      <c r="D11" s="99">
        <f>Parameters!E102</f>
        <v>0.5</v>
      </c>
      <c r="E11" s="1175">
        <f>Parameters!F102</f>
        <v>0.5</v>
      </c>
      <c r="F11" s="104"/>
      <c r="G11" s="104"/>
      <c r="X11" s="2"/>
      <c r="Y11" s="2"/>
      <c r="Z11" s="2"/>
      <c r="AA11" s="2"/>
      <c r="AB11" s="2"/>
      <c r="AC11" s="2"/>
      <c r="AD11" s="2"/>
      <c r="AE11" s="2"/>
      <c r="AF11" s="2"/>
      <c r="AG11" s="2"/>
      <c r="AH11" s="2"/>
      <c r="AI11" s="2"/>
    </row>
    <row r="12" spans="1:66" ht="15.75" thickBot="1">
      <c r="A12" s="151" t="s">
        <v>729</v>
      </c>
      <c r="B12" s="108">
        <v>2002</v>
      </c>
      <c r="C12" s="108"/>
      <c r="D12" s="1446">
        <f>'Waste Summary 2017 SASOW'!L29</f>
        <v>0.13527885904981399</v>
      </c>
      <c r="E12" s="1175"/>
      <c r="F12" s="104"/>
      <c r="G12" s="104"/>
      <c r="X12" s="2" t="s">
        <v>645</v>
      </c>
      <c r="Y12" s="2"/>
      <c r="Z12" s="2"/>
      <c r="AA12" s="2"/>
      <c r="AB12" s="2"/>
      <c r="AC12" s="2"/>
      <c r="AD12" s="2"/>
      <c r="AE12" s="2"/>
      <c r="AF12" s="2"/>
      <c r="AG12" s="2"/>
      <c r="AH12" s="2" t="s">
        <v>649</v>
      </c>
      <c r="AI12" s="2"/>
      <c r="BB12" s="314" t="s">
        <v>645</v>
      </c>
      <c r="BI12" t="s">
        <v>649</v>
      </c>
    </row>
    <row r="13" spans="1:66" ht="15.75" thickBot="1">
      <c r="A13" s="151" t="s">
        <v>729</v>
      </c>
      <c r="B13" s="108">
        <v>2017</v>
      </c>
      <c r="C13" s="108"/>
      <c r="D13" s="1446">
        <f>'Waste Summary 2017 SASOW'!$L$25</f>
        <v>2.197312110627072E-2</v>
      </c>
      <c r="E13" s="130"/>
      <c r="F13" s="286"/>
      <c r="G13" s="286"/>
      <c r="H13" s="10"/>
      <c r="I13" s="10"/>
      <c r="J13" s="10"/>
      <c r="K13" s="10"/>
      <c r="L13" s="10"/>
      <c r="M13" s="10"/>
      <c r="N13" s="231" t="s">
        <v>267</v>
      </c>
      <c r="O13" s="10"/>
      <c r="P13" s="10"/>
      <c r="Q13" s="10"/>
      <c r="R13" s="10"/>
      <c r="S13" s="10"/>
      <c r="T13" s="10"/>
      <c r="U13" s="10"/>
      <c r="V13" s="10"/>
      <c r="W13" s="10"/>
      <c r="X13" s="2" t="s">
        <v>318</v>
      </c>
      <c r="AG13" s="10"/>
      <c r="AH13" s="2" t="s">
        <v>318</v>
      </c>
      <c r="AR13" s="2" t="s">
        <v>320</v>
      </c>
      <c r="BB13" s="1749" t="s">
        <v>319</v>
      </c>
      <c r="BC13" s="1750"/>
      <c r="BD13" s="1750"/>
      <c r="BE13" s="1750"/>
      <c r="BF13" s="1750"/>
      <c r="BG13" s="1751"/>
      <c r="BI13" s="1749" t="s">
        <v>319</v>
      </c>
      <c r="BJ13" s="1750"/>
      <c r="BK13" s="1750"/>
      <c r="BL13" s="1750"/>
      <c r="BM13" s="1750"/>
      <c r="BN13" s="1751"/>
    </row>
    <row r="14" spans="1:66" ht="15.75" thickBot="1">
      <c r="A14" s="152" t="s">
        <v>728</v>
      </c>
      <c r="B14" s="163"/>
      <c r="C14" s="163"/>
      <c r="D14" s="683">
        <f>'Waste Summary 2017 SASOW'!$L$26</f>
        <v>6.9875113374971584E-2</v>
      </c>
      <c r="E14" s="1447"/>
      <c r="F14" s="10"/>
      <c r="G14" s="10"/>
      <c r="H14" s="10"/>
      <c r="I14" s="10"/>
      <c r="J14" s="10"/>
      <c r="K14" s="10"/>
      <c r="L14" s="10"/>
      <c r="M14" s="10"/>
      <c r="N14" s="231"/>
      <c r="O14" s="10"/>
      <c r="P14" s="10"/>
      <c r="Q14" s="10"/>
      <c r="R14" s="10"/>
      <c r="S14" s="10"/>
      <c r="T14" s="10"/>
      <c r="U14" s="10"/>
      <c r="V14" s="10"/>
      <c r="W14" s="10"/>
      <c r="X14" s="2"/>
      <c r="AG14" s="10"/>
      <c r="AH14" s="2"/>
      <c r="AR14" s="2"/>
      <c r="BB14" s="1188"/>
      <c r="BC14" s="168"/>
      <c r="BD14" s="168"/>
      <c r="BE14" s="168"/>
      <c r="BF14" s="168"/>
      <c r="BG14" s="1189"/>
      <c r="BI14" s="1188"/>
      <c r="BJ14" s="168"/>
      <c r="BK14" s="168"/>
      <c r="BL14" s="168"/>
      <c r="BM14" s="168"/>
      <c r="BN14" s="1189"/>
    </row>
    <row r="15" spans="1:66" ht="15.75" thickBot="1">
      <c r="A15" s="10"/>
      <c r="B15" s="10"/>
      <c r="C15" s="10"/>
      <c r="D15" s="10"/>
      <c r="E15" s="10"/>
      <c r="F15" s="10"/>
      <c r="G15" s="10"/>
      <c r="H15" s="10"/>
      <c r="I15" s="10"/>
      <c r="J15" s="10"/>
      <c r="K15" s="10"/>
      <c r="L15" s="10"/>
      <c r="M15" s="10"/>
      <c r="N15" s="231"/>
      <c r="O15" s="10"/>
      <c r="P15" s="10"/>
      <c r="Q15" s="10"/>
      <c r="R15" s="10"/>
      <c r="S15" s="10"/>
      <c r="T15" s="10"/>
      <c r="U15" s="10"/>
      <c r="V15" s="10"/>
      <c r="W15" s="10"/>
      <c r="X15" s="2"/>
      <c r="AG15" s="10"/>
      <c r="AH15" s="2"/>
      <c r="AR15" s="2"/>
      <c r="BB15" s="1188"/>
      <c r="BC15" s="168"/>
      <c r="BD15" s="168"/>
      <c r="BE15" s="168"/>
      <c r="BF15" s="168"/>
      <c r="BG15" s="1189"/>
      <c r="BI15" s="1188"/>
      <c r="BJ15" s="168"/>
      <c r="BK15" s="168"/>
      <c r="BL15" s="168"/>
      <c r="BM15" s="168"/>
      <c r="BN15" s="1189"/>
    </row>
    <row r="16" spans="1:66" ht="115.15" customHeight="1">
      <c r="A16" s="1957" t="s">
        <v>217</v>
      </c>
      <c r="B16" s="1960" t="s">
        <v>218</v>
      </c>
      <c r="C16" s="1960" t="s">
        <v>219</v>
      </c>
      <c r="D16" s="1960" t="s">
        <v>220</v>
      </c>
      <c r="E16" s="1957" t="s">
        <v>221</v>
      </c>
      <c r="F16" s="1962" t="s">
        <v>85</v>
      </c>
      <c r="G16" s="1962" t="s">
        <v>87</v>
      </c>
      <c r="H16" s="1962" t="s">
        <v>222</v>
      </c>
      <c r="I16" s="1962" t="s">
        <v>115</v>
      </c>
      <c r="J16" s="1962" t="s">
        <v>223</v>
      </c>
      <c r="K16" s="1962" t="s">
        <v>224</v>
      </c>
      <c r="L16" s="1955" t="s">
        <v>225</v>
      </c>
      <c r="M16" s="294"/>
      <c r="N16" s="213" t="s">
        <v>235</v>
      </c>
      <c r="O16" s="214" t="s">
        <v>22</v>
      </c>
      <c r="P16" s="214" t="s">
        <v>236</v>
      </c>
      <c r="Q16" s="215" t="s">
        <v>237</v>
      </c>
      <c r="R16" s="215" t="s">
        <v>238</v>
      </c>
      <c r="S16" s="215" t="s">
        <v>239</v>
      </c>
      <c r="T16" s="215" t="s">
        <v>240</v>
      </c>
      <c r="U16" s="215" t="s">
        <v>241</v>
      </c>
      <c r="V16" s="221" t="s">
        <v>300</v>
      </c>
      <c r="W16" s="1974" t="s">
        <v>729</v>
      </c>
      <c r="X16" s="213" t="s">
        <v>726</v>
      </c>
      <c r="Y16" s="214" t="s">
        <v>22</v>
      </c>
      <c r="Z16" s="214" t="s">
        <v>236</v>
      </c>
      <c r="AA16" s="215" t="s">
        <v>237</v>
      </c>
      <c r="AB16" s="215" t="s">
        <v>238</v>
      </c>
      <c r="AC16" s="215" t="s">
        <v>239</v>
      </c>
      <c r="AD16" s="215" t="s">
        <v>240</v>
      </c>
      <c r="AE16" s="215" t="s">
        <v>241</v>
      </c>
      <c r="AF16" s="221" t="s">
        <v>300</v>
      </c>
      <c r="AG16" s="1763" t="s">
        <v>729</v>
      </c>
      <c r="AH16" s="1452" t="s">
        <v>726</v>
      </c>
      <c r="AI16" s="214" t="s">
        <v>22</v>
      </c>
      <c r="AJ16" s="214" t="s">
        <v>236</v>
      </c>
      <c r="AK16" s="215" t="s">
        <v>237</v>
      </c>
      <c r="AL16" s="215" t="s">
        <v>238</v>
      </c>
      <c r="AM16" s="215" t="s">
        <v>239</v>
      </c>
      <c r="AN16" s="215" t="s">
        <v>240</v>
      </c>
      <c r="AO16" s="215" t="s">
        <v>241</v>
      </c>
      <c r="AP16" s="221" t="s">
        <v>300</v>
      </c>
      <c r="AR16" s="303" t="s">
        <v>235</v>
      </c>
      <c r="AS16" s="214" t="s">
        <v>22</v>
      </c>
      <c r="AT16" s="214" t="s">
        <v>236</v>
      </c>
      <c r="AU16" s="215" t="s">
        <v>237</v>
      </c>
      <c r="AV16" s="215" t="s">
        <v>238</v>
      </c>
      <c r="AW16" s="215" t="s">
        <v>239</v>
      </c>
      <c r="AX16" s="215" t="s">
        <v>240</v>
      </c>
      <c r="AY16" s="215" t="s">
        <v>241</v>
      </c>
      <c r="AZ16" s="221" t="s">
        <v>300</v>
      </c>
      <c r="BB16" s="1966" t="s">
        <v>267</v>
      </c>
      <c r="BC16" s="1968" t="s">
        <v>315</v>
      </c>
      <c r="BD16" s="1970" t="s">
        <v>320</v>
      </c>
      <c r="BE16" s="1968" t="s">
        <v>225</v>
      </c>
      <c r="BF16" s="1968" t="s">
        <v>321</v>
      </c>
      <c r="BG16" s="1972" t="s">
        <v>322</v>
      </c>
      <c r="BI16" s="1966" t="s">
        <v>267</v>
      </c>
      <c r="BJ16" s="1968" t="s">
        <v>315</v>
      </c>
      <c r="BK16" s="1970" t="s">
        <v>320</v>
      </c>
      <c r="BL16" s="1968" t="s">
        <v>225</v>
      </c>
      <c r="BM16" s="1968" t="s">
        <v>321</v>
      </c>
      <c r="BN16" s="1972" t="s">
        <v>322</v>
      </c>
    </row>
    <row r="17" spans="1:66" ht="24.75">
      <c r="A17" s="1958"/>
      <c r="B17" s="1961"/>
      <c r="C17" s="1961"/>
      <c r="D17" s="1961"/>
      <c r="E17" s="1958"/>
      <c r="F17" s="1963"/>
      <c r="G17" s="1963"/>
      <c r="H17" s="1963"/>
      <c r="I17" s="1963"/>
      <c r="J17" s="1963"/>
      <c r="K17" s="1963"/>
      <c r="L17" s="1956"/>
      <c r="M17" s="295"/>
      <c r="N17" s="222" t="s">
        <v>242</v>
      </c>
      <c r="O17" s="223" t="s">
        <v>22</v>
      </c>
      <c r="P17" s="223" t="s">
        <v>236</v>
      </c>
      <c r="Q17" s="224" t="s">
        <v>243</v>
      </c>
      <c r="R17" s="224" t="s">
        <v>244</v>
      </c>
      <c r="S17" s="224" t="s">
        <v>245</v>
      </c>
      <c r="T17" s="224" t="s">
        <v>301</v>
      </c>
      <c r="U17" s="224" t="s">
        <v>302</v>
      </c>
      <c r="V17" s="225" t="s">
        <v>246</v>
      </c>
      <c r="W17" s="1975"/>
      <c r="X17" s="222" t="s">
        <v>242</v>
      </c>
      <c r="Y17" s="223" t="s">
        <v>22</v>
      </c>
      <c r="Z17" s="223" t="s">
        <v>236</v>
      </c>
      <c r="AA17" s="224" t="s">
        <v>243</v>
      </c>
      <c r="AB17" s="224" t="s">
        <v>244</v>
      </c>
      <c r="AC17" s="224" t="s">
        <v>245</v>
      </c>
      <c r="AD17" s="224" t="s">
        <v>301</v>
      </c>
      <c r="AE17" s="224" t="s">
        <v>302</v>
      </c>
      <c r="AF17" s="225" t="s">
        <v>246</v>
      </c>
      <c r="AG17" s="1964"/>
      <c r="AH17" s="1453" t="s">
        <v>242</v>
      </c>
      <c r="AI17" s="223" t="s">
        <v>22</v>
      </c>
      <c r="AJ17" s="223" t="s">
        <v>236</v>
      </c>
      <c r="AK17" s="224" t="s">
        <v>243</v>
      </c>
      <c r="AL17" s="224" t="s">
        <v>244</v>
      </c>
      <c r="AM17" s="224" t="s">
        <v>245</v>
      </c>
      <c r="AN17" s="224" t="s">
        <v>301</v>
      </c>
      <c r="AO17" s="224" t="s">
        <v>302</v>
      </c>
      <c r="AP17" s="225" t="s">
        <v>246</v>
      </c>
      <c r="AR17" s="304" t="s">
        <v>242</v>
      </c>
      <c r="AS17" s="223" t="s">
        <v>22</v>
      </c>
      <c r="AT17" s="223" t="s">
        <v>236</v>
      </c>
      <c r="AU17" s="224" t="s">
        <v>243</v>
      </c>
      <c r="AV17" s="224" t="s">
        <v>244</v>
      </c>
      <c r="AW17" s="224" t="s">
        <v>245</v>
      </c>
      <c r="AX17" s="224" t="s">
        <v>301</v>
      </c>
      <c r="AY17" s="224" t="s">
        <v>302</v>
      </c>
      <c r="AZ17" s="225" t="s">
        <v>246</v>
      </c>
      <c r="BB17" s="1967"/>
      <c r="BC17" s="1969"/>
      <c r="BD17" s="1971"/>
      <c r="BE17" s="1969"/>
      <c r="BF17" s="1969"/>
      <c r="BG17" s="1973"/>
      <c r="BI17" s="1967"/>
      <c r="BJ17" s="1969"/>
      <c r="BK17" s="1971"/>
      <c r="BL17" s="1969"/>
      <c r="BM17" s="1969"/>
      <c r="BN17" s="1973"/>
    </row>
    <row r="18" spans="1:66" ht="15.75" thickBot="1">
      <c r="A18" s="1959"/>
      <c r="B18" s="468" t="s">
        <v>226</v>
      </c>
      <c r="C18" s="468" t="s">
        <v>227</v>
      </c>
      <c r="D18" s="468" t="s">
        <v>229</v>
      </c>
      <c r="E18" s="216" t="s">
        <v>229</v>
      </c>
      <c r="F18" s="217" t="s">
        <v>229</v>
      </c>
      <c r="G18" s="217" t="s">
        <v>229</v>
      </c>
      <c r="H18" s="217" t="s">
        <v>229</v>
      </c>
      <c r="I18" s="217" t="s">
        <v>229</v>
      </c>
      <c r="J18" s="217" t="s">
        <v>229</v>
      </c>
      <c r="K18" s="217" t="s">
        <v>229</v>
      </c>
      <c r="L18" s="468" t="s">
        <v>230</v>
      </c>
      <c r="M18" s="296"/>
      <c r="N18" s="217" t="s">
        <v>228</v>
      </c>
      <c r="O18" s="218" t="s">
        <v>41</v>
      </c>
      <c r="P18" s="218" t="s">
        <v>41</v>
      </c>
      <c r="Q18" s="219" t="s">
        <v>228</v>
      </c>
      <c r="R18" s="219" t="s">
        <v>228</v>
      </c>
      <c r="S18" s="219" t="s">
        <v>228</v>
      </c>
      <c r="T18" s="219" t="s">
        <v>228</v>
      </c>
      <c r="U18" s="219" t="s">
        <v>228</v>
      </c>
      <c r="V18" s="220" t="s">
        <v>228</v>
      </c>
      <c r="W18" s="1975"/>
      <c r="X18" s="217" t="s">
        <v>228</v>
      </c>
      <c r="Y18" s="218" t="s">
        <v>41</v>
      </c>
      <c r="Z18" s="218" t="s">
        <v>41</v>
      </c>
      <c r="AA18" s="219" t="s">
        <v>228</v>
      </c>
      <c r="AB18" s="219" t="s">
        <v>228</v>
      </c>
      <c r="AC18" s="219" t="s">
        <v>228</v>
      </c>
      <c r="AD18" s="219" t="s">
        <v>228</v>
      </c>
      <c r="AE18" s="219" t="s">
        <v>228</v>
      </c>
      <c r="AF18" s="220" t="s">
        <v>228</v>
      </c>
      <c r="AG18" s="1965"/>
      <c r="AH18" s="1454" t="s">
        <v>228</v>
      </c>
      <c r="AI18" s="218" t="s">
        <v>41</v>
      </c>
      <c r="AJ18" s="218" t="s">
        <v>41</v>
      </c>
      <c r="AK18" s="219" t="s">
        <v>228</v>
      </c>
      <c r="AL18" s="219" t="s">
        <v>228</v>
      </c>
      <c r="AM18" s="219" t="s">
        <v>228</v>
      </c>
      <c r="AN18" s="219" t="s">
        <v>228</v>
      </c>
      <c r="AO18" s="219" t="s">
        <v>228</v>
      </c>
      <c r="AP18" s="220" t="s">
        <v>228</v>
      </c>
      <c r="AR18" s="216" t="s">
        <v>228</v>
      </c>
      <c r="AS18" s="218" t="s">
        <v>41</v>
      </c>
      <c r="AT18" s="218" t="s">
        <v>41</v>
      </c>
      <c r="AU18" s="219" t="s">
        <v>228</v>
      </c>
      <c r="AV18" s="219" t="s">
        <v>228</v>
      </c>
      <c r="AW18" s="219" t="s">
        <v>228</v>
      </c>
      <c r="AX18" s="219" t="s">
        <v>228</v>
      </c>
      <c r="AY18" s="219" t="s">
        <v>228</v>
      </c>
      <c r="AZ18" s="220" t="s">
        <v>228</v>
      </c>
      <c r="BB18" s="298" t="s">
        <v>228</v>
      </c>
      <c r="BC18" s="297" t="s">
        <v>228</v>
      </c>
      <c r="BD18" s="1079" t="s">
        <v>228</v>
      </c>
      <c r="BE18" s="297" t="s">
        <v>228</v>
      </c>
      <c r="BF18" s="297" t="s">
        <v>228</v>
      </c>
      <c r="BG18" s="299" t="s">
        <v>228</v>
      </c>
      <c r="BI18" s="298" t="s">
        <v>228</v>
      </c>
      <c r="BJ18" s="297" t="s">
        <v>228</v>
      </c>
      <c r="BK18" s="1079" t="s">
        <v>228</v>
      </c>
      <c r="BL18" s="297" t="s">
        <v>228</v>
      </c>
      <c r="BM18" s="297" t="s">
        <v>228</v>
      </c>
      <c r="BN18" s="299" t="s">
        <v>228</v>
      </c>
    </row>
    <row r="19" spans="1:66" ht="15.75" thickBot="1">
      <c r="A19" s="226"/>
      <c r="B19" s="862"/>
      <c r="C19" s="862"/>
      <c r="D19" s="862"/>
      <c r="E19" s="863"/>
      <c r="F19" s="864"/>
      <c r="G19" s="864"/>
      <c r="H19" s="864"/>
      <c r="I19" s="864"/>
      <c r="J19" s="864"/>
      <c r="K19" s="864"/>
      <c r="L19" s="862"/>
      <c r="M19" s="228"/>
      <c r="N19" s="864"/>
      <c r="O19" s="903"/>
      <c r="P19" s="903"/>
      <c r="Q19" s="904"/>
      <c r="R19" s="904"/>
      <c r="S19" s="904"/>
      <c r="T19" s="904"/>
      <c r="U19" s="904"/>
      <c r="V19" s="905"/>
      <c r="W19" s="10"/>
      <c r="X19" s="227"/>
      <c r="Y19" s="229"/>
      <c r="Z19" s="229"/>
      <c r="AA19" s="230"/>
      <c r="AB19" s="230"/>
      <c r="AC19" s="230"/>
      <c r="AD19" s="230"/>
      <c r="AE19" s="230"/>
      <c r="AF19" s="179"/>
      <c r="AG19" s="10"/>
      <c r="AH19" s="227"/>
      <c r="AI19" s="229"/>
      <c r="AJ19" s="229"/>
      <c r="AK19" s="230"/>
      <c r="AL19" s="230"/>
      <c r="AM19" s="230"/>
      <c r="AN19" s="230"/>
      <c r="AO19" s="230"/>
      <c r="AP19" s="179"/>
      <c r="AR19" s="863"/>
      <c r="AS19" s="903"/>
      <c r="AT19" s="903"/>
      <c r="AU19" s="904"/>
      <c r="AV19" s="904"/>
      <c r="AW19" s="904"/>
      <c r="AX19" s="904"/>
      <c r="AY19" s="904"/>
      <c r="AZ19" s="921"/>
      <c r="BB19" s="300"/>
      <c r="BC19" s="301"/>
      <c r="BD19" s="1080"/>
      <c r="BE19" s="301"/>
      <c r="BF19" s="104"/>
      <c r="BG19" s="130"/>
      <c r="BI19" s="300"/>
      <c r="BJ19" s="301"/>
      <c r="BK19" s="1080"/>
      <c r="BL19" s="301"/>
      <c r="BM19" s="104"/>
      <c r="BN19" s="130"/>
    </row>
    <row r="20" spans="1:66">
      <c r="A20" s="869">
        <f>'Input data'!A50</f>
        <v>1950</v>
      </c>
      <c r="B20" s="870">
        <f>'Input data'!B50</f>
        <v>5.3541578999999997</v>
      </c>
      <c r="C20" s="870">
        <f>'Baseline data (from input)'!B6</f>
        <v>578.73</v>
      </c>
      <c r="D20" s="871">
        <f>'Baseline data (from input)'!T6</f>
        <v>0.8</v>
      </c>
      <c r="E20" s="871">
        <f>'Input data'!C30</f>
        <v>0.24001298204245269</v>
      </c>
      <c r="F20" s="871">
        <f>'Input data'!D30</f>
        <v>0.30440139352934503</v>
      </c>
      <c r="G20" s="871">
        <f>'Input data'!E30</f>
        <v>5.8998240613430578E-2</v>
      </c>
      <c r="H20" s="871">
        <f>'Input data'!F30</f>
        <v>0</v>
      </c>
      <c r="I20" s="871">
        <f>'Input data'!G30</f>
        <v>0</v>
      </c>
      <c r="J20" s="871">
        <f>'Input data'!H30</f>
        <v>0</v>
      </c>
      <c r="K20" s="871">
        <f>SUM('Input data'!I30:M30)</f>
        <v>0.39658738381477154</v>
      </c>
      <c r="L20" s="872">
        <f>SUM(E20:K20)</f>
        <v>0.99999999999999989</v>
      </c>
      <c r="M20" s="102"/>
      <c r="N20" s="909">
        <f>B20*C20*D20</f>
        <v>2478.8894411736001</v>
      </c>
      <c r="O20" s="910">
        <f>Parameters!R121</f>
        <v>0.73</v>
      </c>
      <c r="P20" s="910">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911">
        <f>N20*P20*O20*$C$4</f>
        <v>109.01103628403193</v>
      </c>
      <c r="R20" s="911">
        <f>Q20*$C$10</f>
        <v>109.01103628403193</v>
      </c>
      <c r="S20" s="912">
        <f>Q20*(1-$C$10)</f>
        <v>0</v>
      </c>
      <c r="T20" s="911">
        <f>R20+(T19*$C$8)</f>
        <v>109.01103628403193</v>
      </c>
      <c r="U20" s="911">
        <f>S20+T19*(1-$C$8)</f>
        <v>0</v>
      </c>
      <c r="V20" s="913">
        <f>U20*16/12*$C$11</f>
        <v>0</v>
      </c>
      <c r="W20" s="1450">
        <f>$D$12</f>
        <v>0.13527885904981399</v>
      </c>
      <c r="X20" s="909">
        <f>'Baseline data (from input)'!AS6*W20</f>
        <v>0</v>
      </c>
      <c r="Y20" s="910">
        <f>Parameters!S121</f>
        <v>0.71500000000000008</v>
      </c>
      <c r="Z20" s="910">
        <f>$D$3</f>
        <v>0.4</v>
      </c>
      <c r="AA20" s="911">
        <f>X20*Z20*Y20*$D$4</f>
        <v>0</v>
      </c>
      <c r="AB20" s="911">
        <f>AA20*$D$10</f>
        <v>0</v>
      </c>
      <c r="AC20" s="912">
        <f>AA20*(1-$D$10)</f>
        <v>0</v>
      </c>
      <c r="AD20" s="911">
        <f>AB20+(AD19*$D$8)</f>
        <v>0</v>
      </c>
      <c r="AE20" s="911">
        <f>AC20+AD19*(1-$D$8)</f>
        <v>0</v>
      </c>
      <c r="AF20" s="913">
        <f>AE20*16/12*$D$11</f>
        <v>0</v>
      </c>
      <c r="AG20" s="1450">
        <f>$D$12</f>
        <v>0.13527885904981399</v>
      </c>
      <c r="AH20" s="909">
        <f>'Baseline data (from input)'!AS6*AG20</f>
        <v>0</v>
      </c>
      <c r="AI20" s="910">
        <f>Parameters!S121</f>
        <v>0.71500000000000008</v>
      </c>
      <c r="AJ20" s="910">
        <f>$D$3</f>
        <v>0.4</v>
      </c>
      <c r="AK20" s="911">
        <f>AH20*AJ20*AI20*$D$4</f>
        <v>0</v>
      </c>
      <c r="AL20" s="911">
        <f>AK20*$D$10</f>
        <v>0</v>
      </c>
      <c r="AM20" s="912">
        <f>AK20*(1-$D$10)</f>
        <v>0</v>
      </c>
      <c r="AN20" s="911">
        <f>AL20+(AN19*$D$8)</f>
        <v>0</v>
      </c>
      <c r="AO20" s="911">
        <f>AM20+AN19*(1-$D$8)</f>
        <v>0</v>
      </c>
      <c r="AP20" s="913">
        <f>AO20*16/12*$D$11</f>
        <v>0</v>
      </c>
      <c r="AR20" s="909">
        <v>0</v>
      </c>
      <c r="AS20" s="910">
        <v>1</v>
      </c>
      <c r="AT20" s="910">
        <f>$E$3</f>
        <v>0.05</v>
      </c>
      <c r="AU20" s="911">
        <f>AR20*AT20*AS20*$E$4</f>
        <v>0</v>
      </c>
      <c r="AV20" s="911">
        <f>AU20*$E$10</f>
        <v>0</v>
      </c>
      <c r="AW20" s="912">
        <f>AU20*(1-$E$10)</f>
        <v>0</v>
      </c>
      <c r="AX20" s="911">
        <f>AV20+(AX19*$E$8)</f>
        <v>0</v>
      </c>
      <c r="AY20" s="911">
        <f>AW20+AX19*(1-$E$8)</f>
        <v>0</v>
      </c>
      <c r="AZ20" s="913">
        <f>AY20*16/12*$E$11</f>
        <v>0</v>
      </c>
      <c r="BB20" s="300">
        <f>V20</f>
        <v>0</v>
      </c>
      <c r="BC20" s="301">
        <f>AF20</f>
        <v>0</v>
      </c>
      <c r="BD20" s="1080">
        <f>AZ20</f>
        <v>0</v>
      </c>
      <c r="BE20" s="301">
        <f>SUM(BB20:BD20)</f>
        <v>0</v>
      </c>
      <c r="BF20" s="104">
        <v>0</v>
      </c>
      <c r="BG20" s="302">
        <f>BE20-BF20</f>
        <v>0</v>
      </c>
      <c r="BI20" s="300">
        <f>V20</f>
        <v>0</v>
      </c>
      <c r="BJ20" s="301">
        <f>AP20</f>
        <v>0</v>
      </c>
      <c r="BK20" s="1080">
        <f>AZ20</f>
        <v>0</v>
      </c>
      <c r="BL20" s="301">
        <f>SUM(BI20:BK20)</f>
        <v>0</v>
      </c>
      <c r="BM20" s="104">
        <v>0</v>
      </c>
      <c r="BN20" s="302">
        <f>BL20-BM20</f>
        <v>0</v>
      </c>
    </row>
    <row r="21" spans="1:66">
      <c r="A21" s="873">
        <f>'Input data'!A51</f>
        <v>1951</v>
      </c>
      <c r="B21" s="865">
        <f>'Input data'!B51</f>
        <v>5.53942844</v>
      </c>
      <c r="C21" s="865">
        <f>'Baseline data (from input)'!B7</f>
        <v>578.73</v>
      </c>
      <c r="D21" s="777">
        <f>'Baseline data (from input)'!T7</f>
        <v>0.8</v>
      </c>
      <c r="E21" s="777">
        <f>E20</f>
        <v>0.24001298204245269</v>
      </c>
      <c r="F21" s="777">
        <f t="shared" ref="F21:K36" si="0">F20</f>
        <v>0.30440139352934503</v>
      </c>
      <c r="G21" s="777">
        <f t="shared" si="0"/>
        <v>5.8998240613430578E-2</v>
      </c>
      <c r="H21" s="777">
        <f t="shared" si="0"/>
        <v>0</v>
      </c>
      <c r="I21" s="777">
        <f t="shared" si="0"/>
        <v>0</v>
      </c>
      <c r="J21" s="777">
        <f t="shared" si="0"/>
        <v>0</v>
      </c>
      <c r="K21" s="777">
        <f t="shared" si="0"/>
        <v>0.39658738381477154</v>
      </c>
      <c r="L21" s="874">
        <f>SUM(E21:K21)</f>
        <v>0.99999999999999989</v>
      </c>
      <c r="M21" s="102"/>
      <c r="N21" s="914">
        <f t="shared" ref="N21:N84" si="1">B21*C21*D21</f>
        <v>2564.6667368649601</v>
      </c>
      <c r="O21" s="907">
        <f>Parameters!R122</f>
        <v>0.73</v>
      </c>
      <c r="P21" s="90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906">
        <f t="shared" ref="Q21:Q84" si="2">N21*P21*O21*$C$4</f>
        <v>112.78315767744512</v>
      </c>
      <c r="R21" s="906">
        <f t="shared" ref="R21:R84" si="3">Q21*$C$10</f>
        <v>112.78315767744512</v>
      </c>
      <c r="S21" s="286">
        <f t="shared" ref="S21:S84" si="4">Q21*(1-$C$10)</f>
        <v>0</v>
      </c>
      <c r="T21" s="906">
        <f t="shared" ref="T21:T84" si="5">R21+(T20*$C$8)</f>
        <v>216.47766298613126</v>
      </c>
      <c r="U21" s="906">
        <f t="shared" ref="U21:U84" si="6">S21+T20*(1-$C$8)</f>
        <v>5.316530975345783</v>
      </c>
      <c r="V21" s="915">
        <f t="shared" ref="V21:V84" si="7">U21*16/12*$C$11</f>
        <v>3.5443539835638553</v>
      </c>
      <c r="W21" s="1450">
        <f t="shared" ref="W21:W72" si="8">$D$12</f>
        <v>0.13527885904981399</v>
      </c>
      <c r="X21" s="914">
        <f>'Baseline data (from input)'!AS7*W21</f>
        <v>0</v>
      </c>
      <c r="Y21" s="907">
        <f>Parameters!S122</f>
        <v>0.71500000000000008</v>
      </c>
      <c r="Z21" s="907">
        <f t="shared" ref="Z21:Z84" si="9">$D$3</f>
        <v>0.4</v>
      </c>
      <c r="AA21" s="906">
        <f t="shared" ref="AA21:AA84" si="10">X21*Z21*Y21*$D$4</f>
        <v>0</v>
      </c>
      <c r="AB21" s="906">
        <f t="shared" ref="AB21:AB84" si="11">AA21*$D$10</f>
        <v>0</v>
      </c>
      <c r="AC21" s="286">
        <f t="shared" ref="AC21:AC84" si="12">AA21*(1-$D$10)</f>
        <v>0</v>
      </c>
      <c r="AD21" s="906">
        <f t="shared" ref="AD21:AD84" si="13">AB21+(AD20*$D$8)</f>
        <v>0</v>
      </c>
      <c r="AE21" s="906">
        <f t="shared" ref="AE21:AE84" si="14">AC21+AD20*(1-$D$8)</f>
        <v>0</v>
      </c>
      <c r="AF21" s="915">
        <f t="shared" ref="AF21:AF84" si="15">AE21*16/12*$D$11</f>
        <v>0</v>
      </c>
      <c r="AG21" s="1450">
        <f t="shared" ref="AG21:AG72" si="16">$D$12</f>
        <v>0.13527885904981399</v>
      </c>
      <c r="AH21" s="914">
        <f>'Baseline data (from input)'!AS7*AG21</f>
        <v>0</v>
      </c>
      <c r="AI21" s="907">
        <f>Parameters!S122</f>
        <v>0.71500000000000008</v>
      </c>
      <c r="AJ21" s="907">
        <f t="shared" ref="AJ21:AJ84" si="17">$D$3</f>
        <v>0.4</v>
      </c>
      <c r="AK21" s="906">
        <f t="shared" ref="AK21:AK84" si="18">AH21*AJ21*AI21*$D$4</f>
        <v>0</v>
      </c>
      <c r="AL21" s="906">
        <f t="shared" ref="AL21:AL84" si="19">AK21*$D$10</f>
        <v>0</v>
      </c>
      <c r="AM21" s="286">
        <f t="shared" ref="AM21:AM84" si="20">AK21*(1-$D$10)</f>
        <v>0</v>
      </c>
      <c r="AN21" s="906">
        <f t="shared" ref="AN21:AN84" si="21">AL21+(AN20*$D$8)</f>
        <v>0</v>
      </c>
      <c r="AO21" s="906">
        <f t="shared" ref="AO21:AO84" si="22">AM21+AN20*(1-$D$8)</f>
        <v>0</v>
      </c>
      <c r="AP21" s="915">
        <f t="shared" ref="AP21:AP84" si="23">AO21*16/12*$D$11</f>
        <v>0</v>
      </c>
      <c r="AR21" s="914">
        <v>0</v>
      </c>
      <c r="AS21" s="907">
        <v>1</v>
      </c>
      <c r="AT21" s="907">
        <f t="shared" ref="AT21:AT84" si="24">$E$3</f>
        <v>0.05</v>
      </c>
      <c r="AU21" s="906">
        <f t="shared" ref="AU21:AU84" si="25">AR21*AT21*AS21*$E$4</f>
        <v>0</v>
      </c>
      <c r="AV21" s="906">
        <f t="shared" ref="AV21:AV84" si="26">AU21*$E$10</f>
        <v>0</v>
      </c>
      <c r="AW21" s="286">
        <f t="shared" ref="AW21:AW84" si="27">AU21*(1-$C$10)</f>
        <v>0</v>
      </c>
      <c r="AX21" s="906">
        <f t="shared" ref="AX21:AX49" si="28">AV21+(AX20*$C$8)</f>
        <v>0</v>
      </c>
      <c r="AY21" s="906">
        <f t="shared" ref="AY21:AY69" si="29">AW21+AX20*(1-$C$8)</f>
        <v>0</v>
      </c>
      <c r="AZ21" s="915">
        <f t="shared" ref="AZ21:AZ69" si="30">AY21*16/12*$C$11</f>
        <v>0</v>
      </c>
      <c r="BB21" s="300">
        <f t="shared" ref="BB21:BB84" si="31">V21</f>
        <v>3.5443539835638553</v>
      </c>
      <c r="BC21" s="301">
        <f t="shared" ref="BC21:BC84" si="32">AF21</f>
        <v>0</v>
      </c>
      <c r="BD21" s="1080">
        <f t="shared" ref="BD21:BD69" si="33">AZ21</f>
        <v>0</v>
      </c>
      <c r="BE21" s="301">
        <f t="shared" ref="BE21:BE83" si="34">SUM(BB21:BD21)</f>
        <v>3.5443539835638553</v>
      </c>
      <c r="BF21" s="104">
        <v>0</v>
      </c>
      <c r="BG21" s="302">
        <f t="shared" ref="BG21:BG84" si="35">BE21-BF21</f>
        <v>3.5443539835638553</v>
      </c>
      <c r="BI21" s="300">
        <f t="shared" ref="BI21:BI84" si="36">V21</f>
        <v>3.5443539835638553</v>
      </c>
      <c r="BJ21" s="301">
        <f t="shared" ref="BJ21:BJ84" si="37">AP21</f>
        <v>0</v>
      </c>
      <c r="BK21" s="1080">
        <f t="shared" ref="BK21:BK84" si="38">AZ21</f>
        <v>0</v>
      </c>
      <c r="BL21" s="301">
        <f t="shared" ref="BL21:BL83" si="39">SUM(BI21:BK21)</f>
        <v>3.5443539835638553</v>
      </c>
      <c r="BM21" s="104">
        <v>0</v>
      </c>
      <c r="BN21" s="302">
        <f t="shared" ref="BN21:BN84" si="40">BL21-BM21</f>
        <v>3.5443539835638553</v>
      </c>
    </row>
    <row r="22" spans="1:66">
      <c r="A22" s="873">
        <f>'Input data'!A52</f>
        <v>1952</v>
      </c>
      <c r="B22" s="865">
        <f>'Input data'!B52</f>
        <v>5.7129272200000001</v>
      </c>
      <c r="C22" s="865">
        <f>'Baseline data (from input)'!B8</f>
        <v>578.73</v>
      </c>
      <c r="D22" s="777">
        <f>'Baseline data (from input)'!T8</f>
        <v>0.8</v>
      </c>
      <c r="E22" s="777">
        <f t="shared" ref="E22:K37" si="41">E21</f>
        <v>0.24001298204245269</v>
      </c>
      <c r="F22" s="777">
        <f t="shared" si="0"/>
        <v>0.30440139352934503</v>
      </c>
      <c r="G22" s="777">
        <f t="shared" si="0"/>
        <v>5.8998240613430578E-2</v>
      </c>
      <c r="H22" s="777">
        <f t="shared" si="0"/>
        <v>0</v>
      </c>
      <c r="I22" s="777">
        <f t="shared" si="0"/>
        <v>0</v>
      </c>
      <c r="J22" s="777">
        <f t="shared" si="0"/>
        <v>0</v>
      </c>
      <c r="K22" s="777">
        <f t="shared" si="0"/>
        <v>0.39658738381477154</v>
      </c>
      <c r="L22" s="874">
        <f t="shared" ref="L22:L85" si="42">SUM(E22:K22)</f>
        <v>0.99999999999999989</v>
      </c>
      <c r="M22" s="102"/>
      <c r="N22" s="914">
        <f t="shared" si="1"/>
        <v>2644.9938960244804</v>
      </c>
      <c r="O22" s="907">
        <f>Parameters!R123</f>
        <v>0.73</v>
      </c>
      <c r="P22" s="90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906">
        <f t="shared" si="2"/>
        <v>116.31560519861652</v>
      </c>
      <c r="R22" s="906">
        <f t="shared" si="3"/>
        <v>116.31560519861652</v>
      </c>
      <c r="S22" s="286">
        <f t="shared" si="4"/>
        <v>0</v>
      </c>
      <c r="T22" s="906">
        <f t="shared" si="5"/>
        <v>322.23552797817371</v>
      </c>
      <c r="U22" s="906">
        <f t="shared" si="6"/>
        <v>10.557740206574103</v>
      </c>
      <c r="V22" s="915">
        <f t="shared" si="7"/>
        <v>7.038493471049402</v>
      </c>
      <c r="W22" s="1450">
        <f t="shared" si="8"/>
        <v>0.13527885904981399</v>
      </c>
      <c r="X22" s="914">
        <f>'Baseline data (from input)'!AS8*W22</f>
        <v>0</v>
      </c>
      <c r="Y22" s="907">
        <f>Parameters!S123</f>
        <v>0.71500000000000008</v>
      </c>
      <c r="Z22" s="907">
        <f t="shared" si="9"/>
        <v>0.4</v>
      </c>
      <c r="AA22" s="906">
        <f t="shared" si="10"/>
        <v>0</v>
      </c>
      <c r="AB22" s="906">
        <f t="shared" si="11"/>
        <v>0</v>
      </c>
      <c r="AC22" s="286">
        <f t="shared" si="12"/>
        <v>0</v>
      </c>
      <c r="AD22" s="906">
        <f t="shared" si="13"/>
        <v>0</v>
      </c>
      <c r="AE22" s="906">
        <f t="shared" si="14"/>
        <v>0</v>
      </c>
      <c r="AF22" s="915">
        <f t="shared" si="15"/>
        <v>0</v>
      </c>
      <c r="AG22" s="1450">
        <f t="shared" si="16"/>
        <v>0.13527885904981399</v>
      </c>
      <c r="AH22" s="914">
        <f>'Baseline data (from input)'!AS8*AG22</f>
        <v>0</v>
      </c>
      <c r="AI22" s="907">
        <f>Parameters!S123</f>
        <v>0.71500000000000008</v>
      </c>
      <c r="AJ22" s="907">
        <f t="shared" si="17"/>
        <v>0.4</v>
      </c>
      <c r="AK22" s="906">
        <f t="shared" si="18"/>
        <v>0</v>
      </c>
      <c r="AL22" s="906">
        <f t="shared" si="19"/>
        <v>0</v>
      </c>
      <c r="AM22" s="286">
        <f t="shared" si="20"/>
        <v>0</v>
      </c>
      <c r="AN22" s="906">
        <f t="shared" si="21"/>
        <v>0</v>
      </c>
      <c r="AO22" s="906">
        <f t="shared" si="22"/>
        <v>0</v>
      </c>
      <c r="AP22" s="915">
        <f t="shared" si="23"/>
        <v>0</v>
      </c>
      <c r="AR22" s="914">
        <v>0</v>
      </c>
      <c r="AS22" s="907">
        <v>1</v>
      </c>
      <c r="AT22" s="907">
        <f t="shared" si="24"/>
        <v>0.05</v>
      </c>
      <c r="AU22" s="906">
        <f t="shared" si="25"/>
        <v>0</v>
      </c>
      <c r="AV22" s="906">
        <f t="shared" si="26"/>
        <v>0</v>
      </c>
      <c r="AW22" s="286">
        <f t="shared" si="27"/>
        <v>0</v>
      </c>
      <c r="AX22" s="906">
        <f t="shared" si="28"/>
        <v>0</v>
      </c>
      <c r="AY22" s="906">
        <f t="shared" si="29"/>
        <v>0</v>
      </c>
      <c r="AZ22" s="915">
        <f t="shared" si="30"/>
        <v>0</v>
      </c>
      <c r="BB22" s="300">
        <f t="shared" si="31"/>
        <v>7.038493471049402</v>
      </c>
      <c r="BC22" s="301">
        <f t="shared" si="32"/>
        <v>0</v>
      </c>
      <c r="BD22" s="1080">
        <f t="shared" si="33"/>
        <v>0</v>
      </c>
      <c r="BE22" s="301">
        <f t="shared" si="34"/>
        <v>7.038493471049402</v>
      </c>
      <c r="BF22" s="104">
        <v>0</v>
      </c>
      <c r="BG22" s="302">
        <f t="shared" si="35"/>
        <v>7.038493471049402</v>
      </c>
      <c r="BI22" s="300">
        <f t="shared" si="36"/>
        <v>7.038493471049402</v>
      </c>
      <c r="BJ22" s="301">
        <f t="shared" si="37"/>
        <v>0</v>
      </c>
      <c r="BK22" s="1080">
        <f t="shared" si="38"/>
        <v>0</v>
      </c>
      <c r="BL22" s="301">
        <f t="shared" si="39"/>
        <v>7.038493471049402</v>
      </c>
      <c r="BM22" s="104">
        <v>0</v>
      </c>
      <c r="BN22" s="302">
        <f t="shared" si="40"/>
        <v>7.038493471049402</v>
      </c>
    </row>
    <row r="23" spans="1:66">
      <c r="A23" s="873">
        <f>'Input data'!A53</f>
        <v>1953</v>
      </c>
      <c r="B23" s="865">
        <f>'Input data'!B53</f>
        <v>5.9284297800000001</v>
      </c>
      <c r="C23" s="865">
        <f>'Baseline data (from input)'!B9</f>
        <v>578.73</v>
      </c>
      <c r="D23" s="777">
        <f>'Baseline data (from input)'!T9</f>
        <v>0.8</v>
      </c>
      <c r="E23" s="777">
        <f t="shared" si="41"/>
        <v>0.24001298204245269</v>
      </c>
      <c r="F23" s="777">
        <f t="shared" si="0"/>
        <v>0.30440139352934503</v>
      </c>
      <c r="G23" s="777">
        <f t="shared" si="0"/>
        <v>5.8998240613430578E-2</v>
      </c>
      <c r="H23" s="777">
        <f t="shared" si="0"/>
        <v>0</v>
      </c>
      <c r="I23" s="777">
        <f t="shared" si="0"/>
        <v>0</v>
      </c>
      <c r="J23" s="777">
        <f t="shared" si="0"/>
        <v>0</v>
      </c>
      <c r="K23" s="777">
        <f t="shared" si="0"/>
        <v>0.39658738381477154</v>
      </c>
      <c r="L23" s="874">
        <f t="shared" si="42"/>
        <v>0.99999999999999989</v>
      </c>
      <c r="M23" s="102"/>
      <c r="N23" s="914">
        <f t="shared" si="1"/>
        <v>2744.7681332635202</v>
      </c>
      <c r="O23" s="907">
        <f>Parameters!R124</f>
        <v>0.73</v>
      </c>
      <c r="P23" s="90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906">
        <f t="shared" si="2"/>
        <v>120.70325267301428</v>
      </c>
      <c r="R23" s="906">
        <f t="shared" si="3"/>
        <v>120.70325267301428</v>
      </c>
      <c r="S23" s="286">
        <f t="shared" si="4"/>
        <v>0</v>
      </c>
      <c r="T23" s="906">
        <f t="shared" si="5"/>
        <v>427.22316850537618</v>
      </c>
      <c r="U23" s="906">
        <f t="shared" si="6"/>
        <v>15.715612145811802</v>
      </c>
      <c r="V23" s="915">
        <f t="shared" si="7"/>
        <v>10.477074763874535</v>
      </c>
      <c r="W23" s="1450">
        <f t="shared" si="8"/>
        <v>0.13527885904981399</v>
      </c>
      <c r="X23" s="914">
        <f>'Baseline data (from input)'!AS9*W23</f>
        <v>0</v>
      </c>
      <c r="Y23" s="907">
        <f>Parameters!S124</f>
        <v>0.71500000000000008</v>
      </c>
      <c r="Z23" s="907">
        <f t="shared" si="9"/>
        <v>0.4</v>
      </c>
      <c r="AA23" s="906">
        <f t="shared" si="10"/>
        <v>0</v>
      </c>
      <c r="AB23" s="906">
        <f t="shared" si="11"/>
        <v>0</v>
      </c>
      <c r="AC23" s="286">
        <f t="shared" si="12"/>
        <v>0</v>
      </c>
      <c r="AD23" s="906">
        <f t="shared" si="13"/>
        <v>0</v>
      </c>
      <c r="AE23" s="906">
        <f t="shared" si="14"/>
        <v>0</v>
      </c>
      <c r="AF23" s="915">
        <f t="shared" si="15"/>
        <v>0</v>
      </c>
      <c r="AG23" s="1450">
        <f t="shared" si="16"/>
        <v>0.13527885904981399</v>
      </c>
      <c r="AH23" s="914">
        <f>'Baseline data (from input)'!AS9*AG23</f>
        <v>0</v>
      </c>
      <c r="AI23" s="907">
        <f>Parameters!S124</f>
        <v>0.71500000000000008</v>
      </c>
      <c r="AJ23" s="907">
        <f t="shared" si="17"/>
        <v>0.4</v>
      </c>
      <c r="AK23" s="906">
        <f t="shared" si="18"/>
        <v>0</v>
      </c>
      <c r="AL23" s="906">
        <f t="shared" si="19"/>
        <v>0</v>
      </c>
      <c r="AM23" s="286">
        <f t="shared" si="20"/>
        <v>0</v>
      </c>
      <c r="AN23" s="906">
        <f t="shared" si="21"/>
        <v>0</v>
      </c>
      <c r="AO23" s="906">
        <f t="shared" si="22"/>
        <v>0</v>
      </c>
      <c r="AP23" s="915">
        <f t="shared" si="23"/>
        <v>0</v>
      </c>
      <c r="AR23" s="914">
        <v>0</v>
      </c>
      <c r="AS23" s="907">
        <v>1</v>
      </c>
      <c r="AT23" s="907">
        <f t="shared" si="24"/>
        <v>0.05</v>
      </c>
      <c r="AU23" s="906">
        <f t="shared" si="25"/>
        <v>0</v>
      </c>
      <c r="AV23" s="906">
        <f t="shared" si="26"/>
        <v>0</v>
      </c>
      <c r="AW23" s="286">
        <f t="shared" si="27"/>
        <v>0</v>
      </c>
      <c r="AX23" s="906">
        <f t="shared" si="28"/>
        <v>0</v>
      </c>
      <c r="AY23" s="906">
        <f t="shared" si="29"/>
        <v>0</v>
      </c>
      <c r="AZ23" s="915">
        <f t="shared" si="30"/>
        <v>0</v>
      </c>
      <c r="BB23" s="300">
        <f t="shared" si="31"/>
        <v>10.477074763874535</v>
      </c>
      <c r="BC23" s="301">
        <f t="shared" si="32"/>
        <v>0</v>
      </c>
      <c r="BD23" s="1080">
        <f t="shared" si="33"/>
        <v>0</v>
      </c>
      <c r="BE23" s="301">
        <f t="shared" si="34"/>
        <v>10.477074763874535</v>
      </c>
      <c r="BF23" s="104">
        <v>0</v>
      </c>
      <c r="BG23" s="302">
        <f t="shared" si="35"/>
        <v>10.477074763874535</v>
      </c>
      <c r="BI23" s="300">
        <f t="shared" si="36"/>
        <v>10.477074763874535</v>
      </c>
      <c r="BJ23" s="301">
        <f t="shared" si="37"/>
        <v>0</v>
      </c>
      <c r="BK23" s="1080">
        <f t="shared" si="38"/>
        <v>0</v>
      </c>
      <c r="BL23" s="301">
        <f t="shared" si="39"/>
        <v>10.477074763874535</v>
      </c>
      <c r="BM23" s="104">
        <v>0</v>
      </c>
      <c r="BN23" s="302">
        <f t="shared" si="40"/>
        <v>10.477074763874535</v>
      </c>
    </row>
    <row r="24" spans="1:66">
      <c r="A24" s="873">
        <f>'Input data'!A54</f>
        <v>1954</v>
      </c>
      <c r="B24" s="865">
        <f>'Input data'!B54</f>
        <v>6.1065695599999996</v>
      </c>
      <c r="C24" s="865">
        <f>'Baseline data (from input)'!B10</f>
        <v>578.73</v>
      </c>
      <c r="D24" s="777">
        <f>'Baseline data (from input)'!T10</f>
        <v>0.8</v>
      </c>
      <c r="E24" s="777">
        <f t="shared" si="41"/>
        <v>0.24001298204245269</v>
      </c>
      <c r="F24" s="777">
        <f t="shared" si="0"/>
        <v>0.30440139352934503</v>
      </c>
      <c r="G24" s="777">
        <f t="shared" si="0"/>
        <v>5.8998240613430578E-2</v>
      </c>
      <c r="H24" s="777">
        <f t="shared" si="0"/>
        <v>0</v>
      </c>
      <c r="I24" s="777">
        <f t="shared" si="0"/>
        <v>0</v>
      </c>
      <c r="J24" s="777">
        <f t="shared" si="0"/>
        <v>0</v>
      </c>
      <c r="K24" s="777">
        <f t="shared" si="0"/>
        <v>0.39658738381477154</v>
      </c>
      <c r="L24" s="874">
        <f t="shared" si="42"/>
        <v>0.99999999999999989</v>
      </c>
      <c r="M24" s="102"/>
      <c r="N24" s="914">
        <f t="shared" si="1"/>
        <v>2827.2440011670401</v>
      </c>
      <c r="O24" s="907">
        <f>Parameters!R125</f>
        <v>0.73</v>
      </c>
      <c r="P24" s="90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906">
        <f t="shared" si="2"/>
        <v>124.33019128481902</v>
      </c>
      <c r="R24" s="906">
        <f t="shared" si="3"/>
        <v>124.33019128481902</v>
      </c>
      <c r="S24" s="286">
        <f t="shared" si="4"/>
        <v>0</v>
      </c>
      <c r="T24" s="906">
        <f t="shared" si="5"/>
        <v>530.71743999555952</v>
      </c>
      <c r="U24" s="906">
        <f t="shared" si="6"/>
        <v>20.835919794635625</v>
      </c>
      <c r="V24" s="915">
        <f t="shared" si="7"/>
        <v>13.89061319642375</v>
      </c>
      <c r="W24" s="1450">
        <f t="shared" si="8"/>
        <v>0.13527885904981399</v>
      </c>
      <c r="X24" s="914">
        <f>'Baseline data (from input)'!AS10*W24</f>
        <v>0</v>
      </c>
      <c r="Y24" s="907">
        <f>Parameters!S125</f>
        <v>0.71500000000000008</v>
      </c>
      <c r="Z24" s="907">
        <f t="shared" si="9"/>
        <v>0.4</v>
      </c>
      <c r="AA24" s="906">
        <f t="shared" si="10"/>
        <v>0</v>
      </c>
      <c r="AB24" s="906">
        <f t="shared" si="11"/>
        <v>0</v>
      </c>
      <c r="AC24" s="286">
        <f t="shared" si="12"/>
        <v>0</v>
      </c>
      <c r="AD24" s="906">
        <f t="shared" si="13"/>
        <v>0</v>
      </c>
      <c r="AE24" s="906">
        <f t="shared" si="14"/>
        <v>0</v>
      </c>
      <c r="AF24" s="915">
        <f t="shared" si="15"/>
        <v>0</v>
      </c>
      <c r="AG24" s="1450">
        <f t="shared" si="16"/>
        <v>0.13527885904981399</v>
      </c>
      <c r="AH24" s="914">
        <f>'Baseline data (from input)'!AS10*AG24</f>
        <v>0</v>
      </c>
      <c r="AI24" s="907">
        <f>Parameters!S125</f>
        <v>0.71500000000000008</v>
      </c>
      <c r="AJ24" s="907">
        <f t="shared" si="17"/>
        <v>0.4</v>
      </c>
      <c r="AK24" s="906">
        <f t="shared" si="18"/>
        <v>0</v>
      </c>
      <c r="AL24" s="906">
        <f t="shared" si="19"/>
        <v>0</v>
      </c>
      <c r="AM24" s="286">
        <f t="shared" si="20"/>
        <v>0</v>
      </c>
      <c r="AN24" s="906">
        <f t="shared" si="21"/>
        <v>0</v>
      </c>
      <c r="AO24" s="906">
        <f t="shared" si="22"/>
        <v>0</v>
      </c>
      <c r="AP24" s="915">
        <f t="shared" si="23"/>
        <v>0</v>
      </c>
      <c r="AR24" s="914">
        <v>0</v>
      </c>
      <c r="AS24" s="907">
        <v>1</v>
      </c>
      <c r="AT24" s="907">
        <f t="shared" si="24"/>
        <v>0.05</v>
      </c>
      <c r="AU24" s="906">
        <f t="shared" si="25"/>
        <v>0</v>
      </c>
      <c r="AV24" s="906">
        <f t="shared" si="26"/>
        <v>0</v>
      </c>
      <c r="AW24" s="286">
        <f t="shared" si="27"/>
        <v>0</v>
      </c>
      <c r="AX24" s="906">
        <f t="shared" si="28"/>
        <v>0</v>
      </c>
      <c r="AY24" s="906">
        <f t="shared" si="29"/>
        <v>0</v>
      </c>
      <c r="AZ24" s="915">
        <f t="shared" si="30"/>
        <v>0</v>
      </c>
      <c r="BB24" s="300">
        <f t="shared" si="31"/>
        <v>13.89061319642375</v>
      </c>
      <c r="BC24" s="301">
        <f t="shared" si="32"/>
        <v>0</v>
      </c>
      <c r="BD24" s="1080">
        <f t="shared" si="33"/>
        <v>0</v>
      </c>
      <c r="BE24" s="301">
        <f t="shared" si="34"/>
        <v>13.89061319642375</v>
      </c>
      <c r="BF24" s="104">
        <v>0</v>
      </c>
      <c r="BG24" s="302">
        <f t="shared" si="35"/>
        <v>13.89061319642375</v>
      </c>
      <c r="BI24" s="300">
        <f t="shared" si="36"/>
        <v>13.89061319642375</v>
      </c>
      <c r="BJ24" s="301">
        <f t="shared" si="37"/>
        <v>0</v>
      </c>
      <c r="BK24" s="1080">
        <f t="shared" si="38"/>
        <v>0</v>
      </c>
      <c r="BL24" s="301">
        <f t="shared" si="39"/>
        <v>13.89061319642375</v>
      </c>
      <c r="BM24" s="104">
        <v>0</v>
      </c>
      <c r="BN24" s="302">
        <f t="shared" si="40"/>
        <v>13.89061319642375</v>
      </c>
    </row>
    <row r="25" spans="1:66">
      <c r="A25" s="873">
        <f>'Input data'!A55</f>
        <v>1955</v>
      </c>
      <c r="B25" s="865">
        <f>'Input data'!B55</f>
        <v>6.2725644799999998</v>
      </c>
      <c r="C25" s="865">
        <f>'Baseline data (from input)'!B11</f>
        <v>578.73</v>
      </c>
      <c r="D25" s="777">
        <f>'Baseline data (from input)'!T11</f>
        <v>0.8</v>
      </c>
      <c r="E25" s="777">
        <f t="shared" si="41"/>
        <v>0.24001298204245269</v>
      </c>
      <c r="F25" s="777">
        <f t="shared" si="0"/>
        <v>0.30440139352934503</v>
      </c>
      <c r="G25" s="777">
        <f t="shared" si="0"/>
        <v>5.8998240613430578E-2</v>
      </c>
      <c r="H25" s="777">
        <f t="shared" si="0"/>
        <v>0</v>
      </c>
      <c r="I25" s="777">
        <f t="shared" si="0"/>
        <v>0</v>
      </c>
      <c r="J25" s="777">
        <f t="shared" si="0"/>
        <v>0</v>
      </c>
      <c r="K25" s="777">
        <f t="shared" si="0"/>
        <v>0.39658738381477154</v>
      </c>
      <c r="L25" s="874">
        <f t="shared" si="42"/>
        <v>0.99999999999999989</v>
      </c>
      <c r="M25" s="102"/>
      <c r="N25" s="914">
        <f t="shared" si="1"/>
        <v>2904.0969932083203</v>
      </c>
      <c r="O25" s="907">
        <f>Parameters!R126</f>
        <v>0.73</v>
      </c>
      <c r="P25" s="90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906">
        <f t="shared" si="2"/>
        <v>127.70985968180169</v>
      </c>
      <c r="R25" s="906">
        <f t="shared" si="3"/>
        <v>127.70985968180169</v>
      </c>
      <c r="S25" s="286">
        <f t="shared" si="4"/>
        <v>0</v>
      </c>
      <c r="T25" s="906">
        <f t="shared" si="5"/>
        <v>632.54390470126998</v>
      </c>
      <c r="U25" s="906">
        <f t="shared" si="6"/>
        <v>25.883394976091214</v>
      </c>
      <c r="V25" s="915">
        <f t="shared" si="7"/>
        <v>17.255596650727476</v>
      </c>
      <c r="W25" s="1450">
        <f t="shared" si="8"/>
        <v>0.13527885904981399</v>
      </c>
      <c r="X25" s="914">
        <f>'Baseline data (from input)'!AS11*W25</f>
        <v>0</v>
      </c>
      <c r="Y25" s="907">
        <f>Parameters!S126</f>
        <v>0.71500000000000008</v>
      </c>
      <c r="Z25" s="907">
        <f t="shared" si="9"/>
        <v>0.4</v>
      </c>
      <c r="AA25" s="906">
        <f t="shared" si="10"/>
        <v>0</v>
      </c>
      <c r="AB25" s="906">
        <f t="shared" si="11"/>
        <v>0</v>
      </c>
      <c r="AC25" s="286">
        <f t="shared" si="12"/>
        <v>0</v>
      </c>
      <c r="AD25" s="906">
        <f t="shared" si="13"/>
        <v>0</v>
      </c>
      <c r="AE25" s="906">
        <f t="shared" si="14"/>
        <v>0</v>
      </c>
      <c r="AF25" s="915">
        <f t="shared" si="15"/>
        <v>0</v>
      </c>
      <c r="AG25" s="1450">
        <f t="shared" si="16"/>
        <v>0.13527885904981399</v>
      </c>
      <c r="AH25" s="914">
        <f>'Baseline data (from input)'!AS11*AG25</f>
        <v>0</v>
      </c>
      <c r="AI25" s="907">
        <f>Parameters!S126</f>
        <v>0.71500000000000008</v>
      </c>
      <c r="AJ25" s="907">
        <f t="shared" si="17"/>
        <v>0.4</v>
      </c>
      <c r="AK25" s="906">
        <f t="shared" si="18"/>
        <v>0</v>
      </c>
      <c r="AL25" s="906">
        <f t="shared" si="19"/>
        <v>0</v>
      </c>
      <c r="AM25" s="286">
        <f t="shared" si="20"/>
        <v>0</v>
      </c>
      <c r="AN25" s="906">
        <f t="shared" si="21"/>
        <v>0</v>
      </c>
      <c r="AO25" s="906">
        <f t="shared" si="22"/>
        <v>0</v>
      </c>
      <c r="AP25" s="915">
        <f t="shared" si="23"/>
        <v>0</v>
      </c>
      <c r="AR25" s="914">
        <v>0</v>
      </c>
      <c r="AS25" s="907">
        <v>1</v>
      </c>
      <c r="AT25" s="907">
        <f t="shared" si="24"/>
        <v>0.05</v>
      </c>
      <c r="AU25" s="906">
        <f t="shared" si="25"/>
        <v>0</v>
      </c>
      <c r="AV25" s="906">
        <f t="shared" si="26"/>
        <v>0</v>
      </c>
      <c r="AW25" s="286">
        <f t="shared" si="27"/>
        <v>0</v>
      </c>
      <c r="AX25" s="906">
        <f t="shared" si="28"/>
        <v>0</v>
      </c>
      <c r="AY25" s="906">
        <f t="shared" si="29"/>
        <v>0</v>
      </c>
      <c r="AZ25" s="915">
        <f t="shared" si="30"/>
        <v>0</v>
      </c>
      <c r="BB25" s="300">
        <f t="shared" si="31"/>
        <v>17.255596650727476</v>
      </c>
      <c r="BC25" s="301">
        <f t="shared" si="32"/>
        <v>0</v>
      </c>
      <c r="BD25" s="1080">
        <f t="shared" si="33"/>
        <v>0</v>
      </c>
      <c r="BE25" s="301">
        <f t="shared" si="34"/>
        <v>17.255596650727476</v>
      </c>
      <c r="BF25" s="104">
        <v>0</v>
      </c>
      <c r="BG25" s="302">
        <f t="shared" si="35"/>
        <v>17.255596650727476</v>
      </c>
      <c r="BI25" s="300">
        <f t="shared" si="36"/>
        <v>17.255596650727476</v>
      </c>
      <c r="BJ25" s="301">
        <f t="shared" si="37"/>
        <v>0</v>
      </c>
      <c r="BK25" s="1080">
        <f t="shared" si="38"/>
        <v>0</v>
      </c>
      <c r="BL25" s="301">
        <f t="shared" si="39"/>
        <v>17.255596650727476</v>
      </c>
      <c r="BM25" s="104">
        <v>0</v>
      </c>
      <c r="BN25" s="302">
        <f t="shared" si="40"/>
        <v>17.255596650727476</v>
      </c>
    </row>
    <row r="26" spans="1:66">
      <c r="A26" s="873">
        <f>'Input data'!A56</f>
        <v>1956</v>
      </c>
      <c r="B26" s="865">
        <f>'Input data'!B56</f>
        <v>6.4651860000000001</v>
      </c>
      <c r="C26" s="865">
        <f>'Baseline data (from input)'!B12</f>
        <v>578.73</v>
      </c>
      <c r="D26" s="777">
        <f>'Baseline data (from input)'!T12</f>
        <v>0.8</v>
      </c>
      <c r="E26" s="777">
        <f t="shared" si="41"/>
        <v>0.24001298204245269</v>
      </c>
      <c r="F26" s="777">
        <f t="shared" si="0"/>
        <v>0.30440139352934503</v>
      </c>
      <c r="G26" s="777">
        <f t="shared" si="0"/>
        <v>5.8998240613430578E-2</v>
      </c>
      <c r="H26" s="777">
        <f t="shared" si="0"/>
        <v>0</v>
      </c>
      <c r="I26" s="777">
        <f t="shared" si="0"/>
        <v>0</v>
      </c>
      <c r="J26" s="777">
        <f t="shared" si="0"/>
        <v>0</v>
      </c>
      <c r="K26" s="777">
        <f t="shared" si="0"/>
        <v>0.39658738381477154</v>
      </c>
      <c r="L26" s="874">
        <f t="shared" si="42"/>
        <v>0.99999999999999989</v>
      </c>
      <c r="M26" s="102"/>
      <c r="N26" s="914">
        <f t="shared" si="1"/>
        <v>2993.2776750240005</v>
      </c>
      <c r="O26" s="907">
        <f>Parameters!R127</f>
        <v>0.73</v>
      </c>
      <c r="P26" s="90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906">
        <f t="shared" si="2"/>
        <v>131.63164755171215</v>
      </c>
      <c r="R26" s="906">
        <f t="shared" si="3"/>
        <v>131.63164755171215</v>
      </c>
      <c r="S26" s="286">
        <f t="shared" si="4"/>
        <v>0</v>
      </c>
      <c r="T26" s="906">
        <f t="shared" si="5"/>
        <v>733.32602199213568</v>
      </c>
      <c r="U26" s="906">
        <f t="shared" si="6"/>
        <v>30.849530260846446</v>
      </c>
      <c r="V26" s="915">
        <f t="shared" si="7"/>
        <v>20.566353507230964</v>
      </c>
      <c r="W26" s="1450">
        <f t="shared" si="8"/>
        <v>0.13527885904981399</v>
      </c>
      <c r="X26" s="914">
        <f>'Baseline data (from input)'!AS12*W26</f>
        <v>0</v>
      </c>
      <c r="Y26" s="907">
        <f>Parameters!S127</f>
        <v>0.71500000000000008</v>
      </c>
      <c r="Z26" s="907">
        <f t="shared" si="9"/>
        <v>0.4</v>
      </c>
      <c r="AA26" s="906">
        <f t="shared" si="10"/>
        <v>0</v>
      </c>
      <c r="AB26" s="906">
        <f t="shared" si="11"/>
        <v>0</v>
      </c>
      <c r="AC26" s="286">
        <f t="shared" si="12"/>
        <v>0</v>
      </c>
      <c r="AD26" s="906">
        <f t="shared" si="13"/>
        <v>0</v>
      </c>
      <c r="AE26" s="906">
        <f t="shared" si="14"/>
        <v>0</v>
      </c>
      <c r="AF26" s="915">
        <f t="shared" si="15"/>
        <v>0</v>
      </c>
      <c r="AG26" s="1450">
        <f t="shared" si="16"/>
        <v>0.13527885904981399</v>
      </c>
      <c r="AH26" s="914">
        <f>'Baseline data (from input)'!AS12*AG26</f>
        <v>0</v>
      </c>
      <c r="AI26" s="907">
        <f>Parameters!S127</f>
        <v>0.71500000000000008</v>
      </c>
      <c r="AJ26" s="907">
        <f t="shared" si="17"/>
        <v>0.4</v>
      </c>
      <c r="AK26" s="906">
        <f t="shared" si="18"/>
        <v>0</v>
      </c>
      <c r="AL26" s="906">
        <f t="shared" si="19"/>
        <v>0</v>
      </c>
      <c r="AM26" s="286">
        <f t="shared" si="20"/>
        <v>0</v>
      </c>
      <c r="AN26" s="906">
        <f t="shared" si="21"/>
        <v>0</v>
      </c>
      <c r="AO26" s="906">
        <f t="shared" si="22"/>
        <v>0</v>
      </c>
      <c r="AP26" s="915">
        <f t="shared" si="23"/>
        <v>0</v>
      </c>
      <c r="AR26" s="914">
        <v>0</v>
      </c>
      <c r="AS26" s="907">
        <v>1</v>
      </c>
      <c r="AT26" s="907">
        <f t="shared" si="24"/>
        <v>0.05</v>
      </c>
      <c r="AU26" s="906">
        <f t="shared" si="25"/>
        <v>0</v>
      </c>
      <c r="AV26" s="906">
        <f t="shared" si="26"/>
        <v>0</v>
      </c>
      <c r="AW26" s="286">
        <f t="shared" si="27"/>
        <v>0</v>
      </c>
      <c r="AX26" s="906">
        <f t="shared" si="28"/>
        <v>0</v>
      </c>
      <c r="AY26" s="906">
        <f t="shared" si="29"/>
        <v>0</v>
      </c>
      <c r="AZ26" s="915">
        <f t="shared" si="30"/>
        <v>0</v>
      </c>
      <c r="BB26" s="300">
        <f t="shared" si="31"/>
        <v>20.566353507230964</v>
      </c>
      <c r="BC26" s="301">
        <f t="shared" si="32"/>
        <v>0</v>
      </c>
      <c r="BD26" s="1080">
        <f t="shared" si="33"/>
        <v>0</v>
      </c>
      <c r="BE26" s="301">
        <f t="shared" si="34"/>
        <v>20.566353507230964</v>
      </c>
      <c r="BF26" s="104">
        <v>0</v>
      </c>
      <c r="BG26" s="302">
        <f t="shared" si="35"/>
        <v>20.566353507230964</v>
      </c>
      <c r="BI26" s="300">
        <f t="shared" si="36"/>
        <v>20.566353507230964</v>
      </c>
      <c r="BJ26" s="301">
        <f t="shared" si="37"/>
        <v>0</v>
      </c>
      <c r="BK26" s="1080">
        <f t="shared" si="38"/>
        <v>0</v>
      </c>
      <c r="BL26" s="301">
        <f t="shared" si="39"/>
        <v>20.566353507230964</v>
      </c>
      <c r="BM26" s="104">
        <v>0</v>
      </c>
      <c r="BN26" s="302">
        <f t="shared" si="40"/>
        <v>20.566353507230964</v>
      </c>
    </row>
    <row r="27" spans="1:66">
      <c r="A27" s="873">
        <f>'Input data'!A57</f>
        <v>1957</v>
      </c>
      <c r="B27" s="865">
        <f>'Input data'!B57</f>
        <v>6.6592707999999998</v>
      </c>
      <c r="C27" s="865">
        <f>'Baseline data (from input)'!B13</f>
        <v>578.73</v>
      </c>
      <c r="D27" s="777">
        <f>'Baseline data (from input)'!T13</f>
        <v>0.8</v>
      </c>
      <c r="E27" s="777">
        <f t="shared" si="41"/>
        <v>0.24001298204245269</v>
      </c>
      <c r="F27" s="777">
        <f t="shared" si="0"/>
        <v>0.30440139352934503</v>
      </c>
      <c r="G27" s="777">
        <f t="shared" si="0"/>
        <v>5.8998240613430578E-2</v>
      </c>
      <c r="H27" s="777">
        <f t="shared" si="0"/>
        <v>0</v>
      </c>
      <c r="I27" s="777">
        <f t="shared" si="0"/>
        <v>0</v>
      </c>
      <c r="J27" s="777">
        <f t="shared" si="0"/>
        <v>0</v>
      </c>
      <c r="K27" s="777">
        <f t="shared" si="0"/>
        <v>0.39658738381477154</v>
      </c>
      <c r="L27" s="874">
        <f t="shared" si="42"/>
        <v>0.99999999999999989</v>
      </c>
      <c r="M27" s="102"/>
      <c r="N27" s="914">
        <f t="shared" si="1"/>
        <v>3083.1358320672002</v>
      </c>
      <c r="O27" s="907">
        <f>Parameters!R128</f>
        <v>0.73</v>
      </c>
      <c r="P27" s="90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906">
        <f t="shared" si="2"/>
        <v>135.58322790666938</v>
      </c>
      <c r="R27" s="906">
        <f t="shared" si="3"/>
        <v>135.58322790666938</v>
      </c>
      <c r="S27" s="286">
        <f t="shared" si="4"/>
        <v>0</v>
      </c>
      <c r="T27" s="906">
        <f t="shared" si="5"/>
        <v>833.14451777764657</v>
      </c>
      <c r="U27" s="906">
        <f t="shared" si="6"/>
        <v>35.764732121158509</v>
      </c>
      <c r="V27" s="915">
        <f t="shared" si="7"/>
        <v>23.843154747439005</v>
      </c>
      <c r="W27" s="1450">
        <f t="shared" si="8"/>
        <v>0.13527885904981399</v>
      </c>
      <c r="X27" s="914">
        <f>'Baseline data (from input)'!AS13*W27</f>
        <v>0</v>
      </c>
      <c r="Y27" s="907">
        <f>Parameters!S128</f>
        <v>0.71500000000000008</v>
      </c>
      <c r="Z27" s="907">
        <f t="shared" si="9"/>
        <v>0.4</v>
      </c>
      <c r="AA27" s="906">
        <f t="shared" si="10"/>
        <v>0</v>
      </c>
      <c r="AB27" s="906">
        <f t="shared" si="11"/>
        <v>0</v>
      </c>
      <c r="AC27" s="286">
        <f t="shared" si="12"/>
        <v>0</v>
      </c>
      <c r="AD27" s="906">
        <f t="shared" si="13"/>
        <v>0</v>
      </c>
      <c r="AE27" s="906">
        <f t="shared" si="14"/>
        <v>0</v>
      </c>
      <c r="AF27" s="915">
        <f t="shared" si="15"/>
        <v>0</v>
      </c>
      <c r="AG27" s="1450">
        <f t="shared" si="16"/>
        <v>0.13527885904981399</v>
      </c>
      <c r="AH27" s="914">
        <f>'Baseline data (from input)'!AS13*AG27</f>
        <v>0</v>
      </c>
      <c r="AI27" s="907">
        <f>Parameters!S128</f>
        <v>0.71500000000000008</v>
      </c>
      <c r="AJ27" s="907">
        <f t="shared" si="17"/>
        <v>0.4</v>
      </c>
      <c r="AK27" s="906">
        <f t="shared" si="18"/>
        <v>0</v>
      </c>
      <c r="AL27" s="906">
        <f t="shared" si="19"/>
        <v>0</v>
      </c>
      <c r="AM27" s="286">
        <f t="shared" si="20"/>
        <v>0</v>
      </c>
      <c r="AN27" s="906">
        <f t="shared" si="21"/>
        <v>0</v>
      </c>
      <c r="AO27" s="906">
        <f t="shared" si="22"/>
        <v>0</v>
      </c>
      <c r="AP27" s="915">
        <f t="shared" si="23"/>
        <v>0</v>
      </c>
      <c r="AR27" s="914">
        <v>0</v>
      </c>
      <c r="AS27" s="907">
        <v>1</v>
      </c>
      <c r="AT27" s="907">
        <f t="shared" si="24"/>
        <v>0.05</v>
      </c>
      <c r="AU27" s="906">
        <f t="shared" si="25"/>
        <v>0</v>
      </c>
      <c r="AV27" s="906">
        <f t="shared" si="26"/>
        <v>0</v>
      </c>
      <c r="AW27" s="286">
        <f t="shared" si="27"/>
        <v>0</v>
      </c>
      <c r="AX27" s="922">
        <f t="shared" si="28"/>
        <v>0</v>
      </c>
      <c r="AY27" s="922">
        <f t="shared" si="29"/>
        <v>0</v>
      </c>
      <c r="AZ27" s="915">
        <f t="shared" si="30"/>
        <v>0</v>
      </c>
      <c r="BB27" s="300">
        <f t="shared" si="31"/>
        <v>23.843154747439005</v>
      </c>
      <c r="BC27" s="301">
        <f t="shared" si="32"/>
        <v>0</v>
      </c>
      <c r="BD27" s="1080">
        <f t="shared" si="33"/>
        <v>0</v>
      </c>
      <c r="BE27" s="301">
        <f t="shared" si="34"/>
        <v>23.843154747439005</v>
      </c>
      <c r="BF27" s="104">
        <v>0</v>
      </c>
      <c r="BG27" s="302">
        <f t="shared" si="35"/>
        <v>23.843154747439005</v>
      </c>
      <c r="BI27" s="300">
        <f t="shared" si="36"/>
        <v>23.843154747439005</v>
      </c>
      <c r="BJ27" s="301">
        <f t="shared" si="37"/>
        <v>0</v>
      </c>
      <c r="BK27" s="1080">
        <f t="shared" si="38"/>
        <v>0</v>
      </c>
      <c r="BL27" s="301">
        <f t="shared" si="39"/>
        <v>23.843154747439005</v>
      </c>
      <c r="BM27" s="104">
        <v>0</v>
      </c>
      <c r="BN27" s="302">
        <f t="shared" si="40"/>
        <v>23.843154747439005</v>
      </c>
    </row>
    <row r="28" spans="1:66">
      <c r="A28" s="873">
        <f>'Input data'!A58</f>
        <v>1958</v>
      </c>
      <c r="B28" s="865">
        <f>'Input data'!B58</f>
        <v>6.8699176</v>
      </c>
      <c r="C28" s="865">
        <f>'Baseline data (from input)'!B14</f>
        <v>578.73</v>
      </c>
      <c r="D28" s="777">
        <f>'Baseline data (from input)'!T14</f>
        <v>0.8</v>
      </c>
      <c r="E28" s="777">
        <f t="shared" si="41"/>
        <v>0.24001298204245269</v>
      </c>
      <c r="F28" s="777">
        <f t="shared" si="0"/>
        <v>0.30440139352934503</v>
      </c>
      <c r="G28" s="777">
        <f t="shared" si="0"/>
        <v>5.8998240613430578E-2</v>
      </c>
      <c r="H28" s="777">
        <f t="shared" si="0"/>
        <v>0</v>
      </c>
      <c r="I28" s="777">
        <f t="shared" si="0"/>
        <v>0</v>
      </c>
      <c r="J28" s="777">
        <f t="shared" si="0"/>
        <v>0</v>
      </c>
      <c r="K28" s="777">
        <f t="shared" si="0"/>
        <v>0.39658738381477154</v>
      </c>
      <c r="L28" s="874">
        <f t="shared" si="42"/>
        <v>0.99999999999999989</v>
      </c>
      <c r="M28" s="102"/>
      <c r="N28" s="914">
        <f t="shared" si="1"/>
        <v>3180.6619301184001</v>
      </c>
      <c r="O28" s="907">
        <f>Parameters!R129</f>
        <v>0.73</v>
      </c>
      <c r="P28" s="90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906">
        <f t="shared" si="2"/>
        <v>139.87201176153388</v>
      </c>
      <c r="R28" s="906">
        <f t="shared" si="3"/>
        <v>139.87201176153388</v>
      </c>
      <c r="S28" s="286">
        <f t="shared" si="4"/>
        <v>0</v>
      </c>
      <c r="T28" s="906">
        <f t="shared" si="5"/>
        <v>932.38359193308952</v>
      </c>
      <c r="U28" s="906">
        <f t="shared" si="6"/>
        <v>40.632937606090927</v>
      </c>
      <c r="V28" s="915">
        <f t="shared" si="7"/>
        <v>27.088625070727286</v>
      </c>
      <c r="W28" s="1450">
        <f t="shared" si="8"/>
        <v>0.13527885904981399</v>
      </c>
      <c r="X28" s="914">
        <f>'Baseline data (from input)'!AS14*W28</f>
        <v>0</v>
      </c>
      <c r="Y28" s="907">
        <f>Parameters!S129</f>
        <v>0.71500000000000008</v>
      </c>
      <c r="Z28" s="907">
        <f t="shared" si="9"/>
        <v>0.4</v>
      </c>
      <c r="AA28" s="906">
        <f t="shared" si="10"/>
        <v>0</v>
      </c>
      <c r="AB28" s="906">
        <f t="shared" si="11"/>
        <v>0</v>
      </c>
      <c r="AC28" s="286">
        <f t="shared" si="12"/>
        <v>0</v>
      </c>
      <c r="AD28" s="906">
        <f t="shared" si="13"/>
        <v>0</v>
      </c>
      <c r="AE28" s="906">
        <f t="shared" si="14"/>
        <v>0</v>
      </c>
      <c r="AF28" s="915">
        <f t="shared" si="15"/>
        <v>0</v>
      </c>
      <c r="AG28" s="1450">
        <f t="shared" si="16"/>
        <v>0.13527885904981399</v>
      </c>
      <c r="AH28" s="914">
        <f>'Baseline data (from input)'!AS14*AG28</f>
        <v>0</v>
      </c>
      <c r="AI28" s="907">
        <f>Parameters!S129</f>
        <v>0.71500000000000008</v>
      </c>
      <c r="AJ28" s="907">
        <f t="shared" si="17"/>
        <v>0.4</v>
      </c>
      <c r="AK28" s="906">
        <f t="shared" si="18"/>
        <v>0</v>
      </c>
      <c r="AL28" s="906">
        <f t="shared" si="19"/>
        <v>0</v>
      </c>
      <c r="AM28" s="286">
        <f t="shared" si="20"/>
        <v>0</v>
      </c>
      <c r="AN28" s="906">
        <f t="shared" si="21"/>
        <v>0</v>
      </c>
      <c r="AO28" s="906">
        <f t="shared" si="22"/>
        <v>0</v>
      </c>
      <c r="AP28" s="915">
        <f t="shared" si="23"/>
        <v>0</v>
      </c>
      <c r="AR28" s="914">
        <v>0</v>
      </c>
      <c r="AS28" s="907">
        <v>1</v>
      </c>
      <c r="AT28" s="907">
        <f t="shared" si="24"/>
        <v>0.05</v>
      </c>
      <c r="AU28" s="906">
        <f t="shared" si="25"/>
        <v>0</v>
      </c>
      <c r="AV28" s="906">
        <f t="shared" si="26"/>
        <v>0</v>
      </c>
      <c r="AW28" s="286">
        <f t="shared" si="27"/>
        <v>0</v>
      </c>
      <c r="AX28" s="922">
        <f t="shared" si="28"/>
        <v>0</v>
      </c>
      <c r="AY28" s="922">
        <f t="shared" si="29"/>
        <v>0</v>
      </c>
      <c r="AZ28" s="915">
        <f t="shared" si="30"/>
        <v>0</v>
      </c>
      <c r="BB28" s="300">
        <f t="shared" si="31"/>
        <v>27.088625070727286</v>
      </c>
      <c r="BC28" s="301">
        <f t="shared" si="32"/>
        <v>0</v>
      </c>
      <c r="BD28" s="1080">
        <f t="shared" si="33"/>
        <v>0</v>
      </c>
      <c r="BE28" s="301">
        <f t="shared" si="34"/>
        <v>27.088625070727286</v>
      </c>
      <c r="BF28" s="104">
        <v>0</v>
      </c>
      <c r="BG28" s="302">
        <f t="shared" si="35"/>
        <v>27.088625070727286</v>
      </c>
      <c r="BI28" s="300">
        <f t="shared" si="36"/>
        <v>27.088625070727286</v>
      </c>
      <c r="BJ28" s="301">
        <f t="shared" si="37"/>
        <v>0</v>
      </c>
      <c r="BK28" s="1080">
        <f t="shared" si="38"/>
        <v>0</v>
      </c>
      <c r="BL28" s="301">
        <f t="shared" si="39"/>
        <v>27.088625070727286</v>
      </c>
      <c r="BM28" s="104">
        <v>0</v>
      </c>
      <c r="BN28" s="302">
        <f t="shared" si="40"/>
        <v>27.088625070727286</v>
      </c>
    </row>
    <row r="29" spans="1:66">
      <c r="A29" s="873">
        <f>'Input data'!A59</f>
        <v>1959</v>
      </c>
      <c r="B29" s="865">
        <f>'Input data'!B59</f>
        <v>7.0827593200000001</v>
      </c>
      <c r="C29" s="865">
        <f>'Baseline data (from input)'!B15</f>
        <v>578.73</v>
      </c>
      <c r="D29" s="777">
        <f>'Baseline data (from input)'!T15</f>
        <v>0.8</v>
      </c>
      <c r="E29" s="777">
        <f t="shared" si="41"/>
        <v>0.24001298204245269</v>
      </c>
      <c r="F29" s="777">
        <f t="shared" si="0"/>
        <v>0.30440139352934503</v>
      </c>
      <c r="G29" s="777">
        <f t="shared" si="0"/>
        <v>5.8998240613430578E-2</v>
      </c>
      <c r="H29" s="777">
        <f t="shared" si="0"/>
        <v>0</v>
      </c>
      <c r="I29" s="777">
        <f t="shared" si="0"/>
        <v>0</v>
      </c>
      <c r="J29" s="777">
        <f t="shared" si="0"/>
        <v>0</v>
      </c>
      <c r="K29" s="777">
        <f t="shared" si="0"/>
        <v>0.39658738381477154</v>
      </c>
      <c r="L29" s="874">
        <f t="shared" si="42"/>
        <v>0.99999999999999989</v>
      </c>
      <c r="M29" s="102"/>
      <c r="N29" s="914">
        <f t="shared" si="1"/>
        <v>3279.2042410108802</v>
      </c>
      <c r="O29" s="907">
        <f>Parameters!R130</f>
        <v>0.73</v>
      </c>
      <c r="P29" s="90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906">
        <f t="shared" si="2"/>
        <v>144.20548434396852</v>
      </c>
      <c r="R29" s="906">
        <f t="shared" si="3"/>
        <v>144.20548434396852</v>
      </c>
      <c r="S29" s="286">
        <f t="shared" si="4"/>
        <v>0</v>
      </c>
      <c r="T29" s="906">
        <f t="shared" si="5"/>
        <v>1031.1161919123899</v>
      </c>
      <c r="U29" s="906">
        <f t="shared" si="6"/>
        <v>45.472884364668197</v>
      </c>
      <c r="V29" s="915">
        <f t="shared" si="7"/>
        <v>30.315256243112131</v>
      </c>
      <c r="W29" s="1450">
        <f t="shared" si="8"/>
        <v>0.13527885904981399</v>
      </c>
      <c r="X29" s="914">
        <f>'Baseline data (from input)'!AS15*W29</f>
        <v>0</v>
      </c>
      <c r="Y29" s="907">
        <f>Parameters!S130</f>
        <v>0.71500000000000008</v>
      </c>
      <c r="Z29" s="907">
        <f t="shared" si="9"/>
        <v>0.4</v>
      </c>
      <c r="AA29" s="906">
        <f t="shared" si="10"/>
        <v>0</v>
      </c>
      <c r="AB29" s="906">
        <f t="shared" si="11"/>
        <v>0</v>
      </c>
      <c r="AC29" s="286">
        <f t="shared" si="12"/>
        <v>0</v>
      </c>
      <c r="AD29" s="906">
        <f t="shared" si="13"/>
        <v>0</v>
      </c>
      <c r="AE29" s="906">
        <f t="shared" si="14"/>
        <v>0</v>
      </c>
      <c r="AF29" s="915">
        <f t="shared" si="15"/>
        <v>0</v>
      </c>
      <c r="AG29" s="1450">
        <f t="shared" si="16"/>
        <v>0.13527885904981399</v>
      </c>
      <c r="AH29" s="914">
        <f>'Baseline data (from input)'!AS15*AG29</f>
        <v>0</v>
      </c>
      <c r="AI29" s="907">
        <f>Parameters!S130</f>
        <v>0.71500000000000008</v>
      </c>
      <c r="AJ29" s="907">
        <f t="shared" si="17"/>
        <v>0.4</v>
      </c>
      <c r="AK29" s="906">
        <f t="shared" si="18"/>
        <v>0</v>
      </c>
      <c r="AL29" s="906">
        <f t="shared" si="19"/>
        <v>0</v>
      </c>
      <c r="AM29" s="286">
        <f t="shared" si="20"/>
        <v>0</v>
      </c>
      <c r="AN29" s="906">
        <f t="shared" si="21"/>
        <v>0</v>
      </c>
      <c r="AO29" s="906">
        <f t="shared" si="22"/>
        <v>0</v>
      </c>
      <c r="AP29" s="915">
        <f t="shared" si="23"/>
        <v>0</v>
      </c>
      <c r="AR29" s="914">
        <v>0</v>
      </c>
      <c r="AS29" s="907">
        <v>1</v>
      </c>
      <c r="AT29" s="907">
        <f t="shared" si="24"/>
        <v>0.05</v>
      </c>
      <c r="AU29" s="906">
        <f t="shared" si="25"/>
        <v>0</v>
      </c>
      <c r="AV29" s="906">
        <f t="shared" si="26"/>
        <v>0</v>
      </c>
      <c r="AW29" s="286">
        <f t="shared" si="27"/>
        <v>0</v>
      </c>
      <c r="AX29" s="922">
        <f t="shared" si="28"/>
        <v>0</v>
      </c>
      <c r="AY29" s="922">
        <f t="shared" si="29"/>
        <v>0</v>
      </c>
      <c r="AZ29" s="915">
        <f t="shared" si="30"/>
        <v>0</v>
      </c>
      <c r="BB29" s="300">
        <f t="shared" si="31"/>
        <v>30.315256243112131</v>
      </c>
      <c r="BC29" s="301">
        <f t="shared" si="32"/>
        <v>0</v>
      </c>
      <c r="BD29" s="1080">
        <f t="shared" si="33"/>
        <v>0</v>
      </c>
      <c r="BE29" s="301">
        <f t="shared" si="34"/>
        <v>30.315256243112131</v>
      </c>
      <c r="BF29" s="104">
        <v>0</v>
      </c>
      <c r="BG29" s="302">
        <f t="shared" si="35"/>
        <v>30.315256243112131</v>
      </c>
      <c r="BI29" s="300">
        <f t="shared" si="36"/>
        <v>30.315256243112131</v>
      </c>
      <c r="BJ29" s="301">
        <f t="shared" si="37"/>
        <v>0</v>
      </c>
      <c r="BK29" s="1080">
        <f t="shared" si="38"/>
        <v>0</v>
      </c>
      <c r="BL29" s="301">
        <f t="shared" si="39"/>
        <v>30.315256243112131</v>
      </c>
      <c r="BM29" s="104">
        <v>0</v>
      </c>
      <c r="BN29" s="302">
        <f t="shared" si="40"/>
        <v>30.315256243112131</v>
      </c>
    </row>
    <row r="30" spans="1:66">
      <c r="A30" s="873">
        <f>'Input data'!A60</f>
        <v>1960</v>
      </c>
      <c r="B30" s="865">
        <f>'Input data'!B60</f>
        <v>7.2819655999999995</v>
      </c>
      <c r="C30" s="865">
        <f>'Baseline data (from input)'!B16</f>
        <v>578.73</v>
      </c>
      <c r="D30" s="777">
        <f>'Baseline data (from input)'!T16</f>
        <v>0.8</v>
      </c>
      <c r="E30" s="777">
        <f t="shared" si="41"/>
        <v>0.24001298204245269</v>
      </c>
      <c r="F30" s="777">
        <f t="shared" si="0"/>
        <v>0.30440139352934503</v>
      </c>
      <c r="G30" s="777">
        <f t="shared" si="0"/>
        <v>5.8998240613430578E-2</v>
      </c>
      <c r="H30" s="777">
        <f t="shared" si="0"/>
        <v>0</v>
      </c>
      <c r="I30" s="777">
        <f t="shared" si="0"/>
        <v>0</v>
      </c>
      <c r="J30" s="777">
        <f t="shared" si="0"/>
        <v>0</v>
      </c>
      <c r="K30" s="777">
        <f t="shared" si="0"/>
        <v>0.39658738381477154</v>
      </c>
      <c r="L30" s="874">
        <f t="shared" si="42"/>
        <v>0.99999999999999989</v>
      </c>
      <c r="M30" s="102"/>
      <c r="N30" s="914">
        <f t="shared" si="1"/>
        <v>3371.4335613504004</v>
      </c>
      <c r="O30" s="907">
        <f>Parameters!R131</f>
        <v>0.73</v>
      </c>
      <c r="P30" s="90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906">
        <f t="shared" si="2"/>
        <v>148.26133839658939</v>
      </c>
      <c r="R30" s="906">
        <f t="shared" si="3"/>
        <v>148.26133839658939</v>
      </c>
      <c r="S30" s="286">
        <f t="shared" si="4"/>
        <v>0</v>
      </c>
      <c r="T30" s="906">
        <f t="shared" si="5"/>
        <v>1129.0894002227799</v>
      </c>
      <c r="U30" s="906">
        <f t="shared" si="6"/>
        <v>50.288130086199466</v>
      </c>
      <c r="V30" s="915">
        <f t="shared" si="7"/>
        <v>33.525420057466313</v>
      </c>
      <c r="W30" s="1450">
        <f t="shared" si="8"/>
        <v>0.13527885904981399</v>
      </c>
      <c r="X30" s="914">
        <f>'Baseline data (from input)'!AS16*W30</f>
        <v>0</v>
      </c>
      <c r="Y30" s="907">
        <f>Parameters!S131</f>
        <v>0.71500000000000008</v>
      </c>
      <c r="Z30" s="907">
        <f t="shared" si="9"/>
        <v>0.4</v>
      </c>
      <c r="AA30" s="906">
        <f t="shared" si="10"/>
        <v>0</v>
      </c>
      <c r="AB30" s="906">
        <f t="shared" si="11"/>
        <v>0</v>
      </c>
      <c r="AC30" s="286">
        <f t="shared" si="12"/>
        <v>0</v>
      </c>
      <c r="AD30" s="906">
        <f t="shared" si="13"/>
        <v>0</v>
      </c>
      <c r="AE30" s="906">
        <f t="shared" si="14"/>
        <v>0</v>
      </c>
      <c r="AF30" s="915">
        <f t="shared" si="15"/>
        <v>0</v>
      </c>
      <c r="AG30" s="1450">
        <f t="shared" si="16"/>
        <v>0.13527885904981399</v>
      </c>
      <c r="AH30" s="914">
        <f>'Baseline data (from input)'!AS16*AG30</f>
        <v>0</v>
      </c>
      <c r="AI30" s="907">
        <f>Parameters!S131</f>
        <v>0.71500000000000008</v>
      </c>
      <c r="AJ30" s="907">
        <f t="shared" si="17"/>
        <v>0.4</v>
      </c>
      <c r="AK30" s="906">
        <f t="shared" si="18"/>
        <v>0</v>
      </c>
      <c r="AL30" s="906">
        <f t="shared" si="19"/>
        <v>0</v>
      </c>
      <c r="AM30" s="286">
        <f t="shared" si="20"/>
        <v>0</v>
      </c>
      <c r="AN30" s="906">
        <f t="shared" si="21"/>
        <v>0</v>
      </c>
      <c r="AO30" s="906">
        <f t="shared" si="22"/>
        <v>0</v>
      </c>
      <c r="AP30" s="915">
        <f t="shared" si="23"/>
        <v>0</v>
      </c>
      <c r="AR30" s="914">
        <v>0</v>
      </c>
      <c r="AS30" s="907">
        <v>1</v>
      </c>
      <c r="AT30" s="907">
        <f t="shared" si="24"/>
        <v>0.05</v>
      </c>
      <c r="AU30" s="906">
        <f t="shared" si="25"/>
        <v>0</v>
      </c>
      <c r="AV30" s="906">
        <f t="shared" si="26"/>
        <v>0</v>
      </c>
      <c r="AW30" s="286">
        <f t="shared" si="27"/>
        <v>0</v>
      </c>
      <c r="AX30" s="922">
        <f t="shared" si="28"/>
        <v>0</v>
      </c>
      <c r="AY30" s="922">
        <f t="shared" si="29"/>
        <v>0</v>
      </c>
      <c r="AZ30" s="915">
        <f t="shared" si="30"/>
        <v>0</v>
      </c>
      <c r="BB30" s="300">
        <f t="shared" si="31"/>
        <v>33.525420057466313</v>
      </c>
      <c r="BC30" s="301">
        <f t="shared" si="32"/>
        <v>0</v>
      </c>
      <c r="BD30" s="1080">
        <f t="shared" si="33"/>
        <v>0</v>
      </c>
      <c r="BE30" s="301">
        <f t="shared" si="34"/>
        <v>33.525420057466313</v>
      </c>
      <c r="BF30" s="104">
        <v>0</v>
      </c>
      <c r="BG30" s="302">
        <f t="shared" si="35"/>
        <v>33.525420057466313</v>
      </c>
      <c r="BI30" s="300">
        <f t="shared" si="36"/>
        <v>33.525420057466313</v>
      </c>
      <c r="BJ30" s="301">
        <f t="shared" si="37"/>
        <v>0</v>
      </c>
      <c r="BK30" s="1080">
        <f t="shared" si="38"/>
        <v>0</v>
      </c>
      <c r="BL30" s="301">
        <f t="shared" si="39"/>
        <v>33.525420057466313</v>
      </c>
      <c r="BM30" s="104">
        <v>0</v>
      </c>
      <c r="BN30" s="302">
        <f t="shared" si="40"/>
        <v>33.525420057466313</v>
      </c>
    </row>
    <row r="31" spans="1:66">
      <c r="A31" s="873">
        <f>'Input data'!A61</f>
        <v>1961</v>
      </c>
      <c r="B31" s="865">
        <f>'Input data'!B61</f>
        <v>7.6498422000000001</v>
      </c>
      <c r="C31" s="865">
        <f>'Baseline data (from input)'!B17</f>
        <v>578.73</v>
      </c>
      <c r="D31" s="777">
        <f>'Baseline data (from input)'!T17</f>
        <v>0.8</v>
      </c>
      <c r="E31" s="777">
        <f t="shared" si="41"/>
        <v>0.24001298204245269</v>
      </c>
      <c r="F31" s="777">
        <f t="shared" si="0"/>
        <v>0.30440139352934503</v>
      </c>
      <c r="G31" s="777">
        <f t="shared" si="0"/>
        <v>5.8998240613430578E-2</v>
      </c>
      <c r="H31" s="777">
        <f t="shared" si="0"/>
        <v>0</v>
      </c>
      <c r="I31" s="777">
        <f t="shared" si="0"/>
        <v>0</v>
      </c>
      <c r="J31" s="777">
        <f t="shared" si="0"/>
        <v>0</v>
      </c>
      <c r="K31" s="777">
        <f t="shared" si="0"/>
        <v>0.39658738381477154</v>
      </c>
      <c r="L31" s="874">
        <f t="shared" si="42"/>
        <v>0.99999999999999989</v>
      </c>
      <c r="M31" s="102"/>
      <c r="N31" s="914">
        <f t="shared" si="1"/>
        <v>3541.7545411248002</v>
      </c>
      <c r="O31" s="907">
        <f>Parameters!R132</f>
        <v>0.73</v>
      </c>
      <c r="P31" s="90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906">
        <f t="shared" si="2"/>
        <v>155.7513321807933</v>
      </c>
      <c r="R31" s="906">
        <f t="shared" si="3"/>
        <v>155.7513321807933</v>
      </c>
      <c r="S31" s="286">
        <f t="shared" si="4"/>
        <v>0</v>
      </c>
      <c r="T31" s="906">
        <f t="shared" si="5"/>
        <v>1229.7743925645646</v>
      </c>
      <c r="U31" s="906">
        <f t="shared" si="6"/>
        <v>55.066339839008613</v>
      </c>
      <c r="V31" s="915">
        <f t="shared" si="7"/>
        <v>36.710893226005744</v>
      </c>
      <c r="W31" s="1450">
        <f t="shared" si="8"/>
        <v>0.13527885904981399</v>
      </c>
      <c r="X31" s="914">
        <f>'Baseline data (from input)'!AS17*W31</f>
        <v>2020.7298116560614</v>
      </c>
      <c r="Y31" s="907">
        <f>Parameters!S132</f>
        <v>0.71500000000000008</v>
      </c>
      <c r="Z31" s="907">
        <f t="shared" si="9"/>
        <v>0.4</v>
      </c>
      <c r="AA31" s="906">
        <f t="shared" si="10"/>
        <v>288.96436306681687</v>
      </c>
      <c r="AB31" s="906">
        <f t="shared" si="11"/>
        <v>288.96436306681687</v>
      </c>
      <c r="AC31" s="286">
        <f t="shared" si="12"/>
        <v>0</v>
      </c>
      <c r="AD31" s="906">
        <f t="shared" si="13"/>
        <v>288.96436306681687</v>
      </c>
      <c r="AE31" s="906">
        <f t="shared" si="14"/>
        <v>0</v>
      </c>
      <c r="AF31" s="915">
        <f t="shared" si="15"/>
        <v>0</v>
      </c>
      <c r="AG31" s="1450">
        <f t="shared" si="16"/>
        <v>0.13527885904981399</v>
      </c>
      <c r="AH31" s="914">
        <f>'Baseline data (from input)'!AS17*AG31</f>
        <v>2020.7298116560614</v>
      </c>
      <c r="AI31" s="907">
        <f>Parameters!S132</f>
        <v>0.71500000000000008</v>
      </c>
      <c r="AJ31" s="907">
        <f t="shared" si="17"/>
        <v>0.4</v>
      </c>
      <c r="AK31" s="906">
        <f t="shared" si="18"/>
        <v>288.96436306681687</v>
      </c>
      <c r="AL31" s="906">
        <f t="shared" si="19"/>
        <v>288.96436306681687</v>
      </c>
      <c r="AM31" s="286">
        <f t="shared" si="20"/>
        <v>0</v>
      </c>
      <c r="AN31" s="906">
        <f t="shared" si="21"/>
        <v>288.96436306681687</v>
      </c>
      <c r="AO31" s="906">
        <f t="shared" si="22"/>
        <v>0</v>
      </c>
      <c r="AP31" s="915">
        <f t="shared" si="23"/>
        <v>0</v>
      </c>
      <c r="AR31" s="914">
        <v>0</v>
      </c>
      <c r="AS31" s="907">
        <v>1</v>
      </c>
      <c r="AT31" s="907">
        <f t="shared" si="24"/>
        <v>0.05</v>
      </c>
      <c r="AU31" s="906">
        <f t="shared" si="25"/>
        <v>0</v>
      </c>
      <c r="AV31" s="906">
        <f t="shared" si="26"/>
        <v>0</v>
      </c>
      <c r="AW31" s="286">
        <f t="shared" si="27"/>
        <v>0</v>
      </c>
      <c r="AX31" s="922">
        <f t="shared" si="28"/>
        <v>0</v>
      </c>
      <c r="AY31" s="922">
        <f t="shared" si="29"/>
        <v>0</v>
      </c>
      <c r="AZ31" s="915">
        <f t="shared" si="30"/>
        <v>0</v>
      </c>
      <c r="BB31" s="300">
        <f t="shared" si="31"/>
        <v>36.710893226005744</v>
      </c>
      <c r="BC31" s="301">
        <f t="shared" si="32"/>
        <v>0</v>
      </c>
      <c r="BD31" s="1080">
        <f t="shared" si="33"/>
        <v>0</v>
      </c>
      <c r="BE31" s="301">
        <f t="shared" si="34"/>
        <v>36.710893226005744</v>
      </c>
      <c r="BF31" s="104">
        <v>0</v>
      </c>
      <c r="BG31" s="302">
        <f t="shared" si="35"/>
        <v>36.710893226005744</v>
      </c>
      <c r="BI31" s="300">
        <f t="shared" si="36"/>
        <v>36.710893226005744</v>
      </c>
      <c r="BJ31" s="301">
        <f t="shared" si="37"/>
        <v>0</v>
      </c>
      <c r="BK31" s="1080">
        <f t="shared" si="38"/>
        <v>0</v>
      </c>
      <c r="BL31" s="301">
        <f t="shared" si="39"/>
        <v>36.710893226005744</v>
      </c>
      <c r="BM31" s="104">
        <v>0</v>
      </c>
      <c r="BN31" s="302">
        <f t="shared" si="40"/>
        <v>36.710893226005744</v>
      </c>
    </row>
    <row r="32" spans="1:66">
      <c r="A32" s="873">
        <f>'Input data'!A62</f>
        <v>1962</v>
      </c>
      <c r="B32" s="865">
        <f>'Input data'!B62</f>
        <v>7.8559936000000006</v>
      </c>
      <c r="C32" s="865">
        <f>'Baseline data (from input)'!B18</f>
        <v>578.73</v>
      </c>
      <c r="D32" s="777">
        <f>'Baseline data (from input)'!T18</f>
        <v>0.8</v>
      </c>
      <c r="E32" s="777">
        <f t="shared" si="41"/>
        <v>0.24001298204245269</v>
      </c>
      <c r="F32" s="777">
        <f t="shared" si="0"/>
        <v>0.30440139352934503</v>
      </c>
      <c r="G32" s="777">
        <f t="shared" si="0"/>
        <v>5.8998240613430578E-2</v>
      </c>
      <c r="H32" s="777">
        <f t="shared" si="0"/>
        <v>0</v>
      </c>
      <c r="I32" s="777">
        <f t="shared" si="0"/>
        <v>0</v>
      </c>
      <c r="J32" s="777">
        <f t="shared" si="0"/>
        <v>0</v>
      </c>
      <c r="K32" s="777">
        <f t="shared" si="0"/>
        <v>0.39658738381477154</v>
      </c>
      <c r="L32" s="874">
        <f t="shared" si="42"/>
        <v>0.99999999999999989</v>
      </c>
      <c r="M32" s="102"/>
      <c r="N32" s="914">
        <f t="shared" si="1"/>
        <v>3637.1993409024008</v>
      </c>
      <c r="O32" s="907">
        <f>Parameters!R133</f>
        <v>0.73</v>
      </c>
      <c r="P32" s="90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906">
        <f t="shared" si="2"/>
        <v>159.94858937139728</v>
      </c>
      <c r="R32" s="906">
        <f t="shared" si="3"/>
        <v>159.94858937139728</v>
      </c>
      <c r="S32" s="286">
        <f t="shared" si="4"/>
        <v>0</v>
      </c>
      <c r="T32" s="906">
        <f t="shared" si="5"/>
        <v>1329.7461770763032</v>
      </c>
      <c r="U32" s="906">
        <f t="shared" si="6"/>
        <v>59.976804859658657</v>
      </c>
      <c r="V32" s="915">
        <f t="shared" si="7"/>
        <v>39.984536573105771</v>
      </c>
      <c r="W32" s="1450">
        <f t="shared" si="8"/>
        <v>0.13527885904981399</v>
      </c>
      <c r="X32" s="914">
        <f>'Baseline data (from input)'!AS18*W32</f>
        <v>2145.5681370859866</v>
      </c>
      <c r="Y32" s="907">
        <f>Parameters!S133</f>
        <v>0.71500000000000008</v>
      </c>
      <c r="Z32" s="907">
        <f t="shared" si="9"/>
        <v>0.4</v>
      </c>
      <c r="AA32" s="906">
        <f t="shared" si="10"/>
        <v>306.81624360329613</v>
      </c>
      <c r="AB32" s="906">
        <f t="shared" si="11"/>
        <v>306.81624360329613</v>
      </c>
      <c r="AC32" s="286">
        <f t="shared" si="12"/>
        <v>0</v>
      </c>
      <c r="AD32" s="906">
        <f t="shared" si="13"/>
        <v>581.68764838455968</v>
      </c>
      <c r="AE32" s="906">
        <f t="shared" si="14"/>
        <v>14.092958285553278</v>
      </c>
      <c r="AF32" s="915">
        <f t="shared" si="15"/>
        <v>9.3953055237021861</v>
      </c>
      <c r="AG32" s="1450">
        <f t="shared" si="16"/>
        <v>0.13527885904981399</v>
      </c>
      <c r="AH32" s="914">
        <f>'Baseline data (from input)'!AS18*AG32</f>
        <v>2145.5681370859866</v>
      </c>
      <c r="AI32" s="907">
        <f>Parameters!S133</f>
        <v>0.71500000000000008</v>
      </c>
      <c r="AJ32" s="907">
        <f t="shared" si="17"/>
        <v>0.4</v>
      </c>
      <c r="AK32" s="906">
        <f t="shared" si="18"/>
        <v>306.81624360329613</v>
      </c>
      <c r="AL32" s="906">
        <f t="shared" si="19"/>
        <v>306.81624360329613</v>
      </c>
      <c r="AM32" s="286">
        <f t="shared" si="20"/>
        <v>0</v>
      </c>
      <c r="AN32" s="906">
        <f t="shared" si="21"/>
        <v>581.68764838455968</v>
      </c>
      <c r="AO32" s="906">
        <f t="shared" si="22"/>
        <v>14.092958285553278</v>
      </c>
      <c r="AP32" s="915">
        <f t="shared" si="23"/>
        <v>9.3953055237021861</v>
      </c>
      <c r="AR32" s="914">
        <v>0</v>
      </c>
      <c r="AS32" s="907">
        <v>1</v>
      </c>
      <c r="AT32" s="907">
        <f t="shared" si="24"/>
        <v>0.05</v>
      </c>
      <c r="AU32" s="906">
        <f t="shared" si="25"/>
        <v>0</v>
      </c>
      <c r="AV32" s="906">
        <f t="shared" si="26"/>
        <v>0</v>
      </c>
      <c r="AW32" s="286">
        <f t="shared" si="27"/>
        <v>0</v>
      </c>
      <c r="AX32" s="922">
        <f t="shared" si="28"/>
        <v>0</v>
      </c>
      <c r="AY32" s="922">
        <f t="shared" si="29"/>
        <v>0</v>
      </c>
      <c r="AZ32" s="915">
        <f t="shared" si="30"/>
        <v>0</v>
      </c>
      <c r="BB32" s="300">
        <f t="shared" si="31"/>
        <v>39.984536573105771</v>
      </c>
      <c r="BC32" s="301">
        <f t="shared" si="32"/>
        <v>9.3953055237021861</v>
      </c>
      <c r="BD32" s="1080">
        <f t="shared" si="33"/>
        <v>0</v>
      </c>
      <c r="BE32" s="301">
        <f t="shared" si="34"/>
        <v>49.379842096807955</v>
      </c>
      <c r="BF32" s="104">
        <v>0</v>
      </c>
      <c r="BG32" s="302">
        <f t="shared" si="35"/>
        <v>49.379842096807955</v>
      </c>
      <c r="BI32" s="300">
        <f t="shared" si="36"/>
        <v>39.984536573105771</v>
      </c>
      <c r="BJ32" s="301">
        <f t="shared" si="37"/>
        <v>9.3953055237021861</v>
      </c>
      <c r="BK32" s="1080">
        <f t="shared" si="38"/>
        <v>0</v>
      </c>
      <c r="BL32" s="301">
        <f t="shared" si="39"/>
        <v>49.379842096807955</v>
      </c>
      <c r="BM32" s="104">
        <v>0</v>
      </c>
      <c r="BN32" s="302">
        <f t="shared" si="40"/>
        <v>49.379842096807955</v>
      </c>
    </row>
    <row r="33" spans="1:66">
      <c r="A33" s="127">
        <f>'Input data'!A63</f>
        <v>1963</v>
      </c>
      <c r="B33" s="866">
        <f>'Input data'!B63</f>
        <v>8.062145000000001</v>
      </c>
      <c r="C33" s="866">
        <f>'Baseline data (from input)'!B19</f>
        <v>578.73</v>
      </c>
      <c r="D33" s="777">
        <f>'Baseline data (from input)'!T19</f>
        <v>0.8</v>
      </c>
      <c r="E33" s="777">
        <f t="shared" si="41"/>
        <v>0.24001298204245269</v>
      </c>
      <c r="F33" s="777">
        <f t="shared" si="0"/>
        <v>0.30440139352934503</v>
      </c>
      <c r="G33" s="777">
        <f t="shared" si="0"/>
        <v>5.8998240613430578E-2</v>
      </c>
      <c r="H33" s="777">
        <f t="shared" si="0"/>
        <v>0</v>
      </c>
      <c r="I33" s="777">
        <f t="shared" si="0"/>
        <v>0</v>
      </c>
      <c r="J33" s="777">
        <f t="shared" si="0"/>
        <v>0</v>
      </c>
      <c r="K33" s="777">
        <f t="shared" si="0"/>
        <v>0.39658738381477154</v>
      </c>
      <c r="L33" s="874">
        <f t="shared" si="42"/>
        <v>0.99999999999999989</v>
      </c>
      <c r="M33" s="101"/>
      <c r="N33" s="300">
        <f t="shared" si="1"/>
        <v>3732.6441406800004</v>
      </c>
      <c r="O33" s="908">
        <f>Parameters!R134</f>
        <v>0.73</v>
      </c>
      <c r="P33" s="908">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906">
        <f t="shared" si="2"/>
        <v>164.14584656200122</v>
      </c>
      <c r="R33" s="906">
        <f t="shared" si="3"/>
        <v>164.14584656200122</v>
      </c>
      <c r="S33" s="286">
        <f t="shared" si="4"/>
        <v>0</v>
      </c>
      <c r="T33" s="906">
        <f t="shared" si="5"/>
        <v>1429.0395373143176</v>
      </c>
      <c r="U33" s="906">
        <f t="shared" si="6"/>
        <v>64.852486323986753</v>
      </c>
      <c r="V33" s="915">
        <f t="shared" si="7"/>
        <v>43.234990882657833</v>
      </c>
      <c r="W33" s="1450">
        <f t="shared" si="8"/>
        <v>0.13527885904981399</v>
      </c>
      <c r="X33" s="914">
        <f>'Baseline data (from input)'!AS19*W33</f>
        <v>2303.7740235530446</v>
      </c>
      <c r="Y33" s="908">
        <f>Parameters!S134</f>
        <v>0.71500000000000008</v>
      </c>
      <c r="Z33" s="908">
        <f t="shared" si="9"/>
        <v>0.4</v>
      </c>
      <c r="AA33" s="906">
        <f t="shared" si="10"/>
        <v>329.43968536808541</v>
      </c>
      <c r="AB33" s="906">
        <f t="shared" si="11"/>
        <v>329.43968536808541</v>
      </c>
      <c r="AC33" s="286">
        <f t="shared" si="12"/>
        <v>0</v>
      </c>
      <c r="AD33" s="906">
        <f t="shared" si="13"/>
        <v>882.75809238010379</v>
      </c>
      <c r="AE33" s="906">
        <f t="shared" si="14"/>
        <v>28.369241372541286</v>
      </c>
      <c r="AF33" s="915">
        <f t="shared" si="15"/>
        <v>18.912827581694192</v>
      </c>
      <c r="AG33" s="1450">
        <f t="shared" si="16"/>
        <v>0.13527885904981399</v>
      </c>
      <c r="AH33" s="914">
        <f>'Baseline data (from input)'!AS19*AG33</f>
        <v>2303.7740235530446</v>
      </c>
      <c r="AI33" s="908">
        <f>Parameters!S134</f>
        <v>0.71500000000000008</v>
      </c>
      <c r="AJ33" s="908">
        <f t="shared" si="17"/>
        <v>0.4</v>
      </c>
      <c r="AK33" s="906">
        <f t="shared" si="18"/>
        <v>329.43968536808541</v>
      </c>
      <c r="AL33" s="906">
        <f t="shared" si="19"/>
        <v>329.43968536808541</v>
      </c>
      <c r="AM33" s="286">
        <f t="shared" si="20"/>
        <v>0</v>
      </c>
      <c r="AN33" s="906">
        <f t="shared" si="21"/>
        <v>882.75809238010379</v>
      </c>
      <c r="AO33" s="906">
        <f t="shared" si="22"/>
        <v>28.369241372541286</v>
      </c>
      <c r="AP33" s="915">
        <f t="shared" si="23"/>
        <v>18.912827581694192</v>
      </c>
      <c r="AR33" s="914">
        <v>0</v>
      </c>
      <c r="AS33" s="907">
        <v>1</v>
      </c>
      <c r="AT33" s="907">
        <f t="shared" si="24"/>
        <v>0.05</v>
      </c>
      <c r="AU33" s="906">
        <f t="shared" si="25"/>
        <v>0</v>
      </c>
      <c r="AV33" s="906">
        <f t="shared" si="26"/>
        <v>0</v>
      </c>
      <c r="AW33" s="286">
        <f t="shared" si="27"/>
        <v>0</v>
      </c>
      <c r="AX33" s="922">
        <f t="shared" si="28"/>
        <v>0</v>
      </c>
      <c r="AY33" s="922">
        <f t="shared" si="29"/>
        <v>0</v>
      </c>
      <c r="AZ33" s="915">
        <f t="shared" si="30"/>
        <v>0</v>
      </c>
      <c r="BB33" s="300">
        <f t="shared" si="31"/>
        <v>43.234990882657833</v>
      </c>
      <c r="BC33" s="301">
        <f t="shared" si="32"/>
        <v>18.912827581694192</v>
      </c>
      <c r="BD33" s="1080">
        <f t="shared" si="33"/>
        <v>0</v>
      </c>
      <c r="BE33" s="301">
        <f t="shared" si="34"/>
        <v>62.147818464352028</v>
      </c>
      <c r="BF33" s="104">
        <v>0</v>
      </c>
      <c r="BG33" s="302">
        <f t="shared" si="35"/>
        <v>62.147818464352028</v>
      </c>
      <c r="BI33" s="300">
        <f t="shared" si="36"/>
        <v>43.234990882657833</v>
      </c>
      <c r="BJ33" s="301">
        <f t="shared" si="37"/>
        <v>18.912827581694192</v>
      </c>
      <c r="BK33" s="1080">
        <f t="shared" si="38"/>
        <v>0</v>
      </c>
      <c r="BL33" s="301">
        <f t="shared" si="39"/>
        <v>62.147818464352028</v>
      </c>
      <c r="BM33" s="104">
        <v>0</v>
      </c>
      <c r="BN33" s="302">
        <f t="shared" si="40"/>
        <v>62.147818464352028</v>
      </c>
    </row>
    <row r="34" spans="1:66">
      <c r="A34" s="127">
        <f>'Input data'!A64</f>
        <v>1964</v>
      </c>
      <c r="B34" s="866">
        <f>'Input data'!B64</f>
        <v>8.2682964000000005</v>
      </c>
      <c r="C34" s="866">
        <f>'Baseline data (from input)'!B20</f>
        <v>578.73</v>
      </c>
      <c r="D34" s="777">
        <f>'Baseline data (from input)'!T20</f>
        <v>0.8</v>
      </c>
      <c r="E34" s="777">
        <f t="shared" si="41"/>
        <v>0.24001298204245269</v>
      </c>
      <c r="F34" s="777">
        <f t="shared" si="0"/>
        <v>0.30440139352934503</v>
      </c>
      <c r="G34" s="777">
        <f t="shared" si="0"/>
        <v>5.8998240613430578E-2</v>
      </c>
      <c r="H34" s="777">
        <f t="shared" si="0"/>
        <v>0</v>
      </c>
      <c r="I34" s="777">
        <f t="shared" si="0"/>
        <v>0</v>
      </c>
      <c r="J34" s="777">
        <f t="shared" si="0"/>
        <v>0</v>
      </c>
      <c r="K34" s="777">
        <f t="shared" si="0"/>
        <v>0.39658738381477154</v>
      </c>
      <c r="L34" s="874">
        <f t="shared" si="42"/>
        <v>0.99999999999999989</v>
      </c>
      <c r="N34" s="300">
        <f t="shared" si="1"/>
        <v>3828.0889404576005</v>
      </c>
      <c r="O34" s="908">
        <f>Parameters!R135</f>
        <v>0.73</v>
      </c>
      <c r="P34" s="908">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906">
        <f t="shared" si="2"/>
        <v>168.34310375260517</v>
      </c>
      <c r="R34" s="906">
        <f t="shared" si="3"/>
        <v>168.34310375260517</v>
      </c>
      <c r="S34" s="286">
        <f t="shared" si="4"/>
        <v>0</v>
      </c>
      <c r="T34" s="906">
        <f t="shared" si="5"/>
        <v>1527.6875604208701</v>
      </c>
      <c r="U34" s="906">
        <f t="shared" si="6"/>
        <v>69.695080646052631</v>
      </c>
      <c r="V34" s="915">
        <f t="shared" si="7"/>
        <v>46.463387097368418</v>
      </c>
      <c r="W34" s="1450">
        <f t="shared" si="8"/>
        <v>0.13527885904981399</v>
      </c>
      <c r="X34" s="914">
        <f>'Baseline data (from input)'!AS20*W34</f>
        <v>2486.6886511702933</v>
      </c>
      <c r="Y34" s="908">
        <f>Parameters!S135</f>
        <v>0.71500000000000008</v>
      </c>
      <c r="Z34" s="908">
        <f t="shared" si="9"/>
        <v>0.4</v>
      </c>
      <c r="AA34" s="906">
        <f t="shared" si="10"/>
        <v>355.59647711735198</v>
      </c>
      <c r="AB34" s="906">
        <f t="shared" si="11"/>
        <v>355.59647711735198</v>
      </c>
      <c r="AC34" s="286">
        <f t="shared" si="12"/>
        <v>0</v>
      </c>
      <c r="AD34" s="906">
        <f t="shared" si="13"/>
        <v>1195.3019493054262</v>
      </c>
      <c r="AE34" s="906">
        <f t="shared" si="14"/>
        <v>43.052620192029522</v>
      </c>
      <c r="AF34" s="915">
        <f t="shared" si="15"/>
        <v>28.701746794686347</v>
      </c>
      <c r="AG34" s="1450">
        <f t="shared" si="16"/>
        <v>0.13527885904981399</v>
      </c>
      <c r="AH34" s="914">
        <f>'Baseline data (from input)'!AS20*AG34</f>
        <v>2486.6886511702933</v>
      </c>
      <c r="AI34" s="908">
        <f>Parameters!S135</f>
        <v>0.71500000000000008</v>
      </c>
      <c r="AJ34" s="908">
        <f t="shared" si="17"/>
        <v>0.4</v>
      </c>
      <c r="AK34" s="906">
        <f t="shared" si="18"/>
        <v>355.59647711735198</v>
      </c>
      <c r="AL34" s="906">
        <f t="shared" si="19"/>
        <v>355.59647711735198</v>
      </c>
      <c r="AM34" s="286">
        <f t="shared" si="20"/>
        <v>0</v>
      </c>
      <c r="AN34" s="906">
        <f t="shared" si="21"/>
        <v>1195.3019493054262</v>
      </c>
      <c r="AO34" s="906">
        <f t="shared" si="22"/>
        <v>43.052620192029522</v>
      </c>
      <c r="AP34" s="915">
        <f t="shared" si="23"/>
        <v>28.701746794686347</v>
      </c>
      <c r="AR34" s="914">
        <v>0</v>
      </c>
      <c r="AS34" s="907">
        <v>1</v>
      </c>
      <c r="AT34" s="907">
        <f t="shared" si="24"/>
        <v>0.05</v>
      </c>
      <c r="AU34" s="906">
        <f t="shared" si="25"/>
        <v>0</v>
      </c>
      <c r="AV34" s="906">
        <f t="shared" si="26"/>
        <v>0</v>
      </c>
      <c r="AW34" s="286">
        <f t="shared" si="27"/>
        <v>0</v>
      </c>
      <c r="AX34" s="922">
        <f t="shared" si="28"/>
        <v>0</v>
      </c>
      <c r="AY34" s="922">
        <f t="shared" si="29"/>
        <v>0</v>
      </c>
      <c r="AZ34" s="915">
        <f t="shared" si="30"/>
        <v>0</v>
      </c>
      <c r="BB34" s="300">
        <f t="shared" si="31"/>
        <v>46.463387097368418</v>
      </c>
      <c r="BC34" s="301">
        <f t="shared" si="32"/>
        <v>28.701746794686347</v>
      </c>
      <c r="BD34" s="1080">
        <f t="shared" si="33"/>
        <v>0</v>
      </c>
      <c r="BE34" s="301">
        <f t="shared" si="34"/>
        <v>75.165133892054769</v>
      </c>
      <c r="BF34" s="104">
        <v>0</v>
      </c>
      <c r="BG34" s="302">
        <f t="shared" si="35"/>
        <v>75.165133892054769</v>
      </c>
      <c r="BI34" s="300">
        <f t="shared" si="36"/>
        <v>46.463387097368418</v>
      </c>
      <c r="BJ34" s="301">
        <f t="shared" si="37"/>
        <v>28.701746794686347</v>
      </c>
      <c r="BK34" s="1080">
        <f t="shared" si="38"/>
        <v>0</v>
      </c>
      <c r="BL34" s="301">
        <f t="shared" si="39"/>
        <v>75.165133892054769</v>
      </c>
      <c r="BM34" s="104">
        <v>0</v>
      </c>
      <c r="BN34" s="302">
        <f t="shared" si="40"/>
        <v>75.165133892054769</v>
      </c>
    </row>
    <row r="35" spans="1:66">
      <c r="A35" s="127">
        <f>'Input data'!A65</f>
        <v>1965</v>
      </c>
      <c r="B35" s="866">
        <f>'Input data'!B65</f>
        <v>8.4744478000000001</v>
      </c>
      <c r="C35" s="866">
        <f>'Baseline data (from input)'!B21</f>
        <v>578.73</v>
      </c>
      <c r="D35" s="777">
        <f>'Baseline data (from input)'!T21</f>
        <v>0.8</v>
      </c>
      <c r="E35" s="777">
        <f t="shared" si="41"/>
        <v>0.24001298204245269</v>
      </c>
      <c r="F35" s="777">
        <f t="shared" si="0"/>
        <v>0.30440139352934503</v>
      </c>
      <c r="G35" s="777">
        <f t="shared" si="0"/>
        <v>5.8998240613430578E-2</v>
      </c>
      <c r="H35" s="777">
        <f t="shared" si="0"/>
        <v>0</v>
      </c>
      <c r="I35" s="777">
        <f t="shared" si="0"/>
        <v>0</v>
      </c>
      <c r="J35" s="777">
        <f t="shared" si="0"/>
        <v>0</v>
      </c>
      <c r="K35" s="777">
        <f t="shared" si="0"/>
        <v>0.39658738381477154</v>
      </c>
      <c r="L35" s="874">
        <f t="shared" si="42"/>
        <v>0.99999999999999989</v>
      </c>
      <c r="N35" s="300">
        <f t="shared" si="1"/>
        <v>3923.5337402352002</v>
      </c>
      <c r="O35" s="908">
        <f>Parameters!R136</f>
        <v>0.73</v>
      </c>
      <c r="P35" s="908">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906">
        <f t="shared" si="2"/>
        <v>172.54036094320912</v>
      </c>
      <c r="R35" s="906">
        <f t="shared" si="3"/>
        <v>172.54036094320912</v>
      </c>
      <c r="S35" s="286">
        <f t="shared" si="4"/>
        <v>0</v>
      </c>
      <c r="T35" s="906">
        <f t="shared" si="5"/>
        <v>1625.7217198592532</v>
      </c>
      <c r="U35" s="906">
        <f t="shared" si="6"/>
        <v>74.506201504826066</v>
      </c>
      <c r="V35" s="915">
        <f t="shared" si="7"/>
        <v>49.670801003217377</v>
      </c>
      <c r="W35" s="1450">
        <f t="shared" si="8"/>
        <v>0.13527885904981399</v>
      </c>
      <c r="X35" s="914">
        <f>'Baseline data (from input)'!AS21*W35</f>
        <v>2638.9426497936029</v>
      </c>
      <c r="Y35" s="908">
        <f>Parameters!S136</f>
        <v>0.71500000000000008</v>
      </c>
      <c r="Z35" s="908">
        <f t="shared" si="9"/>
        <v>0.4</v>
      </c>
      <c r="AA35" s="906">
        <f t="shared" si="10"/>
        <v>377.36879892048523</v>
      </c>
      <c r="AB35" s="906">
        <f t="shared" si="11"/>
        <v>377.36879892048523</v>
      </c>
      <c r="AC35" s="286">
        <f t="shared" si="12"/>
        <v>0</v>
      </c>
      <c r="AD35" s="906">
        <f t="shared" si="13"/>
        <v>1514.3751842628674</v>
      </c>
      <c r="AE35" s="906">
        <f t="shared" si="14"/>
        <v>58.295563963043996</v>
      </c>
      <c r="AF35" s="915">
        <f t="shared" si="15"/>
        <v>38.863709308695995</v>
      </c>
      <c r="AG35" s="1450">
        <f t="shared" si="16"/>
        <v>0.13527885904981399</v>
      </c>
      <c r="AH35" s="914">
        <f>'Baseline data (from input)'!AS21*AG35</f>
        <v>2638.9426497936029</v>
      </c>
      <c r="AI35" s="908">
        <f>Parameters!S136</f>
        <v>0.71500000000000008</v>
      </c>
      <c r="AJ35" s="908">
        <f t="shared" si="17"/>
        <v>0.4</v>
      </c>
      <c r="AK35" s="906">
        <f t="shared" si="18"/>
        <v>377.36879892048523</v>
      </c>
      <c r="AL35" s="906">
        <f t="shared" si="19"/>
        <v>377.36879892048523</v>
      </c>
      <c r="AM35" s="286">
        <f t="shared" si="20"/>
        <v>0</v>
      </c>
      <c r="AN35" s="906">
        <f t="shared" si="21"/>
        <v>1514.3751842628674</v>
      </c>
      <c r="AO35" s="906">
        <f t="shared" si="22"/>
        <v>58.295563963043996</v>
      </c>
      <c r="AP35" s="915">
        <f t="shared" si="23"/>
        <v>38.863709308695995</v>
      </c>
      <c r="AR35" s="914">
        <v>0</v>
      </c>
      <c r="AS35" s="907">
        <v>1</v>
      </c>
      <c r="AT35" s="907">
        <f t="shared" si="24"/>
        <v>0.05</v>
      </c>
      <c r="AU35" s="906">
        <f t="shared" si="25"/>
        <v>0</v>
      </c>
      <c r="AV35" s="906">
        <f t="shared" si="26"/>
        <v>0</v>
      </c>
      <c r="AW35" s="286">
        <f t="shared" si="27"/>
        <v>0</v>
      </c>
      <c r="AX35" s="922">
        <f t="shared" si="28"/>
        <v>0</v>
      </c>
      <c r="AY35" s="922">
        <f t="shared" si="29"/>
        <v>0</v>
      </c>
      <c r="AZ35" s="915">
        <f t="shared" si="30"/>
        <v>0</v>
      </c>
      <c r="BB35" s="300">
        <f t="shared" si="31"/>
        <v>49.670801003217377</v>
      </c>
      <c r="BC35" s="301">
        <f t="shared" si="32"/>
        <v>38.863709308695995</v>
      </c>
      <c r="BD35" s="1080">
        <f t="shared" si="33"/>
        <v>0</v>
      </c>
      <c r="BE35" s="301">
        <f t="shared" si="34"/>
        <v>88.53451031191338</v>
      </c>
      <c r="BF35" s="104">
        <v>0</v>
      </c>
      <c r="BG35" s="302">
        <f t="shared" si="35"/>
        <v>88.53451031191338</v>
      </c>
      <c r="BI35" s="300">
        <f t="shared" si="36"/>
        <v>49.670801003217377</v>
      </c>
      <c r="BJ35" s="301">
        <f t="shared" si="37"/>
        <v>38.863709308695995</v>
      </c>
      <c r="BK35" s="1080">
        <f t="shared" si="38"/>
        <v>0</v>
      </c>
      <c r="BL35" s="301">
        <f t="shared" si="39"/>
        <v>88.53451031191338</v>
      </c>
      <c r="BM35" s="104">
        <v>0</v>
      </c>
      <c r="BN35" s="302">
        <f t="shared" si="40"/>
        <v>88.53451031191338</v>
      </c>
    </row>
    <row r="36" spans="1:66">
      <c r="A36" s="127">
        <f>'Input data'!A66</f>
        <v>1966</v>
      </c>
      <c r="B36" s="866">
        <f>'Input data'!B66</f>
        <v>8.7407319999999995</v>
      </c>
      <c r="C36" s="866">
        <f>'Baseline data (from input)'!B22</f>
        <v>578.73</v>
      </c>
      <c r="D36" s="777">
        <f>'Baseline data (from input)'!T22</f>
        <v>0.8</v>
      </c>
      <c r="E36" s="777">
        <f t="shared" si="41"/>
        <v>0.24001298204245269</v>
      </c>
      <c r="F36" s="777">
        <f t="shared" si="0"/>
        <v>0.30440139352934503</v>
      </c>
      <c r="G36" s="777">
        <f t="shared" si="0"/>
        <v>5.8998240613430578E-2</v>
      </c>
      <c r="H36" s="777">
        <f t="shared" si="0"/>
        <v>0</v>
      </c>
      <c r="I36" s="777">
        <f t="shared" si="0"/>
        <v>0</v>
      </c>
      <c r="J36" s="777">
        <f t="shared" si="0"/>
        <v>0</v>
      </c>
      <c r="K36" s="777">
        <f t="shared" si="0"/>
        <v>0.39658738381477154</v>
      </c>
      <c r="L36" s="874">
        <f t="shared" si="42"/>
        <v>0.99999999999999989</v>
      </c>
      <c r="N36" s="300">
        <f t="shared" si="1"/>
        <v>4046.8190642879999</v>
      </c>
      <c r="O36" s="908">
        <f>Parameters!R137</f>
        <v>0.73</v>
      </c>
      <c r="P36" s="908">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906">
        <f t="shared" si="2"/>
        <v>177.96192622578405</v>
      </c>
      <c r="R36" s="906">
        <f t="shared" si="3"/>
        <v>177.96192622578405</v>
      </c>
      <c r="S36" s="286">
        <f t="shared" si="4"/>
        <v>0</v>
      </c>
      <c r="T36" s="906">
        <f t="shared" si="5"/>
        <v>1724.3962622058125</v>
      </c>
      <c r="U36" s="906">
        <f t="shared" si="6"/>
        <v>79.287383879224762</v>
      </c>
      <c r="V36" s="915">
        <f t="shared" si="7"/>
        <v>52.858255919483177</v>
      </c>
      <c r="W36" s="1450">
        <f t="shared" si="8"/>
        <v>0.13527885904981399</v>
      </c>
      <c r="X36" s="914">
        <f>'Baseline data (from input)'!AS22*W36</f>
        <v>2756.0670595807815</v>
      </c>
      <c r="Y36" s="908">
        <f>Parameters!S137</f>
        <v>0.71500000000000008</v>
      </c>
      <c r="Z36" s="908">
        <f t="shared" si="9"/>
        <v>0.4</v>
      </c>
      <c r="AA36" s="906">
        <f t="shared" si="10"/>
        <v>394.11758952005187</v>
      </c>
      <c r="AB36" s="906">
        <f t="shared" si="11"/>
        <v>394.11758952005187</v>
      </c>
      <c r="AC36" s="286">
        <f t="shared" si="12"/>
        <v>0</v>
      </c>
      <c r="AD36" s="906">
        <f t="shared" si="13"/>
        <v>1834.6358245245819</v>
      </c>
      <c r="AE36" s="906">
        <f t="shared" si="14"/>
        <v>73.856949258337295</v>
      </c>
      <c r="AF36" s="915">
        <f t="shared" si="15"/>
        <v>49.237966172224866</v>
      </c>
      <c r="AG36" s="1450">
        <f t="shared" si="16"/>
        <v>0.13527885904981399</v>
      </c>
      <c r="AH36" s="914">
        <f>'Baseline data (from input)'!AS22*AG36</f>
        <v>2756.0670595807815</v>
      </c>
      <c r="AI36" s="908">
        <f>Parameters!S137</f>
        <v>0.71500000000000008</v>
      </c>
      <c r="AJ36" s="908">
        <f t="shared" si="17"/>
        <v>0.4</v>
      </c>
      <c r="AK36" s="906">
        <f t="shared" si="18"/>
        <v>394.11758952005187</v>
      </c>
      <c r="AL36" s="906">
        <f t="shared" si="19"/>
        <v>394.11758952005187</v>
      </c>
      <c r="AM36" s="286">
        <f t="shared" si="20"/>
        <v>0</v>
      </c>
      <c r="AN36" s="906">
        <f t="shared" si="21"/>
        <v>1834.6358245245819</v>
      </c>
      <c r="AO36" s="906">
        <f t="shared" si="22"/>
        <v>73.856949258337295</v>
      </c>
      <c r="AP36" s="915">
        <f t="shared" si="23"/>
        <v>49.237966172224866</v>
      </c>
      <c r="AR36" s="914">
        <v>0</v>
      </c>
      <c r="AS36" s="907">
        <v>1</v>
      </c>
      <c r="AT36" s="907">
        <f t="shared" si="24"/>
        <v>0.05</v>
      </c>
      <c r="AU36" s="906">
        <f t="shared" si="25"/>
        <v>0</v>
      </c>
      <c r="AV36" s="906">
        <f t="shared" si="26"/>
        <v>0</v>
      </c>
      <c r="AW36" s="286">
        <f t="shared" si="27"/>
        <v>0</v>
      </c>
      <c r="AX36" s="922">
        <f t="shared" si="28"/>
        <v>0</v>
      </c>
      <c r="AY36" s="922">
        <f t="shared" si="29"/>
        <v>0</v>
      </c>
      <c r="AZ36" s="915">
        <f t="shared" si="30"/>
        <v>0</v>
      </c>
      <c r="BB36" s="300">
        <f t="shared" si="31"/>
        <v>52.858255919483177</v>
      </c>
      <c r="BC36" s="301">
        <f t="shared" si="32"/>
        <v>49.237966172224866</v>
      </c>
      <c r="BD36" s="1080">
        <f t="shared" si="33"/>
        <v>0</v>
      </c>
      <c r="BE36" s="301">
        <f t="shared" si="34"/>
        <v>102.09622209170804</v>
      </c>
      <c r="BF36" s="104">
        <v>0</v>
      </c>
      <c r="BG36" s="302">
        <f t="shared" si="35"/>
        <v>102.09622209170804</v>
      </c>
      <c r="BI36" s="300">
        <f t="shared" si="36"/>
        <v>52.858255919483177</v>
      </c>
      <c r="BJ36" s="301">
        <f t="shared" si="37"/>
        <v>49.237966172224866</v>
      </c>
      <c r="BK36" s="1080">
        <f t="shared" si="38"/>
        <v>0</v>
      </c>
      <c r="BL36" s="301">
        <f t="shared" si="39"/>
        <v>102.09622209170804</v>
      </c>
      <c r="BM36" s="104">
        <v>0</v>
      </c>
      <c r="BN36" s="302">
        <f t="shared" si="40"/>
        <v>102.09622209170804</v>
      </c>
    </row>
    <row r="37" spans="1:66">
      <c r="A37" s="127">
        <f>'Input data'!A67</f>
        <v>1967</v>
      </c>
      <c r="B37" s="866">
        <f>'Input data'!B67</f>
        <v>9.0098299199999996</v>
      </c>
      <c r="C37" s="866">
        <f>'Baseline data (from input)'!B23</f>
        <v>578.73</v>
      </c>
      <c r="D37" s="777">
        <f>'Baseline data (from input)'!T23</f>
        <v>0.8</v>
      </c>
      <c r="E37" s="777">
        <f t="shared" si="41"/>
        <v>0.24001298204245269</v>
      </c>
      <c r="F37" s="777">
        <f t="shared" si="41"/>
        <v>0.30440139352934503</v>
      </c>
      <c r="G37" s="777">
        <f t="shared" si="41"/>
        <v>5.8998240613430578E-2</v>
      </c>
      <c r="H37" s="777">
        <f t="shared" si="41"/>
        <v>0</v>
      </c>
      <c r="I37" s="777">
        <f t="shared" si="41"/>
        <v>0</v>
      </c>
      <c r="J37" s="777">
        <f t="shared" si="41"/>
        <v>0</v>
      </c>
      <c r="K37" s="777">
        <f t="shared" si="41"/>
        <v>0.39658738381477154</v>
      </c>
      <c r="L37" s="874">
        <f t="shared" si="42"/>
        <v>0.99999999999999989</v>
      </c>
      <c r="N37" s="300">
        <f t="shared" si="1"/>
        <v>4171.4070956812802</v>
      </c>
      <c r="O37" s="908">
        <f>Parameters!R138</f>
        <v>0.73</v>
      </c>
      <c r="P37" s="908">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906">
        <f t="shared" si="2"/>
        <v>183.44077904801361</v>
      </c>
      <c r="R37" s="906">
        <f t="shared" si="3"/>
        <v>183.44077904801361</v>
      </c>
      <c r="S37" s="286">
        <f t="shared" si="4"/>
        <v>0</v>
      </c>
      <c r="T37" s="906">
        <f t="shared" si="5"/>
        <v>1823.737243157231</v>
      </c>
      <c r="U37" s="906">
        <f t="shared" si="6"/>
        <v>84.099798096595123</v>
      </c>
      <c r="V37" s="915">
        <f t="shared" si="7"/>
        <v>56.066532064396746</v>
      </c>
      <c r="W37" s="1450">
        <f t="shared" si="8"/>
        <v>0.13527885904981399</v>
      </c>
      <c r="X37" s="914">
        <f>'Baseline data (from input)'!AS23*W37</f>
        <v>2954.4095185083984</v>
      </c>
      <c r="Y37" s="908">
        <f>Parameters!S138</f>
        <v>0.71500000000000008</v>
      </c>
      <c r="Z37" s="908">
        <f t="shared" si="9"/>
        <v>0.4</v>
      </c>
      <c r="AA37" s="906">
        <f t="shared" si="10"/>
        <v>422.48056114670101</v>
      </c>
      <c r="AB37" s="906">
        <f t="shared" si="11"/>
        <v>422.48056114670101</v>
      </c>
      <c r="AC37" s="286">
        <f t="shared" si="12"/>
        <v>0</v>
      </c>
      <c r="AD37" s="906">
        <f t="shared" si="13"/>
        <v>2167.6401406776122</v>
      </c>
      <c r="AE37" s="906">
        <f t="shared" si="14"/>
        <v>89.476244993670917</v>
      </c>
      <c r="AF37" s="915">
        <f t="shared" si="15"/>
        <v>59.650829995780612</v>
      </c>
      <c r="AG37" s="1450">
        <f t="shared" si="16"/>
        <v>0.13527885904981399</v>
      </c>
      <c r="AH37" s="914">
        <f>'Baseline data (from input)'!AS23*AG37</f>
        <v>2954.4095185083984</v>
      </c>
      <c r="AI37" s="908">
        <f>Parameters!S138</f>
        <v>0.71500000000000008</v>
      </c>
      <c r="AJ37" s="908">
        <f t="shared" si="17"/>
        <v>0.4</v>
      </c>
      <c r="AK37" s="906">
        <f t="shared" si="18"/>
        <v>422.48056114670101</v>
      </c>
      <c r="AL37" s="906">
        <f t="shared" si="19"/>
        <v>422.48056114670101</v>
      </c>
      <c r="AM37" s="286">
        <f t="shared" si="20"/>
        <v>0</v>
      </c>
      <c r="AN37" s="906">
        <f t="shared" si="21"/>
        <v>2167.6401406776122</v>
      </c>
      <c r="AO37" s="906">
        <f t="shared" si="22"/>
        <v>89.476244993670917</v>
      </c>
      <c r="AP37" s="915">
        <f t="shared" si="23"/>
        <v>59.650829995780612</v>
      </c>
      <c r="AR37" s="914">
        <v>0</v>
      </c>
      <c r="AS37" s="907">
        <v>1</v>
      </c>
      <c r="AT37" s="907">
        <f t="shared" si="24"/>
        <v>0.05</v>
      </c>
      <c r="AU37" s="906">
        <f t="shared" si="25"/>
        <v>0</v>
      </c>
      <c r="AV37" s="906">
        <f t="shared" si="26"/>
        <v>0</v>
      </c>
      <c r="AW37" s="286">
        <f t="shared" si="27"/>
        <v>0</v>
      </c>
      <c r="AX37" s="922">
        <f t="shared" si="28"/>
        <v>0</v>
      </c>
      <c r="AY37" s="922">
        <f t="shared" si="29"/>
        <v>0</v>
      </c>
      <c r="AZ37" s="915">
        <f t="shared" si="30"/>
        <v>0</v>
      </c>
      <c r="BB37" s="300">
        <f t="shared" si="31"/>
        <v>56.066532064396746</v>
      </c>
      <c r="BC37" s="301">
        <f t="shared" si="32"/>
        <v>59.650829995780612</v>
      </c>
      <c r="BD37" s="1080">
        <f t="shared" si="33"/>
        <v>0</v>
      </c>
      <c r="BE37" s="301">
        <f t="shared" si="34"/>
        <v>115.71736206017735</v>
      </c>
      <c r="BF37" s="104">
        <v>0</v>
      </c>
      <c r="BG37" s="302">
        <f t="shared" si="35"/>
        <v>115.71736206017735</v>
      </c>
      <c r="BI37" s="300">
        <f t="shared" si="36"/>
        <v>56.066532064396746</v>
      </c>
      <c r="BJ37" s="301">
        <f t="shared" si="37"/>
        <v>59.650829995780612</v>
      </c>
      <c r="BK37" s="1080">
        <f t="shared" si="38"/>
        <v>0</v>
      </c>
      <c r="BL37" s="301">
        <f t="shared" si="39"/>
        <v>115.71736206017735</v>
      </c>
      <c r="BM37" s="104">
        <v>0</v>
      </c>
      <c r="BN37" s="302">
        <f t="shared" si="40"/>
        <v>115.71736206017735</v>
      </c>
    </row>
    <row r="38" spans="1:66">
      <c r="A38" s="127">
        <f>'Input data'!A68</f>
        <v>1968</v>
      </c>
      <c r="B38" s="866">
        <f>'Input data'!B68</f>
        <v>9.2808861600000014</v>
      </c>
      <c r="C38" s="866">
        <f>'Baseline data (from input)'!B24</f>
        <v>578.73</v>
      </c>
      <c r="D38" s="777">
        <f>'Baseline data (from input)'!T24</f>
        <v>0.8</v>
      </c>
      <c r="E38" s="777">
        <f t="shared" ref="E38:K53" si="43">E37</f>
        <v>0.24001298204245269</v>
      </c>
      <c r="F38" s="777">
        <f t="shared" si="43"/>
        <v>0.30440139352934503</v>
      </c>
      <c r="G38" s="777">
        <f t="shared" si="43"/>
        <v>5.8998240613430578E-2</v>
      </c>
      <c r="H38" s="777">
        <f t="shared" si="43"/>
        <v>0</v>
      </c>
      <c r="I38" s="777">
        <f t="shared" si="43"/>
        <v>0</v>
      </c>
      <c r="J38" s="777">
        <f t="shared" si="43"/>
        <v>0</v>
      </c>
      <c r="K38" s="777">
        <f t="shared" si="43"/>
        <v>0.39658738381477154</v>
      </c>
      <c r="L38" s="874">
        <f t="shared" si="42"/>
        <v>0.99999999999999989</v>
      </c>
      <c r="N38" s="300">
        <f t="shared" si="1"/>
        <v>4296.9017979014416</v>
      </c>
      <c r="O38" s="908">
        <f>Parameters!R139</f>
        <v>0.73</v>
      </c>
      <c r="P38" s="908">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906">
        <f t="shared" si="2"/>
        <v>188.95950340495753</v>
      </c>
      <c r="R38" s="906">
        <f t="shared" si="3"/>
        <v>188.95950340495753</v>
      </c>
      <c r="S38" s="286">
        <f t="shared" si="4"/>
        <v>0</v>
      </c>
      <c r="T38" s="906">
        <f t="shared" si="5"/>
        <v>1923.7520316539292</v>
      </c>
      <c r="U38" s="906">
        <f t="shared" si="6"/>
        <v>88.944714908259414</v>
      </c>
      <c r="V38" s="915">
        <f t="shared" si="7"/>
        <v>59.296476605506278</v>
      </c>
      <c r="W38" s="1450">
        <f t="shared" si="8"/>
        <v>0.13527885904981399</v>
      </c>
      <c r="X38" s="914">
        <f>'Baseline data (from input)'!AS24*W38</f>
        <v>3077.1192874392077</v>
      </c>
      <c r="Y38" s="908">
        <f>Parameters!S139</f>
        <v>0.71500000000000008</v>
      </c>
      <c r="Z38" s="908">
        <f t="shared" si="9"/>
        <v>0.4</v>
      </c>
      <c r="AA38" s="906">
        <f t="shared" si="10"/>
        <v>440.02805810380676</v>
      </c>
      <c r="AB38" s="906">
        <f t="shared" si="11"/>
        <v>440.02805810380676</v>
      </c>
      <c r="AC38" s="286">
        <f t="shared" si="12"/>
        <v>0</v>
      </c>
      <c r="AD38" s="906">
        <f t="shared" si="13"/>
        <v>2501.9511416452187</v>
      </c>
      <c r="AE38" s="906">
        <f t="shared" si="14"/>
        <v>105.71705713620038</v>
      </c>
      <c r="AF38" s="915">
        <f t="shared" si="15"/>
        <v>70.478038090800254</v>
      </c>
      <c r="AG38" s="1450">
        <f t="shared" si="16"/>
        <v>0.13527885904981399</v>
      </c>
      <c r="AH38" s="914">
        <f>'Baseline data (from input)'!AS24*AG38</f>
        <v>3077.1192874392077</v>
      </c>
      <c r="AI38" s="908">
        <f>Parameters!S139</f>
        <v>0.71500000000000008</v>
      </c>
      <c r="AJ38" s="908">
        <f t="shared" si="17"/>
        <v>0.4</v>
      </c>
      <c r="AK38" s="906">
        <f t="shared" si="18"/>
        <v>440.02805810380676</v>
      </c>
      <c r="AL38" s="906">
        <f t="shared" si="19"/>
        <v>440.02805810380676</v>
      </c>
      <c r="AM38" s="286">
        <f t="shared" si="20"/>
        <v>0</v>
      </c>
      <c r="AN38" s="906">
        <f t="shared" si="21"/>
        <v>2501.9511416452187</v>
      </c>
      <c r="AO38" s="906">
        <f t="shared" si="22"/>
        <v>105.71705713620038</v>
      </c>
      <c r="AP38" s="915">
        <f t="shared" si="23"/>
        <v>70.478038090800254</v>
      </c>
      <c r="AR38" s="914">
        <v>0</v>
      </c>
      <c r="AS38" s="907">
        <v>1</v>
      </c>
      <c r="AT38" s="907">
        <f t="shared" si="24"/>
        <v>0.05</v>
      </c>
      <c r="AU38" s="906">
        <f t="shared" si="25"/>
        <v>0</v>
      </c>
      <c r="AV38" s="906">
        <f t="shared" si="26"/>
        <v>0</v>
      </c>
      <c r="AW38" s="286">
        <f t="shared" si="27"/>
        <v>0</v>
      </c>
      <c r="AX38" s="922">
        <f t="shared" si="28"/>
        <v>0</v>
      </c>
      <c r="AY38" s="922">
        <f t="shared" si="29"/>
        <v>0</v>
      </c>
      <c r="AZ38" s="915">
        <f t="shared" si="30"/>
        <v>0</v>
      </c>
      <c r="BB38" s="300">
        <f t="shared" si="31"/>
        <v>59.296476605506278</v>
      </c>
      <c r="BC38" s="301">
        <f t="shared" si="32"/>
        <v>70.478038090800254</v>
      </c>
      <c r="BD38" s="1080">
        <f t="shared" si="33"/>
        <v>0</v>
      </c>
      <c r="BE38" s="301">
        <f t="shared" si="34"/>
        <v>129.77451469630654</v>
      </c>
      <c r="BF38" s="104">
        <v>0</v>
      </c>
      <c r="BG38" s="302">
        <f t="shared" si="35"/>
        <v>129.77451469630654</v>
      </c>
      <c r="BI38" s="300">
        <f t="shared" si="36"/>
        <v>59.296476605506278</v>
      </c>
      <c r="BJ38" s="301">
        <f t="shared" si="37"/>
        <v>70.478038090800254</v>
      </c>
      <c r="BK38" s="1080">
        <f t="shared" si="38"/>
        <v>0</v>
      </c>
      <c r="BL38" s="301">
        <f t="shared" si="39"/>
        <v>129.77451469630654</v>
      </c>
      <c r="BM38" s="104">
        <v>0</v>
      </c>
      <c r="BN38" s="302">
        <f t="shared" si="40"/>
        <v>129.77451469630654</v>
      </c>
    </row>
    <row r="39" spans="1:66">
      <c r="A39" s="127">
        <f>'Input data'!A69</f>
        <v>1969</v>
      </c>
      <c r="B39" s="866">
        <f>'Input data'!B69</f>
        <v>9.5539007199999997</v>
      </c>
      <c r="C39" s="866">
        <f>'Baseline data (from input)'!B25</f>
        <v>578.73</v>
      </c>
      <c r="D39" s="777">
        <f>'Baseline data (from input)'!T25</f>
        <v>0.8</v>
      </c>
      <c r="E39" s="777">
        <f t="shared" si="43"/>
        <v>0.24001298204245269</v>
      </c>
      <c r="F39" s="777">
        <f t="shared" si="43"/>
        <v>0.30440139352934503</v>
      </c>
      <c r="G39" s="777">
        <f t="shared" si="43"/>
        <v>5.8998240613430578E-2</v>
      </c>
      <c r="H39" s="777">
        <f t="shared" si="43"/>
        <v>0</v>
      </c>
      <c r="I39" s="777">
        <f t="shared" si="43"/>
        <v>0</v>
      </c>
      <c r="J39" s="777">
        <f t="shared" si="43"/>
        <v>0</v>
      </c>
      <c r="K39" s="777">
        <f t="shared" si="43"/>
        <v>0.39658738381477154</v>
      </c>
      <c r="L39" s="874">
        <f t="shared" si="42"/>
        <v>0.99999999999999989</v>
      </c>
      <c r="N39" s="300">
        <f t="shared" si="1"/>
        <v>4423.3031709484803</v>
      </c>
      <c r="O39" s="908">
        <f>Parameters!R140</f>
        <v>0.73</v>
      </c>
      <c r="P39" s="908">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906">
        <f t="shared" si="2"/>
        <v>194.51809929661559</v>
      </c>
      <c r="R39" s="906">
        <f t="shared" si="3"/>
        <v>194.51809929661559</v>
      </c>
      <c r="S39" s="286">
        <f t="shared" si="4"/>
        <v>0</v>
      </c>
      <c r="T39" s="906">
        <f t="shared" si="5"/>
        <v>2024.4476372488621</v>
      </c>
      <c r="U39" s="906">
        <f t="shared" si="6"/>
        <v>93.82249370168276</v>
      </c>
      <c r="V39" s="915">
        <f t="shared" si="7"/>
        <v>62.548329134455173</v>
      </c>
      <c r="W39" s="1450">
        <f t="shared" si="8"/>
        <v>0.13527885904981399</v>
      </c>
      <c r="X39" s="914">
        <f>'Baseline data (from input)'!AS25*W39</f>
        <v>3222.2310206717084</v>
      </c>
      <c r="Y39" s="908">
        <f>Parameters!S140</f>
        <v>0.71500000000000008</v>
      </c>
      <c r="Z39" s="908">
        <f t="shared" si="9"/>
        <v>0.4</v>
      </c>
      <c r="AA39" s="906">
        <f t="shared" si="10"/>
        <v>460.77903595605443</v>
      </c>
      <c r="AB39" s="906">
        <f t="shared" si="11"/>
        <v>460.77903595605443</v>
      </c>
      <c r="AC39" s="286">
        <f t="shared" si="12"/>
        <v>0</v>
      </c>
      <c r="AD39" s="906">
        <f t="shared" si="13"/>
        <v>2840.7085805521401</v>
      </c>
      <c r="AE39" s="906">
        <f t="shared" si="14"/>
        <v>122.02159704913291</v>
      </c>
      <c r="AF39" s="915">
        <f t="shared" si="15"/>
        <v>81.34773136608861</v>
      </c>
      <c r="AG39" s="1450">
        <f t="shared" si="16"/>
        <v>0.13527885904981399</v>
      </c>
      <c r="AH39" s="914">
        <f>'Baseline data (from input)'!AS25*AG39</f>
        <v>3222.2310206717084</v>
      </c>
      <c r="AI39" s="908">
        <f>Parameters!S140</f>
        <v>0.71500000000000008</v>
      </c>
      <c r="AJ39" s="908">
        <f t="shared" si="17"/>
        <v>0.4</v>
      </c>
      <c r="AK39" s="906">
        <f t="shared" si="18"/>
        <v>460.77903595605443</v>
      </c>
      <c r="AL39" s="906">
        <f t="shared" si="19"/>
        <v>460.77903595605443</v>
      </c>
      <c r="AM39" s="286">
        <f t="shared" si="20"/>
        <v>0</v>
      </c>
      <c r="AN39" s="906">
        <f t="shared" si="21"/>
        <v>2840.7085805521401</v>
      </c>
      <c r="AO39" s="906">
        <f t="shared" si="22"/>
        <v>122.02159704913291</v>
      </c>
      <c r="AP39" s="915">
        <f t="shared" si="23"/>
        <v>81.34773136608861</v>
      </c>
      <c r="AR39" s="914">
        <v>0</v>
      </c>
      <c r="AS39" s="907">
        <v>1</v>
      </c>
      <c r="AT39" s="907">
        <f t="shared" si="24"/>
        <v>0.05</v>
      </c>
      <c r="AU39" s="906">
        <f t="shared" si="25"/>
        <v>0</v>
      </c>
      <c r="AV39" s="906">
        <f t="shared" si="26"/>
        <v>0</v>
      </c>
      <c r="AW39" s="286">
        <f t="shared" si="27"/>
        <v>0</v>
      </c>
      <c r="AX39" s="922">
        <f t="shared" si="28"/>
        <v>0</v>
      </c>
      <c r="AY39" s="922">
        <f t="shared" si="29"/>
        <v>0</v>
      </c>
      <c r="AZ39" s="915">
        <f t="shared" si="30"/>
        <v>0</v>
      </c>
      <c r="BB39" s="300">
        <f t="shared" si="31"/>
        <v>62.548329134455173</v>
      </c>
      <c r="BC39" s="301">
        <f t="shared" si="32"/>
        <v>81.34773136608861</v>
      </c>
      <c r="BD39" s="1080">
        <f t="shared" si="33"/>
        <v>0</v>
      </c>
      <c r="BE39" s="301">
        <f t="shared" si="34"/>
        <v>143.8960605005438</v>
      </c>
      <c r="BF39" s="104">
        <v>0</v>
      </c>
      <c r="BG39" s="302">
        <f t="shared" si="35"/>
        <v>143.8960605005438</v>
      </c>
      <c r="BI39" s="300">
        <f t="shared" si="36"/>
        <v>62.548329134455173</v>
      </c>
      <c r="BJ39" s="301">
        <f t="shared" si="37"/>
        <v>81.34773136608861</v>
      </c>
      <c r="BK39" s="1080">
        <f t="shared" si="38"/>
        <v>0</v>
      </c>
      <c r="BL39" s="301">
        <f t="shared" si="39"/>
        <v>143.8960605005438</v>
      </c>
      <c r="BM39" s="104">
        <v>0</v>
      </c>
      <c r="BN39" s="302">
        <f t="shared" si="40"/>
        <v>143.8960605005438</v>
      </c>
    </row>
    <row r="40" spans="1:66">
      <c r="A40" s="127">
        <f>'Input data'!A70</f>
        <v>1970</v>
      </c>
      <c r="B40" s="866">
        <f>'Input data'!B70</f>
        <v>9.8288735999999997</v>
      </c>
      <c r="C40" s="866">
        <f>'Baseline data (from input)'!B26</f>
        <v>578.73</v>
      </c>
      <c r="D40" s="777">
        <f>'Baseline data (from input)'!T26</f>
        <v>0.8</v>
      </c>
      <c r="E40" s="777">
        <f t="shared" si="43"/>
        <v>0.24001298204245269</v>
      </c>
      <c r="F40" s="777">
        <f t="shared" si="43"/>
        <v>0.30440139352934503</v>
      </c>
      <c r="G40" s="777">
        <f t="shared" si="43"/>
        <v>5.8998240613430578E-2</v>
      </c>
      <c r="H40" s="777">
        <f t="shared" si="43"/>
        <v>0</v>
      </c>
      <c r="I40" s="777">
        <f t="shared" si="43"/>
        <v>0</v>
      </c>
      <c r="J40" s="777">
        <f t="shared" si="43"/>
        <v>0</v>
      </c>
      <c r="K40" s="777">
        <f t="shared" si="43"/>
        <v>0.39658738381477154</v>
      </c>
      <c r="L40" s="874">
        <f t="shared" si="42"/>
        <v>0.99999999999999989</v>
      </c>
      <c r="N40" s="300">
        <f t="shared" si="1"/>
        <v>4550.6112148224001</v>
      </c>
      <c r="O40" s="908">
        <f>Parameters!R141</f>
        <v>0.73</v>
      </c>
      <c r="P40" s="908">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906">
        <f t="shared" si="2"/>
        <v>200.11656672298804</v>
      </c>
      <c r="R40" s="906">
        <f t="shared" si="3"/>
        <v>200.11656672298804</v>
      </c>
      <c r="S40" s="286">
        <f t="shared" si="4"/>
        <v>0</v>
      </c>
      <c r="T40" s="906">
        <f t="shared" si="5"/>
        <v>2125.8307276350533</v>
      </c>
      <c r="U40" s="906">
        <f t="shared" si="6"/>
        <v>98.733476336796755</v>
      </c>
      <c r="V40" s="915">
        <f t="shared" si="7"/>
        <v>65.822317557864508</v>
      </c>
      <c r="W40" s="1450">
        <f t="shared" si="8"/>
        <v>0.13527885904981399</v>
      </c>
      <c r="X40" s="914">
        <f>'Baseline data (from input)'!AS26*W40</f>
        <v>3391.3554268236512</v>
      </c>
      <c r="Y40" s="908">
        <f>Parameters!S141</f>
        <v>0.71500000000000008</v>
      </c>
      <c r="Z40" s="908">
        <f t="shared" si="9"/>
        <v>0.4</v>
      </c>
      <c r="AA40" s="906">
        <f t="shared" si="10"/>
        <v>484.96382603578223</v>
      </c>
      <c r="AB40" s="906">
        <f t="shared" si="11"/>
        <v>484.96382603578223</v>
      </c>
      <c r="AC40" s="286">
        <f t="shared" si="12"/>
        <v>0</v>
      </c>
      <c r="AD40" s="906">
        <f t="shared" si="13"/>
        <v>3187.129414288635</v>
      </c>
      <c r="AE40" s="906">
        <f t="shared" si="14"/>
        <v>138.54299229928768</v>
      </c>
      <c r="AF40" s="915">
        <f t="shared" si="15"/>
        <v>92.361994866191779</v>
      </c>
      <c r="AG40" s="1450">
        <f t="shared" si="16"/>
        <v>0.13527885904981399</v>
      </c>
      <c r="AH40" s="914">
        <f>'Baseline data (from input)'!AS26*AG40</f>
        <v>3391.3554268236512</v>
      </c>
      <c r="AI40" s="908">
        <f>Parameters!S141</f>
        <v>0.71500000000000008</v>
      </c>
      <c r="AJ40" s="908">
        <f t="shared" si="17"/>
        <v>0.4</v>
      </c>
      <c r="AK40" s="906">
        <f t="shared" si="18"/>
        <v>484.96382603578223</v>
      </c>
      <c r="AL40" s="906">
        <f t="shared" si="19"/>
        <v>484.96382603578223</v>
      </c>
      <c r="AM40" s="286">
        <f t="shared" si="20"/>
        <v>0</v>
      </c>
      <c r="AN40" s="906">
        <f t="shared" si="21"/>
        <v>3187.129414288635</v>
      </c>
      <c r="AO40" s="906">
        <f t="shared" si="22"/>
        <v>138.54299229928768</v>
      </c>
      <c r="AP40" s="915">
        <f t="shared" si="23"/>
        <v>92.361994866191779</v>
      </c>
      <c r="AR40" s="914">
        <v>0</v>
      </c>
      <c r="AS40" s="907">
        <v>1</v>
      </c>
      <c r="AT40" s="907">
        <f t="shared" si="24"/>
        <v>0.05</v>
      </c>
      <c r="AU40" s="906">
        <f t="shared" si="25"/>
        <v>0</v>
      </c>
      <c r="AV40" s="906">
        <f t="shared" si="26"/>
        <v>0</v>
      </c>
      <c r="AW40" s="286">
        <f t="shared" si="27"/>
        <v>0</v>
      </c>
      <c r="AX40" s="922">
        <f t="shared" si="28"/>
        <v>0</v>
      </c>
      <c r="AY40" s="922">
        <f t="shared" si="29"/>
        <v>0</v>
      </c>
      <c r="AZ40" s="915">
        <f t="shared" si="30"/>
        <v>0</v>
      </c>
      <c r="BB40" s="300">
        <f t="shared" si="31"/>
        <v>65.822317557864508</v>
      </c>
      <c r="BC40" s="301">
        <f t="shared" si="32"/>
        <v>92.361994866191779</v>
      </c>
      <c r="BD40" s="1080">
        <f t="shared" si="33"/>
        <v>0</v>
      </c>
      <c r="BE40" s="301">
        <f t="shared" si="34"/>
        <v>158.18431242405629</v>
      </c>
      <c r="BF40" s="104">
        <v>0</v>
      </c>
      <c r="BG40" s="302">
        <f t="shared" si="35"/>
        <v>158.18431242405629</v>
      </c>
      <c r="BI40" s="300">
        <f t="shared" si="36"/>
        <v>65.822317557864508</v>
      </c>
      <c r="BJ40" s="301">
        <f t="shared" si="37"/>
        <v>92.361994866191779</v>
      </c>
      <c r="BK40" s="1080">
        <f t="shared" si="38"/>
        <v>0</v>
      </c>
      <c r="BL40" s="301">
        <f t="shared" si="39"/>
        <v>158.18431242405629</v>
      </c>
      <c r="BM40" s="104">
        <v>0</v>
      </c>
      <c r="BN40" s="302">
        <f t="shared" si="40"/>
        <v>158.18431242405629</v>
      </c>
    </row>
    <row r="41" spans="1:66">
      <c r="A41" s="127">
        <f>'Input data'!A71</f>
        <v>1971</v>
      </c>
      <c r="B41" s="866">
        <f>'Input data'!B71</f>
        <v>20.567820000000001</v>
      </c>
      <c r="C41" s="866">
        <f>'Baseline data (from input)'!B27</f>
        <v>578.73</v>
      </c>
      <c r="D41" s="777">
        <f>'Baseline data (from input)'!T27</f>
        <v>0.8</v>
      </c>
      <c r="E41" s="777">
        <f t="shared" si="43"/>
        <v>0.24001298204245269</v>
      </c>
      <c r="F41" s="777">
        <f t="shared" si="43"/>
        <v>0.30440139352934503</v>
      </c>
      <c r="G41" s="777">
        <f t="shared" si="43"/>
        <v>5.8998240613430578E-2</v>
      </c>
      <c r="H41" s="777">
        <f t="shared" si="43"/>
        <v>0</v>
      </c>
      <c r="I41" s="777">
        <f t="shared" si="43"/>
        <v>0</v>
      </c>
      <c r="J41" s="777">
        <f t="shared" si="43"/>
        <v>0</v>
      </c>
      <c r="K41" s="777">
        <f t="shared" si="43"/>
        <v>0.39658738381477154</v>
      </c>
      <c r="L41" s="874">
        <f t="shared" si="42"/>
        <v>0.99999999999999989</v>
      </c>
      <c r="N41" s="300">
        <f t="shared" si="1"/>
        <v>9522.5715748800012</v>
      </c>
      <c r="O41" s="908">
        <f>Parameters!R142</f>
        <v>0.73</v>
      </c>
      <c r="P41" s="908">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906">
        <f t="shared" si="2"/>
        <v>418.76228048923213</v>
      </c>
      <c r="R41" s="906">
        <f t="shared" si="3"/>
        <v>418.76228048923213</v>
      </c>
      <c r="S41" s="286">
        <f t="shared" si="4"/>
        <v>0</v>
      </c>
      <c r="T41" s="906">
        <f t="shared" si="5"/>
        <v>2440.9150201234579</v>
      </c>
      <c r="U41" s="906">
        <f t="shared" si="6"/>
        <v>103.67798800082743</v>
      </c>
      <c r="V41" s="915">
        <f t="shared" si="7"/>
        <v>69.118658667218284</v>
      </c>
      <c r="W41" s="1450">
        <f t="shared" si="8"/>
        <v>0.13527885904981399</v>
      </c>
      <c r="X41" s="914">
        <f>'Baseline data (from input)'!AS27*W41</f>
        <v>3536.4705226797223</v>
      </c>
      <c r="Y41" s="908">
        <f>Parameters!S142</f>
        <v>0.71500000000000008</v>
      </c>
      <c r="Z41" s="908">
        <f t="shared" si="9"/>
        <v>0.4</v>
      </c>
      <c r="AA41" s="906">
        <f t="shared" si="10"/>
        <v>505.71528474320036</v>
      </c>
      <c r="AB41" s="906">
        <f t="shared" si="11"/>
        <v>505.71528474320036</v>
      </c>
      <c r="AC41" s="286">
        <f t="shared" si="12"/>
        <v>0</v>
      </c>
      <c r="AD41" s="906">
        <f t="shared" si="13"/>
        <v>3537.4065633062764</v>
      </c>
      <c r="AE41" s="906">
        <f t="shared" si="14"/>
        <v>155.43813572555899</v>
      </c>
      <c r="AF41" s="915">
        <f t="shared" si="15"/>
        <v>103.62542381703933</v>
      </c>
      <c r="AG41" s="1450">
        <f t="shared" si="16"/>
        <v>0.13527885904981399</v>
      </c>
      <c r="AH41" s="914">
        <f>'Baseline data (from input)'!AS27*AG41</f>
        <v>3536.4705226797223</v>
      </c>
      <c r="AI41" s="908">
        <f>Parameters!S142</f>
        <v>0.71500000000000008</v>
      </c>
      <c r="AJ41" s="908">
        <f t="shared" si="17"/>
        <v>0.4</v>
      </c>
      <c r="AK41" s="906">
        <f t="shared" si="18"/>
        <v>505.71528474320036</v>
      </c>
      <c r="AL41" s="906">
        <f t="shared" si="19"/>
        <v>505.71528474320036</v>
      </c>
      <c r="AM41" s="286">
        <f t="shared" si="20"/>
        <v>0</v>
      </c>
      <c r="AN41" s="906">
        <f t="shared" si="21"/>
        <v>3537.4065633062764</v>
      </c>
      <c r="AO41" s="906">
        <f t="shared" si="22"/>
        <v>155.43813572555899</v>
      </c>
      <c r="AP41" s="915">
        <f t="shared" si="23"/>
        <v>103.62542381703933</v>
      </c>
      <c r="AR41" s="914">
        <v>0</v>
      </c>
      <c r="AS41" s="907">
        <v>1</v>
      </c>
      <c r="AT41" s="907">
        <f t="shared" si="24"/>
        <v>0.05</v>
      </c>
      <c r="AU41" s="906">
        <f t="shared" si="25"/>
        <v>0</v>
      </c>
      <c r="AV41" s="906">
        <f t="shared" si="26"/>
        <v>0</v>
      </c>
      <c r="AW41" s="286">
        <f t="shared" si="27"/>
        <v>0</v>
      </c>
      <c r="AX41" s="922">
        <f t="shared" si="28"/>
        <v>0</v>
      </c>
      <c r="AY41" s="922">
        <f t="shared" si="29"/>
        <v>0</v>
      </c>
      <c r="AZ41" s="915">
        <f t="shared" si="30"/>
        <v>0</v>
      </c>
      <c r="BB41" s="300">
        <f t="shared" si="31"/>
        <v>69.118658667218284</v>
      </c>
      <c r="BC41" s="301">
        <f t="shared" si="32"/>
        <v>103.62542381703933</v>
      </c>
      <c r="BD41" s="1080">
        <f t="shared" si="33"/>
        <v>0</v>
      </c>
      <c r="BE41" s="301">
        <f t="shared" si="34"/>
        <v>172.7440824842576</v>
      </c>
      <c r="BF41" s="104">
        <v>0</v>
      </c>
      <c r="BG41" s="302">
        <f t="shared" si="35"/>
        <v>172.7440824842576</v>
      </c>
      <c r="BI41" s="300">
        <f t="shared" si="36"/>
        <v>69.118658667218284</v>
      </c>
      <c r="BJ41" s="301">
        <f t="shared" si="37"/>
        <v>103.62542381703933</v>
      </c>
      <c r="BK41" s="1080">
        <f t="shared" si="38"/>
        <v>0</v>
      </c>
      <c r="BL41" s="301">
        <f t="shared" si="39"/>
        <v>172.7440824842576</v>
      </c>
      <c r="BM41" s="104">
        <v>0</v>
      </c>
      <c r="BN41" s="302">
        <f t="shared" si="40"/>
        <v>172.7440824842576</v>
      </c>
    </row>
    <row r="42" spans="1:66">
      <c r="A42" s="127">
        <f>'Input data'!A72</f>
        <v>1972</v>
      </c>
      <c r="B42" s="866">
        <f>'Input data'!B72</f>
        <v>21.04466</v>
      </c>
      <c r="C42" s="866">
        <f>'Baseline data (from input)'!B28</f>
        <v>578.73</v>
      </c>
      <c r="D42" s="777">
        <f>'Baseline data (from input)'!T28</f>
        <v>0.8</v>
      </c>
      <c r="E42" s="777">
        <f t="shared" si="43"/>
        <v>0.24001298204245269</v>
      </c>
      <c r="F42" s="777">
        <f t="shared" si="43"/>
        <v>0.30440139352934503</v>
      </c>
      <c r="G42" s="777">
        <f t="shared" si="43"/>
        <v>5.8998240613430578E-2</v>
      </c>
      <c r="H42" s="777">
        <f t="shared" si="43"/>
        <v>0</v>
      </c>
      <c r="I42" s="777">
        <f t="shared" si="43"/>
        <v>0</v>
      </c>
      <c r="J42" s="777">
        <f t="shared" si="43"/>
        <v>0</v>
      </c>
      <c r="K42" s="777">
        <f t="shared" si="43"/>
        <v>0.39658738381477154</v>
      </c>
      <c r="L42" s="874">
        <f t="shared" si="42"/>
        <v>0.99999999999999989</v>
      </c>
      <c r="N42" s="300">
        <f t="shared" si="1"/>
        <v>9743.3408654400009</v>
      </c>
      <c r="O42" s="908">
        <f>Parameters!R143</f>
        <v>0.73</v>
      </c>
      <c r="P42" s="908">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906">
        <f t="shared" si="2"/>
        <v>428.47077686018849</v>
      </c>
      <c r="R42" s="906">
        <f t="shared" si="3"/>
        <v>428.47077686018849</v>
      </c>
      <c r="S42" s="286">
        <f t="shared" si="4"/>
        <v>0</v>
      </c>
      <c r="T42" s="906">
        <f t="shared" si="5"/>
        <v>2750.3409667073738</v>
      </c>
      <c r="U42" s="906">
        <f t="shared" si="6"/>
        <v>119.04483027627226</v>
      </c>
      <c r="V42" s="915">
        <f t="shared" si="7"/>
        <v>79.363220184181515</v>
      </c>
      <c r="W42" s="1450">
        <f t="shared" si="8"/>
        <v>0.13527885904981399</v>
      </c>
      <c r="X42" s="914">
        <f>'Baseline data (from input)'!AS28*W42</f>
        <v>3594.9906944801801</v>
      </c>
      <c r="Y42" s="908">
        <f>Parameters!S143</f>
        <v>0.71500000000000008</v>
      </c>
      <c r="Z42" s="908">
        <f t="shared" si="9"/>
        <v>0.4</v>
      </c>
      <c r="AA42" s="906">
        <f t="shared" si="10"/>
        <v>514.08366931066587</v>
      </c>
      <c r="AB42" s="906">
        <f t="shared" si="11"/>
        <v>514.08366931066587</v>
      </c>
      <c r="AC42" s="286">
        <f t="shared" si="12"/>
        <v>0</v>
      </c>
      <c r="AD42" s="906">
        <f t="shared" si="13"/>
        <v>3878.9688787495438</v>
      </c>
      <c r="AE42" s="906">
        <f t="shared" si="14"/>
        <v>172.52135386739852</v>
      </c>
      <c r="AF42" s="915">
        <f t="shared" si="15"/>
        <v>115.01423591159902</v>
      </c>
      <c r="AG42" s="1450">
        <f t="shared" si="16"/>
        <v>0.13527885904981399</v>
      </c>
      <c r="AH42" s="914">
        <f>'Baseline data (from input)'!AS28*AG42</f>
        <v>3594.9906944801801</v>
      </c>
      <c r="AI42" s="908">
        <f>Parameters!S143</f>
        <v>0.71500000000000008</v>
      </c>
      <c r="AJ42" s="908">
        <f t="shared" si="17"/>
        <v>0.4</v>
      </c>
      <c r="AK42" s="906">
        <f t="shared" si="18"/>
        <v>514.08366931066587</v>
      </c>
      <c r="AL42" s="906">
        <f t="shared" si="19"/>
        <v>514.08366931066587</v>
      </c>
      <c r="AM42" s="286">
        <f t="shared" si="20"/>
        <v>0</v>
      </c>
      <c r="AN42" s="906">
        <f t="shared" si="21"/>
        <v>3878.9688787495438</v>
      </c>
      <c r="AO42" s="906">
        <f t="shared" si="22"/>
        <v>172.52135386739852</v>
      </c>
      <c r="AP42" s="915">
        <f t="shared" si="23"/>
        <v>115.01423591159902</v>
      </c>
      <c r="AR42" s="914">
        <v>0</v>
      </c>
      <c r="AS42" s="907">
        <v>1</v>
      </c>
      <c r="AT42" s="907">
        <f t="shared" si="24"/>
        <v>0.05</v>
      </c>
      <c r="AU42" s="906">
        <f t="shared" si="25"/>
        <v>0</v>
      </c>
      <c r="AV42" s="906">
        <f t="shared" si="26"/>
        <v>0</v>
      </c>
      <c r="AW42" s="286">
        <f t="shared" si="27"/>
        <v>0</v>
      </c>
      <c r="AX42" s="922">
        <f t="shared" si="28"/>
        <v>0</v>
      </c>
      <c r="AY42" s="922">
        <f t="shared" si="29"/>
        <v>0</v>
      </c>
      <c r="AZ42" s="915">
        <f t="shared" si="30"/>
        <v>0</v>
      </c>
      <c r="BB42" s="300">
        <f t="shared" si="31"/>
        <v>79.363220184181515</v>
      </c>
      <c r="BC42" s="301">
        <f t="shared" si="32"/>
        <v>115.01423591159902</v>
      </c>
      <c r="BD42" s="1080">
        <f t="shared" si="33"/>
        <v>0</v>
      </c>
      <c r="BE42" s="301">
        <f t="shared" si="34"/>
        <v>194.37745609578053</v>
      </c>
      <c r="BF42" s="104">
        <v>0</v>
      </c>
      <c r="BG42" s="302">
        <f t="shared" si="35"/>
        <v>194.37745609578053</v>
      </c>
      <c r="BI42" s="300">
        <f t="shared" si="36"/>
        <v>79.363220184181515</v>
      </c>
      <c r="BJ42" s="301">
        <f t="shared" si="37"/>
        <v>115.01423591159902</v>
      </c>
      <c r="BK42" s="1080">
        <f t="shared" si="38"/>
        <v>0</v>
      </c>
      <c r="BL42" s="301">
        <f t="shared" si="39"/>
        <v>194.37745609578053</v>
      </c>
      <c r="BM42" s="104">
        <v>0</v>
      </c>
      <c r="BN42" s="302">
        <f t="shared" si="40"/>
        <v>194.37745609578053</v>
      </c>
    </row>
    <row r="43" spans="1:66">
      <c r="A43" s="127">
        <f>'Input data'!A73</f>
        <v>1973</v>
      </c>
      <c r="B43" s="866">
        <f>'Input data'!B73</f>
        <v>21.526959999999999</v>
      </c>
      <c r="C43" s="866">
        <f>'Baseline data (from input)'!B29</f>
        <v>578.73</v>
      </c>
      <c r="D43" s="777">
        <f>'Baseline data (from input)'!T29</f>
        <v>0.8</v>
      </c>
      <c r="E43" s="777">
        <f t="shared" si="43"/>
        <v>0.24001298204245269</v>
      </c>
      <c r="F43" s="777">
        <f t="shared" si="43"/>
        <v>0.30440139352934503</v>
      </c>
      <c r="G43" s="777">
        <f t="shared" si="43"/>
        <v>5.8998240613430578E-2</v>
      </c>
      <c r="H43" s="777">
        <f t="shared" si="43"/>
        <v>0</v>
      </c>
      <c r="I43" s="777">
        <f t="shared" si="43"/>
        <v>0</v>
      </c>
      <c r="J43" s="777">
        <f t="shared" si="43"/>
        <v>0</v>
      </c>
      <c r="K43" s="777">
        <f t="shared" si="43"/>
        <v>0.39658738381477154</v>
      </c>
      <c r="L43" s="874">
        <f t="shared" si="42"/>
        <v>0.99999999999999989</v>
      </c>
      <c r="N43" s="300">
        <f t="shared" si="1"/>
        <v>9966.6380486400012</v>
      </c>
      <c r="O43" s="908">
        <f>Parameters!R144</f>
        <v>0.73</v>
      </c>
      <c r="P43" s="908">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906">
        <f t="shared" si="2"/>
        <v>438.29043922012539</v>
      </c>
      <c r="R43" s="906">
        <f t="shared" si="3"/>
        <v>438.29043922012539</v>
      </c>
      <c r="S43" s="286">
        <f t="shared" si="4"/>
        <v>0</v>
      </c>
      <c r="T43" s="906">
        <f t="shared" si="5"/>
        <v>3054.495694161918</v>
      </c>
      <c r="U43" s="906">
        <f t="shared" si="6"/>
        <v>134.13571176558116</v>
      </c>
      <c r="V43" s="915">
        <f t="shared" si="7"/>
        <v>89.42380784372078</v>
      </c>
      <c r="W43" s="1450">
        <f t="shared" si="8"/>
        <v>0.13527885904981399</v>
      </c>
      <c r="X43" s="914">
        <f>'Baseline data (from input)'!AS29*W43</f>
        <v>3759.3535903374673</v>
      </c>
      <c r="Y43" s="908">
        <f>Parameters!S144</f>
        <v>0.71500000000000008</v>
      </c>
      <c r="Z43" s="908">
        <f t="shared" si="9"/>
        <v>0.4</v>
      </c>
      <c r="AA43" s="906">
        <f t="shared" si="10"/>
        <v>537.5875634182579</v>
      </c>
      <c r="AB43" s="906">
        <f t="shared" si="11"/>
        <v>537.5875634182579</v>
      </c>
      <c r="AC43" s="286">
        <f t="shared" si="12"/>
        <v>0</v>
      </c>
      <c r="AD43" s="906">
        <f t="shared" si="13"/>
        <v>4227.3768976073661</v>
      </c>
      <c r="AE43" s="906">
        <f t="shared" si="14"/>
        <v>189.17954456043532</v>
      </c>
      <c r="AF43" s="915">
        <f t="shared" si="15"/>
        <v>126.11969637362354</v>
      </c>
      <c r="AG43" s="1450">
        <f t="shared" si="16"/>
        <v>0.13527885904981399</v>
      </c>
      <c r="AH43" s="914">
        <f>'Baseline data (from input)'!AS29*AG43</f>
        <v>3759.3535903374673</v>
      </c>
      <c r="AI43" s="908">
        <f>Parameters!S144</f>
        <v>0.71500000000000008</v>
      </c>
      <c r="AJ43" s="908">
        <f t="shared" si="17"/>
        <v>0.4</v>
      </c>
      <c r="AK43" s="906">
        <f t="shared" si="18"/>
        <v>537.5875634182579</v>
      </c>
      <c r="AL43" s="906">
        <f t="shared" si="19"/>
        <v>537.5875634182579</v>
      </c>
      <c r="AM43" s="286">
        <f t="shared" si="20"/>
        <v>0</v>
      </c>
      <c r="AN43" s="906">
        <f t="shared" si="21"/>
        <v>4227.3768976073661</v>
      </c>
      <c r="AO43" s="906">
        <f t="shared" si="22"/>
        <v>189.17954456043532</v>
      </c>
      <c r="AP43" s="915">
        <f t="shared" si="23"/>
        <v>126.11969637362354</v>
      </c>
      <c r="AR43" s="914">
        <v>0</v>
      </c>
      <c r="AS43" s="907">
        <v>1</v>
      </c>
      <c r="AT43" s="907">
        <f t="shared" si="24"/>
        <v>0.05</v>
      </c>
      <c r="AU43" s="906">
        <f t="shared" si="25"/>
        <v>0</v>
      </c>
      <c r="AV43" s="906">
        <f t="shared" si="26"/>
        <v>0</v>
      </c>
      <c r="AW43" s="286">
        <f t="shared" si="27"/>
        <v>0</v>
      </c>
      <c r="AX43" s="922">
        <f t="shared" si="28"/>
        <v>0</v>
      </c>
      <c r="AY43" s="922">
        <f t="shared" si="29"/>
        <v>0</v>
      </c>
      <c r="AZ43" s="915">
        <f t="shared" si="30"/>
        <v>0</v>
      </c>
      <c r="BB43" s="300">
        <f t="shared" si="31"/>
        <v>89.42380784372078</v>
      </c>
      <c r="BC43" s="301">
        <f t="shared" si="32"/>
        <v>126.11969637362354</v>
      </c>
      <c r="BD43" s="1080">
        <f t="shared" si="33"/>
        <v>0</v>
      </c>
      <c r="BE43" s="301">
        <f t="shared" si="34"/>
        <v>215.54350421734432</v>
      </c>
      <c r="BF43" s="104">
        <v>0</v>
      </c>
      <c r="BG43" s="302">
        <f t="shared" si="35"/>
        <v>215.54350421734432</v>
      </c>
      <c r="BI43" s="300">
        <f t="shared" si="36"/>
        <v>89.42380784372078</v>
      </c>
      <c r="BJ43" s="301">
        <f t="shared" si="37"/>
        <v>126.11969637362354</v>
      </c>
      <c r="BK43" s="1080">
        <f t="shared" si="38"/>
        <v>0</v>
      </c>
      <c r="BL43" s="301">
        <f t="shared" si="39"/>
        <v>215.54350421734432</v>
      </c>
      <c r="BM43" s="104">
        <v>0</v>
      </c>
      <c r="BN43" s="302">
        <f t="shared" si="40"/>
        <v>215.54350421734432</v>
      </c>
    </row>
    <row r="44" spans="1:66">
      <c r="A44" s="127">
        <f>'Input data'!A74</f>
        <v>1974</v>
      </c>
      <c r="B44" s="866">
        <f>'Input data'!B74</f>
        <v>22.012900000000002</v>
      </c>
      <c r="C44" s="866">
        <f>'Baseline data (from input)'!B30</f>
        <v>578.73</v>
      </c>
      <c r="D44" s="777">
        <f>'Baseline data (from input)'!T30</f>
        <v>0.8</v>
      </c>
      <c r="E44" s="777">
        <f t="shared" si="43"/>
        <v>0.24001298204245269</v>
      </c>
      <c r="F44" s="777">
        <f t="shared" si="43"/>
        <v>0.30440139352934503</v>
      </c>
      <c r="G44" s="777">
        <f t="shared" si="43"/>
        <v>5.8998240613430578E-2</v>
      </c>
      <c r="H44" s="777">
        <f t="shared" si="43"/>
        <v>0</v>
      </c>
      <c r="I44" s="777">
        <f t="shared" si="43"/>
        <v>0</v>
      </c>
      <c r="J44" s="777">
        <f t="shared" si="43"/>
        <v>0</v>
      </c>
      <c r="K44" s="777">
        <f t="shared" si="43"/>
        <v>0.39658738381477154</v>
      </c>
      <c r="L44" s="874">
        <f t="shared" si="42"/>
        <v>0.99999999999999989</v>
      </c>
      <c r="N44" s="300">
        <f t="shared" si="1"/>
        <v>10191.620493600001</v>
      </c>
      <c r="O44" s="908">
        <f>Parameters!R145</f>
        <v>0.73</v>
      </c>
      <c r="P44" s="908">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906">
        <f t="shared" si="2"/>
        <v>448.18421223938253</v>
      </c>
      <c r="R44" s="906">
        <f t="shared" si="3"/>
        <v>448.18421223938253</v>
      </c>
      <c r="S44" s="286">
        <f t="shared" si="4"/>
        <v>0</v>
      </c>
      <c r="T44" s="906">
        <f t="shared" si="5"/>
        <v>3353.7103935369323</v>
      </c>
      <c r="U44" s="906">
        <f t="shared" si="6"/>
        <v>148.96951286436777</v>
      </c>
      <c r="V44" s="915">
        <f t="shared" si="7"/>
        <v>99.313008576245181</v>
      </c>
      <c r="W44" s="1450">
        <f t="shared" si="8"/>
        <v>0.13527885904981399</v>
      </c>
      <c r="X44" s="914">
        <f>'Baseline data (from input)'!AS30*W44</f>
        <v>3989.0897356245496</v>
      </c>
      <c r="Y44" s="908">
        <f>Parameters!S145</f>
        <v>0.71500000000000008</v>
      </c>
      <c r="Z44" s="908">
        <f t="shared" si="9"/>
        <v>0.4</v>
      </c>
      <c r="AA44" s="906">
        <f t="shared" si="10"/>
        <v>570.43983219431072</v>
      </c>
      <c r="AB44" s="906">
        <f t="shared" si="11"/>
        <v>570.43983219431072</v>
      </c>
      <c r="AC44" s="286">
        <f t="shared" si="12"/>
        <v>0</v>
      </c>
      <c r="AD44" s="906">
        <f t="shared" si="13"/>
        <v>4591.645125652979</v>
      </c>
      <c r="AE44" s="906">
        <f t="shared" si="14"/>
        <v>206.17160414869741</v>
      </c>
      <c r="AF44" s="915">
        <f t="shared" si="15"/>
        <v>137.44773609913162</v>
      </c>
      <c r="AG44" s="1450">
        <f t="shared" si="16"/>
        <v>0.13527885904981399</v>
      </c>
      <c r="AH44" s="914">
        <f>'Baseline data (from input)'!AS30*AG44</f>
        <v>3989.0897356245496</v>
      </c>
      <c r="AI44" s="908">
        <f>Parameters!S145</f>
        <v>0.71500000000000008</v>
      </c>
      <c r="AJ44" s="908">
        <f t="shared" si="17"/>
        <v>0.4</v>
      </c>
      <c r="AK44" s="906">
        <f t="shared" si="18"/>
        <v>570.43983219431072</v>
      </c>
      <c r="AL44" s="906">
        <f t="shared" si="19"/>
        <v>570.43983219431072</v>
      </c>
      <c r="AM44" s="286">
        <f t="shared" si="20"/>
        <v>0</v>
      </c>
      <c r="AN44" s="906">
        <f t="shared" si="21"/>
        <v>4591.645125652979</v>
      </c>
      <c r="AO44" s="906">
        <f t="shared" si="22"/>
        <v>206.17160414869741</v>
      </c>
      <c r="AP44" s="915">
        <f t="shared" si="23"/>
        <v>137.44773609913162</v>
      </c>
      <c r="AR44" s="914">
        <v>0</v>
      </c>
      <c r="AS44" s="907">
        <v>1</v>
      </c>
      <c r="AT44" s="907">
        <f t="shared" si="24"/>
        <v>0.05</v>
      </c>
      <c r="AU44" s="906">
        <f t="shared" si="25"/>
        <v>0</v>
      </c>
      <c r="AV44" s="906">
        <f t="shared" si="26"/>
        <v>0</v>
      </c>
      <c r="AW44" s="286">
        <f t="shared" si="27"/>
        <v>0</v>
      </c>
      <c r="AX44" s="922">
        <f t="shared" si="28"/>
        <v>0</v>
      </c>
      <c r="AY44" s="922">
        <f t="shared" si="29"/>
        <v>0</v>
      </c>
      <c r="AZ44" s="915">
        <f t="shared" si="30"/>
        <v>0</v>
      </c>
      <c r="BB44" s="300">
        <f t="shared" si="31"/>
        <v>99.313008576245181</v>
      </c>
      <c r="BC44" s="301">
        <f t="shared" si="32"/>
        <v>137.44773609913162</v>
      </c>
      <c r="BD44" s="1080">
        <f t="shared" si="33"/>
        <v>0</v>
      </c>
      <c r="BE44" s="301">
        <f t="shared" si="34"/>
        <v>236.7607446753768</v>
      </c>
      <c r="BF44" s="104">
        <v>0</v>
      </c>
      <c r="BG44" s="302">
        <f t="shared" si="35"/>
        <v>236.7607446753768</v>
      </c>
      <c r="BI44" s="300">
        <f t="shared" si="36"/>
        <v>99.313008576245181</v>
      </c>
      <c r="BJ44" s="301">
        <f t="shared" si="37"/>
        <v>137.44773609913162</v>
      </c>
      <c r="BK44" s="1080">
        <f t="shared" si="38"/>
        <v>0</v>
      </c>
      <c r="BL44" s="301">
        <f t="shared" si="39"/>
        <v>236.7607446753768</v>
      </c>
      <c r="BM44" s="104">
        <v>0</v>
      </c>
      <c r="BN44" s="302">
        <f t="shared" si="40"/>
        <v>236.7607446753768</v>
      </c>
    </row>
    <row r="45" spans="1:66">
      <c r="A45" s="127">
        <f>'Input data'!A75</f>
        <v>1975</v>
      </c>
      <c r="B45" s="866">
        <f>'Input data'!B75</f>
        <v>22.502480000000002</v>
      </c>
      <c r="C45" s="866">
        <f>'Baseline data (from input)'!B31</f>
        <v>578.73</v>
      </c>
      <c r="D45" s="777">
        <f>'Baseline data (from input)'!T31</f>
        <v>0.8</v>
      </c>
      <c r="E45" s="777">
        <f t="shared" si="43"/>
        <v>0.24001298204245269</v>
      </c>
      <c r="F45" s="777">
        <f t="shared" si="43"/>
        <v>0.30440139352934503</v>
      </c>
      <c r="G45" s="777">
        <f t="shared" si="43"/>
        <v>5.8998240613430578E-2</v>
      </c>
      <c r="H45" s="777">
        <f t="shared" si="43"/>
        <v>0</v>
      </c>
      <c r="I45" s="777">
        <f t="shared" si="43"/>
        <v>0</v>
      </c>
      <c r="J45" s="777">
        <f t="shared" si="43"/>
        <v>0</v>
      </c>
      <c r="K45" s="777">
        <f t="shared" si="43"/>
        <v>0.39658738381477154</v>
      </c>
      <c r="L45" s="874">
        <f t="shared" si="42"/>
        <v>0.99999999999999989</v>
      </c>
      <c r="N45" s="300">
        <f t="shared" si="1"/>
        <v>10418.288200320001</v>
      </c>
      <c r="O45" s="908">
        <f>Parameters!R146</f>
        <v>0.73</v>
      </c>
      <c r="P45" s="908">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906">
        <f t="shared" si="2"/>
        <v>458.15209591795991</v>
      </c>
      <c r="R45" s="906">
        <f t="shared" si="3"/>
        <v>458.15209591795991</v>
      </c>
      <c r="S45" s="286">
        <f t="shared" si="4"/>
        <v>0</v>
      </c>
      <c r="T45" s="906">
        <f t="shared" si="5"/>
        <v>3648.3001035041589</v>
      </c>
      <c r="U45" s="906">
        <f t="shared" si="6"/>
        <v>163.56238595073307</v>
      </c>
      <c r="V45" s="915">
        <f t="shared" si="7"/>
        <v>109.04159063382205</v>
      </c>
      <c r="W45" s="1450">
        <f t="shared" si="8"/>
        <v>0.13527885904981399</v>
      </c>
      <c r="X45" s="914">
        <f>'Baseline data (from input)'!AS31*W45</f>
        <v>4056.7226848260902</v>
      </c>
      <c r="Y45" s="908">
        <f>Parameters!S146</f>
        <v>0.71500000000000008</v>
      </c>
      <c r="Z45" s="908">
        <f t="shared" si="9"/>
        <v>0.4</v>
      </c>
      <c r="AA45" s="906">
        <f t="shared" si="10"/>
        <v>580.11134393013106</v>
      </c>
      <c r="AB45" s="906">
        <f t="shared" si="11"/>
        <v>580.11134393013106</v>
      </c>
      <c r="AC45" s="286">
        <f t="shared" si="12"/>
        <v>0</v>
      </c>
      <c r="AD45" s="906">
        <f t="shared" si="13"/>
        <v>4947.8192943165222</v>
      </c>
      <c r="AE45" s="906">
        <f t="shared" si="14"/>
        <v>223.9371752665871</v>
      </c>
      <c r="AF45" s="915">
        <f t="shared" si="15"/>
        <v>149.29145017772473</v>
      </c>
      <c r="AG45" s="1450">
        <f t="shared" si="16"/>
        <v>0.13527885904981399</v>
      </c>
      <c r="AH45" s="914">
        <f>'Baseline data (from input)'!AS31*AG45</f>
        <v>4056.7226848260902</v>
      </c>
      <c r="AI45" s="908">
        <f>Parameters!S146</f>
        <v>0.71500000000000008</v>
      </c>
      <c r="AJ45" s="908">
        <f t="shared" si="17"/>
        <v>0.4</v>
      </c>
      <c r="AK45" s="906">
        <f t="shared" si="18"/>
        <v>580.11134393013106</v>
      </c>
      <c r="AL45" s="906">
        <f t="shared" si="19"/>
        <v>580.11134393013106</v>
      </c>
      <c r="AM45" s="286">
        <f t="shared" si="20"/>
        <v>0</v>
      </c>
      <c r="AN45" s="906">
        <f t="shared" si="21"/>
        <v>4947.8192943165222</v>
      </c>
      <c r="AO45" s="906">
        <f t="shared" si="22"/>
        <v>223.9371752665871</v>
      </c>
      <c r="AP45" s="915">
        <f t="shared" si="23"/>
        <v>149.29145017772473</v>
      </c>
      <c r="AR45" s="914">
        <v>0</v>
      </c>
      <c r="AS45" s="907">
        <v>1</v>
      </c>
      <c r="AT45" s="907">
        <f t="shared" si="24"/>
        <v>0.05</v>
      </c>
      <c r="AU45" s="906">
        <f t="shared" si="25"/>
        <v>0</v>
      </c>
      <c r="AV45" s="906">
        <f t="shared" si="26"/>
        <v>0</v>
      </c>
      <c r="AW45" s="286">
        <f t="shared" si="27"/>
        <v>0</v>
      </c>
      <c r="AX45" s="922">
        <f t="shared" si="28"/>
        <v>0</v>
      </c>
      <c r="AY45" s="922">
        <f t="shared" si="29"/>
        <v>0</v>
      </c>
      <c r="AZ45" s="915">
        <f t="shared" si="30"/>
        <v>0</v>
      </c>
      <c r="BB45" s="300">
        <f t="shared" si="31"/>
        <v>109.04159063382205</v>
      </c>
      <c r="BC45" s="301">
        <f t="shared" si="32"/>
        <v>149.29145017772473</v>
      </c>
      <c r="BD45" s="1080">
        <f t="shared" si="33"/>
        <v>0</v>
      </c>
      <c r="BE45" s="301">
        <f t="shared" si="34"/>
        <v>258.33304081154677</v>
      </c>
      <c r="BF45" s="104">
        <v>0</v>
      </c>
      <c r="BG45" s="302">
        <f t="shared" si="35"/>
        <v>258.33304081154677</v>
      </c>
      <c r="BI45" s="300">
        <f t="shared" si="36"/>
        <v>109.04159063382205</v>
      </c>
      <c r="BJ45" s="301">
        <f t="shared" si="37"/>
        <v>149.29145017772473</v>
      </c>
      <c r="BK45" s="1080">
        <f t="shared" si="38"/>
        <v>0</v>
      </c>
      <c r="BL45" s="301">
        <f t="shared" si="39"/>
        <v>258.33304081154677</v>
      </c>
      <c r="BM45" s="104">
        <v>0</v>
      </c>
      <c r="BN45" s="302">
        <f t="shared" si="40"/>
        <v>258.33304081154677</v>
      </c>
    </row>
    <row r="46" spans="1:66">
      <c r="A46" s="127">
        <f>'Input data'!A76</f>
        <v>1976</v>
      </c>
      <c r="B46" s="866">
        <f>'Input data'!B76</f>
        <v>22.993880000000001</v>
      </c>
      <c r="C46" s="866">
        <f>'Baseline data (from input)'!B32</f>
        <v>578.73</v>
      </c>
      <c r="D46" s="777">
        <f>'Baseline data (from input)'!T32</f>
        <v>0.8</v>
      </c>
      <c r="E46" s="777">
        <f t="shared" si="43"/>
        <v>0.24001298204245269</v>
      </c>
      <c r="F46" s="777">
        <f t="shared" si="43"/>
        <v>0.30440139352934503</v>
      </c>
      <c r="G46" s="777">
        <f t="shared" si="43"/>
        <v>5.8998240613430578E-2</v>
      </c>
      <c r="H46" s="777">
        <f t="shared" si="43"/>
        <v>0</v>
      </c>
      <c r="I46" s="777">
        <f t="shared" si="43"/>
        <v>0</v>
      </c>
      <c r="J46" s="777">
        <f t="shared" si="43"/>
        <v>0</v>
      </c>
      <c r="K46" s="777">
        <f t="shared" si="43"/>
        <v>0.39658738381477154</v>
      </c>
      <c r="L46" s="874">
        <f t="shared" si="42"/>
        <v>0.99999999999999989</v>
      </c>
      <c r="N46" s="300">
        <f t="shared" si="1"/>
        <v>10645.798537920002</v>
      </c>
      <c r="O46" s="908">
        <f>Parameters!R147</f>
        <v>0.73</v>
      </c>
      <c r="P46" s="908">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906">
        <f t="shared" si="2"/>
        <v>468.15703492619758</v>
      </c>
      <c r="R46" s="906">
        <f t="shared" si="3"/>
        <v>468.15703492619758</v>
      </c>
      <c r="S46" s="286">
        <f t="shared" si="4"/>
        <v>0</v>
      </c>
      <c r="T46" s="906">
        <f t="shared" si="5"/>
        <v>3938.5274427883537</v>
      </c>
      <c r="U46" s="906">
        <f t="shared" si="6"/>
        <v>177.92969564200246</v>
      </c>
      <c r="V46" s="915">
        <f t="shared" si="7"/>
        <v>118.6197970946683</v>
      </c>
      <c r="W46" s="1450">
        <f t="shared" si="8"/>
        <v>0.13527885904981399</v>
      </c>
      <c r="X46" s="914">
        <f>'Baseline data (from input)'!AS32*W46</f>
        <v>4147.9950529715297</v>
      </c>
      <c r="Y46" s="908">
        <f>Parameters!S147</f>
        <v>0.71500000000000008</v>
      </c>
      <c r="Z46" s="908">
        <f t="shared" si="9"/>
        <v>0.4</v>
      </c>
      <c r="AA46" s="906">
        <f t="shared" si="10"/>
        <v>593.16329257492885</v>
      </c>
      <c r="AB46" s="906">
        <f t="shared" si="11"/>
        <v>593.16329257492885</v>
      </c>
      <c r="AC46" s="286">
        <f t="shared" si="12"/>
        <v>0</v>
      </c>
      <c r="AD46" s="906">
        <f t="shared" si="13"/>
        <v>5299.6745924411634</v>
      </c>
      <c r="AE46" s="906">
        <f t="shared" si="14"/>
        <v>241.30799445028785</v>
      </c>
      <c r="AF46" s="915">
        <f t="shared" si="15"/>
        <v>160.87199630019191</v>
      </c>
      <c r="AG46" s="1450">
        <f t="shared" si="16"/>
        <v>0.13527885904981399</v>
      </c>
      <c r="AH46" s="914">
        <f>'Baseline data (from input)'!AS32*AG46</f>
        <v>4147.9950529715297</v>
      </c>
      <c r="AI46" s="908">
        <f>Parameters!S147</f>
        <v>0.71500000000000008</v>
      </c>
      <c r="AJ46" s="908">
        <f t="shared" si="17"/>
        <v>0.4</v>
      </c>
      <c r="AK46" s="906">
        <f t="shared" si="18"/>
        <v>593.16329257492885</v>
      </c>
      <c r="AL46" s="906">
        <f t="shared" si="19"/>
        <v>593.16329257492885</v>
      </c>
      <c r="AM46" s="286">
        <f t="shared" si="20"/>
        <v>0</v>
      </c>
      <c r="AN46" s="906">
        <f t="shared" si="21"/>
        <v>5299.6745924411634</v>
      </c>
      <c r="AO46" s="906">
        <f t="shared" si="22"/>
        <v>241.30799445028785</v>
      </c>
      <c r="AP46" s="915">
        <f t="shared" si="23"/>
        <v>160.87199630019191</v>
      </c>
      <c r="AR46" s="914">
        <v>0</v>
      </c>
      <c r="AS46" s="907">
        <v>1</v>
      </c>
      <c r="AT46" s="907">
        <f t="shared" si="24"/>
        <v>0.05</v>
      </c>
      <c r="AU46" s="906">
        <f t="shared" si="25"/>
        <v>0</v>
      </c>
      <c r="AV46" s="906">
        <f t="shared" si="26"/>
        <v>0</v>
      </c>
      <c r="AW46" s="286">
        <f t="shared" si="27"/>
        <v>0</v>
      </c>
      <c r="AX46" s="922">
        <f t="shared" si="28"/>
        <v>0</v>
      </c>
      <c r="AY46" s="922">
        <f t="shared" si="29"/>
        <v>0</v>
      </c>
      <c r="AZ46" s="915">
        <f t="shared" si="30"/>
        <v>0</v>
      </c>
      <c r="BB46" s="300">
        <f t="shared" si="31"/>
        <v>118.6197970946683</v>
      </c>
      <c r="BC46" s="301">
        <f t="shared" si="32"/>
        <v>160.87199630019191</v>
      </c>
      <c r="BD46" s="1080">
        <f t="shared" si="33"/>
        <v>0</v>
      </c>
      <c r="BE46" s="301">
        <f t="shared" si="34"/>
        <v>279.49179339486022</v>
      </c>
      <c r="BF46" s="104">
        <v>0</v>
      </c>
      <c r="BG46" s="302">
        <f t="shared" si="35"/>
        <v>279.49179339486022</v>
      </c>
      <c r="BI46" s="300">
        <f t="shared" si="36"/>
        <v>118.6197970946683</v>
      </c>
      <c r="BJ46" s="301">
        <f t="shared" si="37"/>
        <v>160.87199630019191</v>
      </c>
      <c r="BK46" s="1080">
        <f t="shared" si="38"/>
        <v>0</v>
      </c>
      <c r="BL46" s="301">
        <f t="shared" si="39"/>
        <v>279.49179339486022</v>
      </c>
      <c r="BM46" s="104">
        <v>0</v>
      </c>
      <c r="BN46" s="302">
        <f t="shared" si="40"/>
        <v>279.49179339486022</v>
      </c>
    </row>
    <row r="47" spans="1:66">
      <c r="A47" s="127">
        <f>'Input data'!A77</f>
        <v>1977</v>
      </c>
      <c r="B47" s="866">
        <f>'Input data'!B77</f>
        <v>23.483460000000001</v>
      </c>
      <c r="C47" s="866">
        <f>'Baseline data (from input)'!B33</f>
        <v>578.73</v>
      </c>
      <c r="D47" s="777">
        <f>'Baseline data (from input)'!T33</f>
        <v>0.8</v>
      </c>
      <c r="E47" s="777">
        <f t="shared" si="43"/>
        <v>0.24001298204245269</v>
      </c>
      <c r="F47" s="777">
        <f t="shared" si="43"/>
        <v>0.30440139352934503</v>
      </c>
      <c r="G47" s="777">
        <f t="shared" si="43"/>
        <v>5.8998240613430578E-2</v>
      </c>
      <c r="H47" s="777">
        <f t="shared" si="43"/>
        <v>0</v>
      </c>
      <c r="I47" s="777">
        <f t="shared" si="43"/>
        <v>0</v>
      </c>
      <c r="J47" s="777">
        <f t="shared" si="43"/>
        <v>0</v>
      </c>
      <c r="K47" s="777">
        <f t="shared" si="43"/>
        <v>0.39658738381477154</v>
      </c>
      <c r="L47" s="874">
        <f t="shared" si="42"/>
        <v>0.99999999999999989</v>
      </c>
      <c r="N47" s="300">
        <f t="shared" si="1"/>
        <v>10872.466244640002</v>
      </c>
      <c r="O47" s="908">
        <f>Parameters!R148</f>
        <v>0.73</v>
      </c>
      <c r="P47" s="908">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906">
        <f t="shared" si="2"/>
        <v>478.12491860477496</v>
      </c>
      <c r="R47" s="906">
        <f t="shared" si="3"/>
        <v>478.12491860477496</v>
      </c>
      <c r="S47" s="286">
        <f t="shared" si="4"/>
        <v>0</v>
      </c>
      <c r="T47" s="906">
        <f t="shared" si="5"/>
        <v>4224.5681113886094</v>
      </c>
      <c r="U47" s="906">
        <f t="shared" si="6"/>
        <v>192.08425000451916</v>
      </c>
      <c r="V47" s="915">
        <f t="shared" si="7"/>
        <v>128.05616666967944</v>
      </c>
      <c r="W47" s="1450">
        <f t="shared" si="8"/>
        <v>0.13527885904981399</v>
      </c>
      <c r="X47" s="914">
        <f>'Baseline data (from input)'!AS33*W47</f>
        <v>4144.0943807132735</v>
      </c>
      <c r="Y47" s="908">
        <f>Parameters!S148</f>
        <v>0.71500000000000008</v>
      </c>
      <c r="Z47" s="908">
        <f t="shared" si="9"/>
        <v>0.4</v>
      </c>
      <c r="AA47" s="906">
        <f t="shared" si="10"/>
        <v>592.60549644199818</v>
      </c>
      <c r="AB47" s="906">
        <f t="shared" si="11"/>
        <v>592.60549644199818</v>
      </c>
      <c r="AC47" s="286">
        <f t="shared" si="12"/>
        <v>0</v>
      </c>
      <c r="AD47" s="906">
        <f t="shared" si="13"/>
        <v>5633.8119090508626</v>
      </c>
      <c r="AE47" s="906">
        <f t="shared" si="14"/>
        <v>258.46817983229943</v>
      </c>
      <c r="AF47" s="915">
        <f t="shared" si="15"/>
        <v>172.31211988819962</v>
      </c>
      <c r="AG47" s="1450">
        <f t="shared" si="16"/>
        <v>0.13527885904981399</v>
      </c>
      <c r="AH47" s="914">
        <f>'Baseline data (from input)'!AS33*AG47</f>
        <v>4144.0943807132735</v>
      </c>
      <c r="AI47" s="908">
        <f>Parameters!S148</f>
        <v>0.71500000000000008</v>
      </c>
      <c r="AJ47" s="908">
        <f t="shared" si="17"/>
        <v>0.4</v>
      </c>
      <c r="AK47" s="906">
        <f t="shared" si="18"/>
        <v>592.60549644199818</v>
      </c>
      <c r="AL47" s="906">
        <f t="shared" si="19"/>
        <v>592.60549644199818</v>
      </c>
      <c r="AM47" s="286">
        <f t="shared" si="20"/>
        <v>0</v>
      </c>
      <c r="AN47" s="906">
        <f t="shared" si="21"/>
        <v>5633.8119090508626</v>
      </c>
      <c r="AO47" s="906">
        <f t="shared" si="22"/>
        <v>258.46817983229943</v>
      </c>
      <c r="AP47" s="915">
        <f t="shared" si="23"/>
        <v>172.31211988819962</v>
      </c>
      <c r="AR47" s="914">
        <v>0</v>
      </c>
      <c r="AS47" s="907">
        <v>1</v>
      </c>
      <c r="AT47" s="907">
        <f t="shared" si="24"/>
        <v>0.05</v>
      </c>
      <c r="AU47" s="906">
        <f t="shared" si="25"/>
        <v>0</v>
      </c>
      <c r="AV47" s="906">
        <f t="shared" si="26"/>
        <v>0</v>
      </c>
      <c r="AW47" s="286">
        <f t="shared" si="27"/>
        <v>0</v>
      </c>
      <c r="AX47" s="922">
        <f t="shared" si="28"/>
        <v>0</v>
      </c>
      <c r="AY47" s="922">
        <f t="shared" si="29"/>
        <v>0</v>
      </c>
      <c r="AZ47" s="915">
        <f t="shared" si="30"/>
        <v>0</v>
      </c>
      <c r="BB47" s="300">
        <f t="shared" si="31"/>
        <v>128.05616666967944</v>
      </c>
      <c r="BC47" s="301">
        <f t="shared" si="32"/>
        <v>172.31211988819962</v>
      </c>
      <c r="BD47" s="1080">
        <f t="shared" si="33"/>
        <v>0</v>
      </c>
      <c r="BE47" s="301">
        <f t="shared" si="34"/>
        <v>300.36828655787906</v>
      </c>
      <c r="BF47" s="104">
        <v>0</v>
      </c>
      <c r="BG47" s="302">
        <f t="shared" si="35"/>
        <v>300.36828655787906</v>
      </c>
      <c r="BI47" s="300">
        <f t="shared" si="36"/>
        <v>128.05616666967944</v>
      </c>
      <c r="BJ47" s="301">
        <f t="shared" si="37"/>
        <v>172.31211988819962</v>
      </c>
      <c r="BK47" s="1080">
        <f t="shared" si="38"/>
        <v>0</v>
      </c>
      <c r="BL47" s="301">
        <f t="shared" si="39"/>
        <v>300.36828655787906</v>
      </c>
      <c r="BM47" s="104">
        <v>0</v>
      </c>
      <c r="BN47" s="302">
        <f t="shared" si="40"/>
        <v>300.36828655787906</v>
      </c>
    </row>
    <row r="48" spans="1:66">
      <c r="A48" s="127">
        <f>'Input data'!A78</f>
        <v>1978</v>
      </c>
      <c r="B48" s="866">
        <f>'Input data'!B78</f>
        <v>23.983049999999999</v>
      </c>
      <c r="C48" s="866">
        <f>'Baseline data (from input)'!B34</f>
        <v>578.73</v>
      </c>
      <c r="D48" s="777">
        <f>'Baseline data (from input)'!T34</f>
        <v>0.8</v>
      </c>
      <c r="E48" s="777">
        <f t="shared" si="43"/>
        <v>0.24001298204245269</v>
      </c>
      <c r="F48" s="777">
        <f t="shared" si="43"/>
        <v>0.30440139352934503</v>
      </c>
      <c r="G48" s="777">
        <f t="shared" si="43"/>
        <v>5.8998240613430578E-2</v>
      </c>
      <c r="H48" s="777">
        <f t="shared" si="43"/>
        <v>0</v>
      </c>
      <c r="I48" s="777">
        <f t="shared" si="43"/>
        <v>0</v>
      </c>
      <c r="J48" s="777">
        <f t="shared" si="43"/>
        <v>0</v>
      </c>
      <c r="K48" s="777">
        <f t="shared" si="43"/>
        <v>0.39658738381477154</v>
      </c>
      <c r="L48" s="874">
        <f t="shared" si="42"/>
        <v>0.99999999999999989</v>
      </c>
      <c r="N48" s="300">
        <f t="shared" si="1"/>
        <v>11103.7684212</v>
      </c>
      <c r="O48" s="908">
        <f>Parameters!R149</f>
        <v>0.73</v>
      </c>
      <c r="P48" s="908">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906">
        <f t="shared" si="2"/>
        <v>488.29660659648306</v>
      </c>
      <c r="R48" s="906">
        <f t="shared" si="3"/>
        <v>488.29660659648306</v>
      </c>
      <c r="S48" s="286">
        <f t="shared" si="4"/>
        <v>0</v>
      </c>
      <c r="T48" s="906">
        <f t="shared" si="5"/>
        <v>4506.8300999567382</v>
      </c>
      <c r="U48" s="906">
        <f t="shared" si="6"/>
        <v>206.03461802835417</v>
      </c>
      <c r="V48" s="915">
        <f t="shared" si="7"/>
        <v>137.35641201890277</v>
      </c>
      <c r="W48" s="1450">
        <f t="shared" si="8"/>
        <v>0.13527885904981399</v>
      </c>
      <c r="X48" s="914">
        <f>'Baseline data (from input)'!AS34*W48</f>
        <v>4269.0201350171292</v>
      </c>
      <c r="Y48" s="908">
        <f>Parameters!S149</f>
        <v>0.71500000000000008</v>
      </c>
      <c r="Z48" s="908">
        <f t="shared" si="9"/>
        <v>0.4</v>
      </c>
      <c r="AA48" s="906">
        <f t="shared" si="10"/>
        <v>610.46987930744956</v>
      </c>
      <c r="AB48" s="906">
        <f t="shared" si="11"/>
        <v>610.46987930744956</v>
      </c>
      <c r="AC48" s="286">
        <f t="shared" si="12"/>
        <v>0</v>
      </c>
      <c r="AD48" s="906">
        <f t="shared" si="13"/>
        <v>5969.5175392991705</v>
      </c>
      <c r="AE48" s="906">
        <f t="shared" si="14"/>
        <v>274.7642490591416</v>
      </c>
      <c r="AF48" s="915">
        <f t="shared" si="15"/>
        <v>183.17616603942773</v>
      </c>
      <c r="AG48" s="1450">
        <f t="shared" si="16"/>
        <v>0.13527885904981399</v>
      </c>
      <c r="AH48" s="914">
        <f>'Baseline data (from input)'!AS34*AG48</f>
        <v>4269.0201350171292</v>
      </c>
      <c r="AI48" s="908">
        <f>Parameters!S149</f>
        <v>0.71500000000000008</v>
      </c>
      <c r="AJ48" s="908">
        <f t="shared" si="17"/>
        <v>0.4</v>
      </c>
      <c r="AK48" s="906">
        <f t="shared" si="18"/>
        <v>610.46987930744956</v>
      </c>
      <c r="AL48" s="906">
        <f t="shared" si="19"/>
        <v>610.46987930744956</v>
      </c>
      <c r="AM48" s="286">
        <f t="shared" si="20"/>
        <v>0</v>
      </c>
      <c r="AN48" s="906">
        <f t="shared" si="21"/>
        <v>5969.5175392991705</v>
      </c>
      <c r="AO48" s="906">
        <f t="shared" si="22"/>
        <v>274.7642490591416</v>
      </c>
      <c r="AP48" s="915">
        <f t="shared" si="23"/>
        <v>183.17616603942773</v>
      </c>
      <c r="AR48" s="914">
        <v>0</v>
      </c>
      <c r="AS48" s="907">
        <v>1</v>
      </c>
      <c r="AT48" s="907">
        <f t="shared" si="24"/>
        <v>0.05</v>
      </c>
      <c r="AU48" s="906">
        <f t="shared" si="25"/>
        <v>0</v>
      </c>
      <c r="AV48" s="906">
        <f t="shared" si="26"/>
        <v>0</v>
      </c>
      <c r="AW48" s="286">
        <f t="shared" si="27"/>
        <v>0</v>
      </c>
      <c r="AX48" s="922">
        <f t="shared" si="28"/>
        <v>0</v>
      </c>
      <c r="AY48" s="922">
        <f t="shared" si="29"/>
        <v>0</v>
      </c>
      <c r="AZ48" s="915">
        <f t="shared" si="30"/>
        <v>0</v>
      </c>
      <c r="BB48" s="300">
        <f t="shared" si="31"/>
        <v>137.35641201890277</v>
      </c>
      <c r="BC48" s="301">
        <f t="shared" si="32"/>
        <v>183.17616603942773</v>
      </c>
      <c r="BD48" s="1080">
        <f t="shared" si="33"/>
        <v>0</v>
      </c>
      <c r="BE48" s="301">
        <f t="shared" si="34"/>
        <v>320.5325780583305</v>
      </c>
      <c r="BF48" s="104">
        <v>0</v>
      </c>
      <c r="BG48" s="302">
        <f t="shared" si="35"/>
        <v>320.5325780583305</v>
      </c>
      <c r="BI48" s="300">
        <f t="shared" si="36"/>
        <v>137.35641201890277</v>
      </c>
      <c r="BJ48" s="301">
        <f t="shared" si="37"/>
        <v>183.17616603942773</v>
      </c>
      <c r="BK48" s="1080">
        <f t="shared" si="38"/>
        <v>0</v>
      </c>
      <c r="BL48" s="301">
        <f t="shared" si="39"/>
        <v>320.5325780583305</v>
      </c>
      <c r="BM48" s="104">
        <v>0</v>
      </c>
      <c r="BN48" s="302">
        <f t="shared" si="40"/>
        <v>320.5325780583305</v>
      </c>
    </row>
    <row r="49" spans="1:66">
      <c r="A49" s="127">
        <f>'Input data'!A79</f>
        <v>1979</v>
      </c>
      <c r="B49" s="866">
        <f>'Input data'!B79</f>
        <v>24.516309999999997</v>
      </c>
      <c r="C49" s="866">
        <f>'Baseline data (from input)'!B35</f>
        <v>578.73</v>
      </c>
      <c r="D49" s="777">
        <f>'Baseline data (from input)'!T35</f>
        <v>0.8</v>
      </c>
      <c r="E49" s="777">
        <f t="shared" si="43"/>
        <v>0.24001298204245269</v>
      </c>
      <c r="F49" s="777">
        <f t="shared" si="43"/>
        <v>0.30440139352934503</v>
      </c>
      <c r="G49" s="777">
        <f t="shared" si="43"/>
        <v>5.8998240613430578E-2</v>
      </c>
      <c r="H49" s="777">
        <f t="shared" si="43"/>
        <v>0</v>
      </c>
      <c r="I49" s="777">
        <f t="shared" si="43"/>
        <v>0</v>
      </c>
      <c r="J49" s="777">
        <f t="shared" si="43"/>
        <v>0</v>
      </c>
      <c r="K49" s="777">
        <f t="shared" si="43"/>
        <v>0.39658738381477154</v>
      </c>
      <c r="L49" s="874">
        <f t="shared" si="42"/>
        <v>0.99999999999999989</v>
      </c>
      <c r="N49" s="300">
        <f t="shared" si="1"/>
        <v>11350.659269039999</v>
      </c>
      <c r="O49" s="908">
        <f>Parameters!R150</f>
        <v>0.73</v>
      </c>
      <c r="P49" s="908">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906">
        <f t="shared" si="2"/>
        <v>499.15381818690378</v>
      </c>
      <c r="R49" s="906">
        <f t="shared" si="3"/>
        <v>499.15381818690378</v>
      </c>
      <c r="S49" s="286">
        <f t="shared" si="4"/>
        <v>0</v>
      </c>
      <c r="T49" s="906">
        <f t="shared" si="5"/>
        <v>4786.1832204912471</v>
      </c>
      <c r="U49" s="906">
        <f t="shared" si="6"/>
        <v>219.80069765239469</v>
      </c>
      <c r="V49" s="915">
        <f t="shared" si="7"/>
        <v>146.53379843492979</v>
      </c>
      <c r="W49" s="1450">
        <f t="shared" si="8"/>
        <v>0.13527885904981399</v>
      </c>
      <c r="X49" s="914">
        <f>'Baseline data (from input)'!AS35*W49</f>
        <v>4430.8375059700011</v>
      </c>
      <c r="Y49" s="908">
        <f>Parameters!S150</f>
        <v>0.71500000000000008</v>
      </c>
      <c r="Z49" s="908">
        <f t="shared" si="9"/>
        <v>0.4</v>
      </c>
      <c r="AA49" s="906">
        <f t="shared" si="10"/>
        <v>633.60976335371026</v>
      </c>
      <c r="AB49" s="906">
        <f t="shared" si="11"/>
        <v>633.60976335371026</v>
      </c>
      <c r="AC49" s="286">
        <f t="shared" si="12"/>
        <v>0</v>
      </c>
      <c r="AD49" s="906">
        <f t="shared" si="13"/>
        <v>6311.9904968081782</v>
      </c>
      <c r="AE49" s="906">
        <f t="shared" si="14"/>
        <v>291.13680584470205</v>
      </c>
      <c r="AF49" s="915">
        <f t="shared" si="15"/>
        <v>194.09120389646804</v>
      </c>
      <c r="AG49" s="1450">
        <f t="shared" si="16"/>
        <v>0.13527885904981399</v>
      </c>
      <c r="AH49" s="914">
        <f>'Baseline data (from input)'!AS35*AG49</f>
        <v>4430.8375059700011</v>
      </c>
      <c r="AI49" s="908">
        <f>Parameters!S150</f>
        <v>0.71500000000000008</v>
      </c>
      <c r="AJ49" s="908">
        <f t="shared" si="17"/>
        <v>0.4</v>
      </c>
      <c r="AK49" s="906">
        <f t="shared" si="18"/>
        <v>633.60976335371026</v>
      </c>
      <c r="AL49" s="906">
        <f t="shared" si="19"/>
        <v>633.60976335371026</v>
      </c>
      <c r="AM49" s="286">
        <f t="shared" si="20"/>
        <v>0</v>
      </c>
      <c r="AN49" s="906">
        <f t="shared" si="21"/>
        <v>6311.9904968081782</v>
      </c>
      <c r="AO49" s="906">
        <f t="shared" si="22"/>
        <v>291.13680584470205</v>
      </c>
      <c r="AP49" s="915">
        <f t="shared" si="23"/>
        <v>194.09120389646804</v>
      </c>
      <c r="AR49" s="914">
        <v>0</v>
      </c>
      <c r="AS49" s="907">
        <v>1</v>
      </c>
      <c r="AT49" s="907">
        <f t="shared" si="24"/>
        <v>0.05</v>
      </c>
      <c r="AU49" s="906">
        <f t="shared" si="25"/>
        <v>0</v>
      </c>
      <c r="AV49" s="906">
        <f t="shared" si="26"/>
        <v>0</v>
      </c>
      <c r="AW49" s="198">
        <f t="shared" si="27"/>
        <v>0</v>
      </c>
      <c r="AX49" s="922">
        <f t="shared" si="28"/>
        <v>0</v>
      </c>
      <c r="AY49" s="922">
        <f t="shared" si="29"/>
        <v>0</v>
      </c>
      <c r="AZ49" s="915">
        <f t="shared" si="30"/>
        <v>0</v>
      </c>
      <c r="BB49" s="300">
        <f t="shared" si="31"/>
        <v>146.53379843492979</v>
      </c>
      <c r="BC49" s="301">
        <f t="shared" si="32"/>
        <v>194.09120389646804</v>
      </c>
      <c r="BD49" s="1080">
        <f t="shared" si="33"/>
        <v>0</v>
      </c>
      <c r="BE49" s="301">
        <f t="shared" si="34"/>
        <v>340.62500233139781</v>
      </c>
      <c r="BF49" s="104">
        <v>0</v>
      </c>
      <c r="BG49" s="302">
        <f t="shared" si="35"/>
        <v>340.62500233139781</v>
      </c>
      <c r="BI49" s="300">
        <f t="shared" si="36"/>
        <v>146.53379843492979</v>
      </c>
      <c r="BJ49" s="301">
        <f t="shared" si="37"/>
        <v>194.09120389646804</v>
      </c>
      <c r="BK49" s="1080">
        <f t="shared" si="38"/>
        <v>0</v>
      </c>
      <c r="BL49" s="301">
        <f t="shared" si="39"/>
        <v>340.62500233139781</v>
      </c>
      <c r="BM49" s="104">
        <v>0</v>
      </c>
      <c r="BN49" s="302">
        <f t="shared" si="40"/>
        <v>340.62500233139781</v>
      </c>
    </row>
    <row r="50" spans="1:66">
      <c r="A50" s="127">
        <f>'Input data'!A80</f>
        <v>1980</v>
      </c>
      <c r="B50" s="866">
        <f>'Input data'!B80</f>
        <v>25.094160000000002</v>
      </c>
      <c r="C50" s="866">
        <f>'Baseline data (from input)'!B36</f>
        <v>578.73</v>
      </c>
      <c r="D50" s="777">
        <f>'Baseline data (from input)'!T36</f>
        <v>0.8</v>
      </c>
      <c r="E50" s="777">
        <f t="shared" si="43"/>
        <v>0.24001298204245269</v>
      </c>
      <c r="F50" s="777">
        <f t="shared" si="43"/>
        <v>0.30440139352934503</v>
      </c>
      <c r="G50" s="777">
        <f t="shared" si="43"/>
        <v>5.8998240613430578E-2</v>
      </c>
      <c r="H50" s="777">
        <f t="shared" si="43"/>
        <v>0</v>
      </c>
      <c r="I50" s="777">
        <f t="shared" si="43"/>
        <v>0</v>
      </c>
      <c r="J50" s="777">
        <f t="shared" si="43"/>
        <v>0</v>
      </c>
      <c r="K50" s="777">
        <f t="shared" si="43"/>
        <v>0.39658738381477154</v>
      </c>
      <c r="L50" s="874">
        <f t="shared" si="42"/>
        <v>0.99999999999999989</v>
      </c>
      <c r="N50" s="300">
        <f t="shared" si="1"/>
        <v>11618.194573440001</v>
      </c>
      <c r="O50" s="908">
        <f>Parameters!R151</f>
        <v>0.73</v>
      </c>
      <c r="P50" s="908">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906">
        <f t="shared" si="2"/>
        <v>510.91888535399806</v>
      </c>
      <c r="R50" s="906">
        <f t="shared" si="3"/>
        <v>510.91888535399806</v>
      </c>
      <c r="S50" s="286">
        <f t="shared" si="4"/>
        <v>0</v>
      </c>
      <c r="T50" s="906">
        <f t="shared" si="5"/>
        <v>5063.677195736861</v>
      </c>
      <c r="U50" s="906">
        <f t="shared" si="6"/>
        <v>233.4249101083841</v>
      </c>
      <c r="V50" s="915">
        <f t="shared" si="7"/>
        <v>155.61660673892274</v>
      </c>
      <c r="W50" s="1450">
        <f t="shared" si="8"/>
        <v>0.13527885904981399</v>
      </c>
      <c r="X50" s="914">
        <f>'Baseline data (from input)'!AS36*W50</f>
        <v>4724.1848728536042</v>
      </c>
      <c r="Y50" s="908">
        <f>Parameters!S151</f>
        <v>0.71500000000000008</v>
      </c>
      <c r="Z50" s="908">
        <f t="shared" si="9"/>
        <v>0.4</v>
      </c>
      <c r="AA50" s="906">
        <f t="shared" si="10"/>
        <v>675.5584368180655</v>
      </c>
      <c r="AB50" s="906">
        <f t="shared" si="11"/>
        <v>675.5584368180655</v>
      </c>
      <c r="AC50" s="286">
        <f t="shared" si="12"/>
        <v>0</v>
      </c>
      <c r="AD50" s="906">
        <f t="shared" si="13"/>
        <v>6679.7095245508845</v>
      </c>
      <c r="AE50" s="906">
        <f t="shared" si="14"/>
        <v>307.8394090753589</v>
      </c>
      <c r="AF50" s="915">
        <f t="shared" si="15"/>
        <v>205.22627271690592</v>
      </c>
      <c r="AG50" s="1450">
        <f t="shared" si="16"/>
        <v>0.13527885904981399</v>
      </c>
      <c r="AH50" s="914">
        <f>'Baseline data (from input)'!AS36*AG50</f>
        <v>4724.1848728536042</v>
      </c>
      <c r="AI50" s="908">
        <f>Parameters!S151</f>
        <v>0.71500000000000008</v>
      </c>
      <c r="AJ50" s="908">
        <f t="shared" si="17"/>
        <v>0.4</v>
      </c>
      <c r="AK50" s="906">
        <f t="shared" si="18"/>
        <v>675.5584368180655</v>
      </c>
      <c r="AL50" s="906">
        <f t="shared" si="19"/>
        <v>675.5584368180655</v>
      </c>
      <c r="AM50" s="286">
        <f t="shared" si="20"/>
        <v>0</v>
      </c>
      <c r="AN50" s="906">
        <f t="shared" si="21"/>
        <v>6679.7095245508845</v>
      </c>
      <c r="AO50" s="906">
        <f t="shared" si="22"/>
        <v>307.8394090753589</v>
      </c>
      <c r="AP50" s="915">
        <f t="shared" si="23"/>
        <v>205.22627271690592</v>
      </c>
      <c r="AR50" s="914">
        <v>0</v>
      </c>
      <c r="AS50" s="907">
        <v>1</v>
      </c>
      <c r="AT50" s="907">
        <f t="shared" si="24"/>
        <v>0.05</v>
      </c>
      <c r="AU50" s="906">
        <f t="shared" si="25"/>
        <v>0</v>
      </c>
      <c r="AV50" s="906">
        <f t="shared" si="26"/>
        <v>0</v>
      </c>
      <c r="AW50" s="198">
        <f t="shared" si="27"/>
        <v>0</v>
      </c>
      <c r="AX50" s="922">
        <f t="shared" ref="AX50:AX113" si="44">AV50+(AX49*$E$8)</f>
        <v>0</v>
      </c>
      <c r="AY50" s="922">
        <f t="shared" si="29"/>
        <v>0</v>
      </c>
      <c r="AZ50" s="915">
        <f t="shared" si="30"/>
        <v>0</v>
      </c>
      <c r="BB50" s="300">
        <f t="shared" si="31"/>
        <v>155.61660673892274</v>
      </c>
      <c r="BC50" s="301">
        <f t="shared" si="32"/>
        <v>205.22627271690592</v>
      </c>
      <c r="BD50" s="1080">
        <f t="shared" si="33"/>
        <v>0</v>
      </c>
      <c r="BE50" s="301">
        <f t="shared" si="34"/>
        <v>360.84287945582867</v>
      </c>
      <c r="BF50" s="104">
        <v>0</v>
      </c>
      <c r="BG50" s="302">
        <f t="shared" si="35"/>
        <v>360.84287945582867</v>
      </c>
      <c r="BI50" s="300">
        <f t="shared" si="36"/>
        <v>155.61660673892274</v>
      </c>
      <c r="BJ50" s="301">
        <f t="shared" si="37"/>
        <v>205.22627271690592</v>
      </c>
      <c r="BK50" s="1080">
        <f t="shared" si="38"/>
        <v>0</v>
      </c>
      <c r="BL50" s="301">
        <f t="shared" si="39"/>
        <v>360.84287945582867</v>
      </c>
      <c r="BM50" s="104">
        <v>0</v>
      </c>
      <c r="BN50" s="302">
        <f t="shared" si="40"/>
        <v>360.84287945582867</v>
      </c>
    </row>
    <row r="51" spans="1:66">
      <c r="A51" s="127">
        <f>'Input data'!A81</f>
        <v>1981</v>
      </c>
      <c r="B51" s="866">
        <f>'Input data'!B81</f>
        <v>25.712049999999998</v>
      </c>
      <c r="C51" s="866">
        <f>'Baseline data (from input)'!B37</f>
        <v>578.73</v>
      </c>
      <c r="D51" s="777">
        <f>'Baseline data (from input)'!T37</f>
        <v>0.8</v>
      </c>
      <c r="E51" s="777">
        <f t="shared" si="43"/>
        <v>0.24001298204245269</v>
      </c>
      <c r="F51" s="777">
        <f t="shared" si="43"/>
        <v>0.30440139352934503</v>
      </c>
      <c r="G51" s="777">
        <f t="shared" si="43"/>
        <v>5.8998240613430578E-2</v>
      </c>
      <c r="H51" s="777">
        <f t="shared" si="43"/>
        <v>0</v>
      </c>
      <c r="I51" s="777">
        <f t="shared" si="43"/>
        <v>0</v>
      </c>
      <c r="J51" s="777">
        <f t="shared" si="43"/>
        <v>0</v>
      </c>
      <c r="K51" s="777">
        <f t="shared" si="43"/>
        <v>0.39658738381477154</v>
      </c>
      <c r="L51" s="874">
        <f t="shared" si="42"/>
        <v>0.99999999999999989</v>
      </c>
      <c r="N51" s="300">
        <f t="shared" si="1"/>
        <v>11904.267757200001</v>
      </c>
      <c r="O51" s="908">
        <f>Parameters!R152</f>
        <v>0.73</v>
      </c>
      <c r="P51" s="908">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906">
        <f t="shared" si="2"/>
        <v>523.49916977361522</v>
      </c>
      <c r="R51" s="906">
        <f t="shared" si="3"/>
        <v>523.49916977361522</v>
      </c>
      <c r="S51" s="286">
        <f t="shared" si="4"/>
        <v>0</v>
      </c>
      <c r="T51" s="906">
        <f t="shared" si="5"/>
        <v>5340.2179145317787</v>
      </c>
      <c r="U51" s="906">
        <f t="shared" si="6"/>
        <v>246.9584509786973</v>
      </c>
      <c r="V51" s="915">
        <f t="shared" si="7"/>
        <v>164.63896731913152</v>
      </c>
      <c r="W51" s="1450">
        <f t="shared" si="8"/>
        <v>0.13527885904981399</v>
      </c>
      <c r="X51" s="914">
        <f>'Baseline data (from input)'!AS37*W51</f>
        <v>4977.4360190754041</v>
      </c>
      <c r="Y51" s="908">
        <f>Parameters!S152</f>
        <v>0.71500000000000008</v>
      </c>
      <c r="Z51" s="908">
        <f t="shared" si="9"/>
        <v>0.4</v>
      </c>
      <c r="AA51" s="906">
        <f t="shared" si="10"/>
        <v>711.77335072778294</v>
      </c>
      <c r="AB51" s="906">
        <f t="shared" si="11"/>
        <v>711.77335072778294</v>
      </c>
      <c r="AC51" s="286">
        <f t="shared" si="12"/>
        <v>0</v>
      </c>
      <c r="AD51" s="906">
        <f t="shared" si="13"/>
        <v>7065.7095975982584</v>
      </c>
      <c r="AE51" s="906">
        <f t="shared" si="14"/>
        <v>325.77327768040857</v>
      </c>
      <c r="AF51" s="915">
        <f t="shared" si="15"/>
        <v>217.18218512027238</v>
      </c>
      <c r="AG51" s="1450">
        <f t="shared" si="16"/>
        <v>0.13527885904981399</v>
      </c>
      <c r="AH51" s="914">
        <f>'Baseline data (from input)'!AS37*AG51</f>
        <v>4977.4360190754041</v>
      </c>
      <c r="AI51" s="908">
        <f>Parameters!S152</f>
        <v>0.71500000000000008</v>
      </c>
      <c r="AJ51" s="908">
        <f t="shared" si="17"/>
        <v>0.4</v>
      </c>
      <c r="AK51" s="906">
        <f t="shared" si="18"/>
        <v>711.77335072778294</v>
      </c>
      <c r="AL51" s="906">
        <f t="shared" si="19"/>
        <v>711.77335072778294</v>
      </c>
      <c r="AM51" s="286">
        <f t="shared" si="20"/>
        <v>0</v>
      </c>
      <c r="AN51" s="906">
        <f t="shared" si="21"/>
        <v>7065.7095975982584</v>
      </c>
      <c r="AO51" s="906">
        <f t="shared" si="22"/>
        <v>325.77327768040857</v>
      </c>
      <c r="AP51" s="915">
        <f t="shared" si="23"/>
        <v>217.18218512027238</v>
      </c>
      <c r="AR51" s="914">
        <v>0</v>
      </c>
      <c r="AS51" s="907">
        <v>1</v>
      </c>
      <c r="AT51" s="907">
        <f t="shared" si="24"/>
        <v>0.05</v>
      </c>
      <c r="AU51" s="906">
        <f t="shared" si="25"/>
        <v>0</v>
      </c>
      <c r="AV51" s="906">
        <f t="shared" si="26"/>
        <v>0</v>
      </c>
      <c r="AW51" s="198">
        <f t="shared" si="27"/>
        <v>0</v>
      </c>
      <c r="AX51" s="922">
        <f t="shared" si="44"/>
        <v>0</v>
      </c>
      <c r="AY51" s="922">
        <f t="shared" si="29"/>
        <v>0</v>
      </c>
      <c r="AZ51" s="915">
        <f t="shared" si="30"/>
        <v>0</v>
      </c>
      <c r="BB51" s="300">
        <f t="shared" si="31"/>
        <v>164.63896731913152</v>
      </c>
      <c r="BC51" s="301">
        <f t="shared" si="32"/>
        <v>217.18218512027238</v>
      </c>
      <c r="BD51" s="1080">
        <f t="shared" si="33"/>
        <v>0</v>
      </c>
      <c r="BE51" s="301">
        <f t="shared" si="34"/>
        <v>381.82115243940393</v>
      </c>
      <c r="BF51" s="104">
        <v>0</v>
      </c>
      <c r="BG51" s="302">
        <f t="shared" si="35"/>
        <v>381.82115243940393</v>
      </c>
      <c r="BI51" s="300">
        <f t="shared" si="36"/>
        <v>164.63896731913152</v>
      </c>
      <c r="BJ51" s="301">
        <f t="shared" si="37"/>
        <v>217.18218512027238</v>
      </c>
      <c r="BK51" s="1080">
        <f t="shared" si="38"/>
        <v>0</v>
      </c>
      <c r="BL51" s="301">
        <f t="shared" si="39"/>
        <v>381.82115243940393</v>
      </c>
      <c r="BM51" s="104">
        <v>0</v>
      </c>
      <c r="BN51" s="302">
        <f t="shared" si="40"/>
        <v>381.82115243940393</v>
      </c>
    </row>
    <row r="52" spans="1:66">
      <c r="A52" s="127">
        <f>'Input data'!A82</f>
        <v>1982</v>
      </c>
      <c r="B52" s="866">
        <f>'Input data'!B82</f>
        <v>26.364520000000002</v>
      </c>
      <c r="C52" s="866">
        <f>'Baseline data (from input)'!B38</f>
        <v>578.73</v>
      </c>
      <c r="D52" s="777">
        <f>'Baseline data (from input)'!T38</f>
        <v>0.8</v>
      </c>
      <c r="E52" s="777">
        <f t="shared" si="43"/>
        <v>0.24001298204245269</v>
      </c>
      <c r="F52" s="777">
        <f t="shared" si="43"/>
        <v>0.30440139352934503</v>
      </c>
      <c r="G52" s="777">
        <f t="shared" si="43"/>
        <v>5.8998240613430578E-2</v>
      </c>
      <c r="H52" s="777">
        <f t="shared" si="43"/>
        <v>0</v>
      </c>
      <c r="I52" s="777">
        <f t="shared" si="43"/>
        <v>0</v>
      </c>
      <c r="J52" s="777">
        <f t="shared" si="43"/>
        <v>0</v>
      </c>
      <c r="K52" s="777">
        <f t="shared" si="43"/>
        <v>0.39658738381477154</v>
      </c>
      <c r="L52" s="874">
        <f t="shared" si="42"/>
        <v>0.99999999999999989</v>
      </c>
      <c r="N52" s="300">
        <f t="shared" si="1"/>
        <v>12206.350927680003</v>
      </c>
      <c r="O52" s="908">
        <f>Parameters!R153</f>
        <v>0.73</v>
      </c>
      <c r="P52" s="908">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906">
        <f t="shared" si="2"/>
        <v>536.78350545677517</v>
      </c>
      <c r="R52" s="906">
        <f t="shared" si="3"/>
        <v>536.78350545677517</v>
      </c>
      <c r="S52" s="286">
        <f t="shared" si="4"/>
        <v>0</v>
      </c>
      <c r="T52" s="906">
        <f t="shared" si="5"/>
        <v>5616.5559190052418</v>
      </c>
      <c r="U52" s="906">
        <f t="shared" si="6"/>
        <v>260.44550098331166</v>
      </c>
      <c r="V52" s="915">
        <f t="shared" si="7"/>
        <v>173.63033398887444</v>
      </c>
      <c r="W52" s="1450">
        <f t="shared" si="8"/>
        <v>0.13527885904981399</v>
      </c>
      <c r="X52" s="914">
        <f>'Baseline data (from input)'!AS38*W52</f>
        <v>4958.3529888453886</v>
      </c>
      <c r="Y52" s="908">
        <f>Parameters!S153</f>
        <v>0.71500000000000008</v>
      </c>
      <c r="Z52" s="908">
        <f t="shared" si="9"/>
        <v>0.4</v>
      </c>
      <c r="AA52" s="906">
        <f t="shared" si="10"/>
        <v>709.0444774048907</v>
      </c>
      <c r="AB52" s="906">
        <f t="shared" si="11"/>
        <v>709.0444774048907</v>
      </c>
      <c r="AC52" s="286">
        <f t="shared" si="12"/>
        <v>0</v>
      </c>
      <c r="AD52" s="906">
        <f t="shared" si="13"/>
        <v>7430.1553516174536</v>
      </c>
      <c r="AE52" s="906">
        <f t="shared" si="14"/>
        <v>344.59872338569545</v>
      </c>
      <c r="AF52" s="915">
        <f t="shared" si="15"/>
        <v>229.7324822571303</v>
      </c>
      <c r="AG52" s="1450">
        <f t="shared" si="16"/>
        <v>0.13527885904981399</v>
      </c>
      <c r="AH52" s="914">
        <f>'Baseline data (from input)'!AS38*AG52</f>
        <v>4958.3529888453886</v>
      </c>
      <c r="AI52" s="908">
        <f>Parameters!S153</f>
        <v>0.71500000000000008</v>
      </c>
      <c r="AJ52" s="908">
        <f t="shared" si="17"/>
        <v>0.4</v>
      </c>
      <c r="AK52" s="906">
        <f t="shared" si="18"/>
        <v>709.0444774048907</v>
      </c>
      <c r="AL52" s="906">
        <f t="shared" si="19"/>
        <v>709.0444774048907</v>
      </c>
      <c r="AM52" s="286">
        <f t="shared" si="20"/>
        <v>0</v>
      </c>
      <c r="AN52" s="906">
        <f t="shared" si="21"/>
        <v>7430.1553516174536</v>
      </c>
      <c r="AO52" s="906">
        <f t="shared" si="22"/>
        <v>344.59872338569545</v>
      </c>
      <c r="AP52" s="915">
        <f t="shared" si="23"/>
        <v>229.7324822571303</v>
      </c>
      <c r="AR52" s="914">
        <v>0</v>
      </c>
      <c r="AS52" s="907">
        <v>1</v>
      </c>
      <c r="AT52" s="907">
        <f t="shared" si="24"/>
        <v>0.05</v>
      </c>
      <c r="AU52" s="906">
        <f t="shared" si="25"/>
        <v>0</v>
      </c>
      <c r="AV52" s="906">
        <f t="shared" si="26"/>
        <v>0</v>
      </c>
      <c r="AW52" s="198">
        <f t="shared" si="27"/>
        <v>0</v>
      </c>
      <c r="AX52" s="922">
        <f t="shared" si="44"/>
        <v>0</v>
      </c>
      <c r="AY52" s="922">
        <f t="shared" si="29"/>
        <v>0</v>
      </c>
      <c r="AZ52" s="915">
        <f t="shared" si="30"/>
        <v>0</v>
      </c>
      <c r="BB52" s="300">
        <f t="shared" si="31"/>
        <v>173.63033398887444</v>
      </c>
      <c r="BC52" s="301">
        <f t="shared" si="32"/>
        <v>229.7324822571303</v>
      </c>
      <c r="BD52" s="1080">
        <f t="shared" si="33"/>
        <v>0</v>
      </c>
      <c r="BE52" s="301">
        <f t="shared" si="34"/>
        <v>403.36281624600474</v>
      </c>
      <c r="BF52" s="104">
        <v>0</v>
      </c>
      <c r="BG52" s="302">
        <f t="shared" si="35"/>
        <v>403.36281624600474</v>
      </c>
      <c r="BI52" s="300">
        <f t="shared" si="36"/>
        <v>173.63033398887444</v>
      </c>
      <c r="BJ52" s="301">
        <f t="shared" si="37"/>
        <v>229.7324822571303</v>
      </c>
      <c r="BK52" s="1080">
        <f t="shared" si="38"/>
        <v>0</v>
      </c>
      <c r="BL52" s="301">
        <f t="shared" si="39"/>
        <v>403.36281624600474</v>
      </c>
      <c r="BM52" s="104">
        <v>0</v>
      </c>
      <c r="BN52" s="302">
        <f t="shared" si="40"/>
        <v>403.36281624600474</v>
      </c>
    </row>
    <row r="53" spans="1:66">
      <c r="A53" s="127">
        <f>'Input data'!A83</f>
        <v>1983</v>
      </c>
      <c r="B53" s="866">
        <f>'Input data'!B83</f>
        <v>27.048839999999998</v>
      </c>
      <c r="C53" s="866">
        <f>'Baseline data (from input)'!B39</f>
        <v>578.73</v>
      </c>
      <c r="D53" s="777">
        <f>'Baseline data (from input)'!T39</f>
        <v>0.8</v>
      </c>
      <c r="E53" s="777">
        <f t="shared" si="43"/>
        <v>0.24001298204245269</v>
      </c>
      <c r="F53" s="777">
        <f t="shared" si="43"/>
        <v>0.30440139352934503</v>
      </c>
      <c r="G53" s="777">
        <f t="shared" si="43"/>
        <v>5.8998240613430578E-2</v>
      </c>
      <c r="H53" s="777">
        <f t="shared" si="43"/>
        <v>0</v>
      </c>
      <c r="I53" s="777">
        <f t="shared" si="43"/>
        <v>0</v>
      </c>
      <c r="J53" s="777">
        <f t="shared" si="43"/>
        <v>0</v>
      </c>
      <c r="K53" s="777">
        <f t="shared" si="43"/>
        <v>0.39658738381477154</v>
      </c>
      <c r="L53" s="874">
        <f t="shared" si="42"/>
        <v>0.99999999999999989</v>
      </c>
      <c r="N53" s="300">
        <f t="shared" si="1"/>
        <v>12523.180138560001</v>
      </c>
      <c r="O53" s="908">
        <f>Parameters!R154</f>
        <v>0.73</v>
      </c>
      <c r="P53" s="908">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906">
        <f t="shared" si="2"/>
        <v>550.7163094089874</v>
      </c>
      <c r="R53" s="906">
        <f t="shared" si="3"/>
        <v>550.7163094089874</v>
      </c>
      <c r="S53" s="286">
        <f t="shared" si="4"/>
        <v>0</v>
      </c>
      <c r="T53" s="906">
        <f t="shared" si="5"/>
        <v>5893.349563920422</v>
      </c>
      <c r="U53" s="906">
        <f t="shared" si="6"/>
        <v>273.92266449380674</v>
      </c>
      <c r="V53" s="915">
        <f t="shared" si="7"/>
        <v>182.61510966253783</v>
      </c>
      <c r="W53" s="1450">
        <f t="shared" si="8"/>
        <v>0.13527885904981399</v>
      </c>
      <c r="X53" s="914">
        <f>'Baseline data (from input)'!AS39*W53</f>
        <v>4866.7947955796999</v>
      </c>
      <c r="Y53" s="908">
        <f>Parameters!S154</f>
        <v>0.71500000000000008</v>
      </c>
      <c r="Z53" s="908">
        <f t="shared" si="9"/>
        <v>0.4</v>
      </c>
      <c r="AA53" s="906">
        <f t="shared" si="10"/>
        <v>695.95165576789725</v>
      </c>
      <c r="AB53" s="906">
        <f t="shared" si="11"/>
        <v>695.95165576789725</v>
      </c>
      <c r="AC53" s="286">
        <f t="shared" si="12"/>
        <v>0</v>
      </c>
      <c r="AD53" s="906">
        <f t="shared" si="13"/>
        <v>7763.7340548378679</v>
      </c>
      <c r="AE53" s="906">
        <f t="shared" si="14"/>
        <v>362.37295254748284</v>
      </c>
      <c r="AF53" s="915">
        <f t="shared" si="15"/>
        <v>241.58196836498857</v>
      </c>
      <c r="AG53" s="1450">
        <f t="shared" si="16"/>
        <v>0.13527885904981399</v>
      </c>
      <c r="AH53" s="914">
        <f>'Baseline data (from input)'!AS39*AG53</f>
        <v>4866.7947955796999</v>
      </c>
      <c r="AI53" s="908">
        <f>Parameters!S154</f>
        <v>0.71500000000000008</v>
      </c>
      <c r="AJ53" s="908">
        <f t="shared" si="17"/>
        <v>0.4</v>
      </c>
      <c r="AK53" s="906">
        <f t="shared" si="18"/>
        <v>695.95165576789725</v>
      </c>
      <c r="AL53" s="906">
        <f t="shared" si="19"/>
        <v>695.95165576789725</v>
      </c>
      <c r="AM53" s="286">
        <f t="shared" si="20"/>
        <v>0</v>
      </c>
      <c r="AN53" s="906">
        <f t="shared" si="21"/>
        <v>7763.7340548378679</v>
      </c>
      <c r="AO53" s="906">
        <f t="shared" si="22"/>
        <v>362.37295254748284</v>
      </c>
      <c r="AP53" s="915">
        <f t="shared" si="23"/>
        <v>241.58196836498857</v>
      </c>
      <c r="AR53" s="914">
        <v>0</v>
      </c>
      <c r="AS53" s="907">
        <v>1</v>
      </c>
      <c r="AT53" s="907">
        <f t="shared" si="24"/>
        <v>0.05</v>
      </c>
      <c r="AU53" s="906">
        <f t="shared" si="25"/>
        <v>0</v>
      </c>
      <c r="AV53" s="906">
        <f t="shared" si="26"/>
        <v>0</v>
      </c>
      <c r="AW53" s="198">
        <f t="shared" si="27"/>
        <v>0</v>
      </c>
      <c r="AX53" s="922">
        <f t="shared" si="44"/>
        <v>0</v>
      </c>
      <c r="AY53" s="922">
        <f t="shared" si="29"/>
        <v>0</v>
      </c>
      <c r="AZ53" s="915">
        <f t="shared" si="30"/>
        <v>0</v>
      </c>
      <c r="BB53" s="300">
        <f t="shared" si="31"/>
        <v>182.61510966253783</v>
      </c>
      <c r="BC53" s="301">
        <f t="shared" si="32"/>
        <v>241.58196836498857</v>
      </c>
      <c r="BD53" s="1080">
        <f t="shared" si="33"/>
        <v>0</v>
      </c>
      <c r="BE53" s="301">
        <f t="shared" si="34"/>
        <v>424.1970780275264</v>
      </c>
      <c r="BF53" s="104">
        <v>0</v>
      </c>
      <c r="BG53" s="302">
        <f t="shared" si="35"/>
        <v>424.1970780275264</v>
      </c>
      <c r="BI53" s="300">
        <f t="shared" si="36"/>
        <v>182.61510966253783</v>
      </c>
      <c r="BJ53" s="301">
        <f t="shared" si="37"/>
        <v>241.58196836498857</v>
      </c>
      <c r="BK53" s="1080">
        <f t="shared" si="38"/>
        <v>0</v>
      </c>
      <c r="BL53" s="301">
        <f t="shared" si="39"/>
        <v>424.1970780275264</v>
      </c>
      <c r="BM53" s="104">
        <v>0</v>
      </c>
      <c r="BN53" s="302">
        <f t="shared" si="40"/>
        <v>424.1970780275264</v>
      </c>
    </row>
    <row r="54" spans="1:66">
      <c r="A54" s="127">
        <f>'Input data'!A84</f>
        <v>1984</v>
      </c>
      <c r="B54" s="866">
        <f>'Input data'!B84</f>
        <v>27.759549999999997</v>
      </c>
      <c r="C54" s="866">
        <f>'Baseline data (from input)'!B40</f>
        <v>578.73</v>
      </c>
      <c r="D54" s="777">
        <f>'Baseline data (from input)'!T40</f>
        <v>0.8</v>
      </c>
      <c r="E54" s="777">
        <f t="shared" ref="E54:K69" si="45">E53</f>
        <v>0.24001298204245269</v>
      </c>
      <c r="F54" s="777">
        <f t="shared" si="45"/>
        <v>0.30440139352934503</v>
      </c>
      <c r="G54" s="777">
        <f t="shared" si="45"/>
        <v>5.8998240613430578E-2</v>
      </c>
      <c r="H54" s="777">
        <f t="shared" si="45"/>
        <v>0</v>
      </c>
      <c r="I54" s="777">
        <f t="shared" si="45"/>
        <v>0</v>
      </c>
      <c r="J54" s="777">
        <f t="shared" si="45"/>
        <v>0</v>
      </c>
      <c r="K54" s="777">
        <f t="shared" si="45"/>
        <v>0.39658738381477154</v>
      </c>
      <c r="L54" s="874">
        <f t="shared" si="42"/>
        <v>0.99999999999999989</v>
      </c>
      <c r="N54" s="300">
        <f t="shared" si="1"/>
        <v>12852.2274972</v>
      </c>
      <c r="O54" s="908">
        <f>Parameters!R155</f>
        <v>0.73</v>
      </c>
      <c r="P54" s="908">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906">
        <f t="shared" si="2"/>
        <v>565.18641564127176</v>
      </c>
      <c r="R54" s="906">
        <f t="shared" si="3"/>
        <v>565.18641564127176</v>
      </c>
      <c r="S54" s="286">
        <f t="shared" si="4"/>
        <v>0</v>
      </c>
      <c r="T54" s="906">
        <f t="shared" si="5"/>
        <v>6171.1139297108293</v>
      </c>
      <c r="U54" s="906">
        <f t="shared" si="6"/>
        <v>287.42204985086505</v>
      </c>
      <c r="V54" s="915">
        <f t="shared" si="7"/>
        <v>191.61469990057671</v>
      </c>
      <c r="W54" s="1450">
        <f t="shared" si="8"/>
        <v>0.13527885904981399</v>
      </c>
      <c r="X54" s="914">
        <f>'Baseline data (from input)'!AS40*W54</f>
        <v>5114.9582546402071</v>
      </c>
      <c r="Y54" s="908">
        <f>Parameters!S155</f>
        <v>0.71500000000000008</v>
      </c>
      <c r="Z54" s="908">
        <f t="shared" si="9"/>
        <v>0.4</v>
      </c>
      <c r="AA54" s="906">
        <f t="shared" si="10"/>
        <v>731.43903041354974</v>
      </c>
      <c r="AB54" s="906">
        <f t="shared" si="11"/>
        <v>731.43903041354974</v>
      </c>
      <c r="AC54" s="286">
        <f t="shared" si="12"/>
        <v>0</v>
      </c>
      <c r="AD54" s="906">
        <f t="shared" si="13"/>
        <v>8116.5313073735697</v>
      </c>
      <c r="AE54" s="906">
        <f t="shared" si="14"/>
        <v>378.64177787784797</v>
      </c>
      <c r="AF54" s="915">
        <f t="shared" si="15"/>
        <v>252.42785191856532</v>
      </c>
      <c r="AG54" s="1450">
        <f t="shared" si="16"/>
        <v>0.13527885904981399</v>
      </c>
      <c r="AH54" s="914">
        <f>'Baseline data (from input)'!AS40*AG54</f>
        <v>5114.9582546402071</v>
      </c>
      <c r="AI54" s="908">
        <f>Parameters!S155</f>
        <v>0.71500000000000008</v>
      </c>
      <c r="AJ54" s="908">
        <f t="shared" si="17"/>
        <v>0.4</v>
      </c>
      <c r="AK54" s="906">
        <f t="shared" si="18"/>
        <v>731.43903041354974</v>
      </c>
      <c r="AL54" s="906">
        <f t="shared" si="19"/>
        <v>731.43903041354974</v>
      </c>
      <c r="AM54" s="286">
        <f t="shared" si="20"/>
        <v>0</v>
      </c>
      <c r="AN54" s="906">
        <f t="shared" si="21"/>
        <v>8116.5313073735697</v>
      </c>
      <c r="AO54" s="906">
        <f t="shared" si="22"/>
        <v>378.64177787784797</v>
      </c>
      <c r="AP54" s="915">
        <f t="shared" si="23"/>
        <v>252.42785191856532</v>
      </c>
      <c r="AR54" s="914">
        <v>0</v>
      </c>
      <c r="AS54" s="907">
        <v>1</v>
      </c>
      <c r="AT54" s="907">
        <f t="shared" si="24"/>
        <v>0.05</v>
      </c>
      <c r="AU54" s="906">
        <f t="shared" si="25"/>
        <v>0</v>
      </c>
      <c r="AV54" s="906">
        <f t="shared" si="26"/>
        <v>0</v>
      </c>
      <c r="AW54" s="198">
        <f t="shared" si="27"/>
        <v>0</v>
      </c>
      <c r="AX54" s="922">
        <f t="shared" si="44"/>
        <v>0</v>
      </c>
      <c r="AY54" s="922">
        <f t="shared" si="29"/>
        <v>0</v>
      </c>
      <c r="AZ54" s="915">
        <f t="shared" si="30"/>
        <v>0</v>
      </c>
      <c r="BB54" s="300">
        <f t="shared" si="31"/>
        <v>191.61469990057671</v>
      </c>
      <c r="BC54" s="301">
        <f t="shared" si="32"/>
        <v>252.42785191856532</v>
      </c>
      <c r="BD54" s="1080">
        <f t="shared" si="33"/>
        <v>0</v>
      </c>
      <c r="BE54" s="301">
        <f t="shared" si="34"/>
        <v>444.04255181914203</v>
      </c>
      <c r="BF54" s="104">
        <v>0</v>
      </c>
      <c r="BG54" s="302">
        <f t="shared" si="35"/>
        <v>444.04255181914203</v>
      </c>
      <c r="BI54" s="300">
        <f t="shared" si="36"/>
        <v>191.61469990057671</v>
      </c>
      <c r="BJ54" s="301">
        <f t="shared" si="37"/>
        <v>252.42785191856532</v>
      </c>
      <c r="BK54" s="1080">
        <f t="shared" si="38"/>
        <v>0</v>
      </c>
      <c r="BL54" s="301">
        <f t="shared" si="39"/>
        <v>444.04255181914203</v>
      </c>
      <c r="BM54" s="104">
        <v>0</v>
      </c>
      <c r="BN54" s="302">
        <f t="shared" si="40"/>
        <v>444.04255181914203</v>
      </c>
    </row>
    <row r="55" spans="1:66">
      <c r="A55" s="127">
        <f>'Input data'!A85</f>
        <v>1985</v>
      </c>
      <c r="B55" s="866">
        <f>'Input data'!B85</f>
        <v>28.490279999999998</v>
      </c>
      <c r="C55" s="866">
        <f>'Baseline data (from input)'!B41</f>
        <v>578.73</v>
      </c>
      <c r="D55" s="777">
        <f>'Baseline data (from input)'!T41</f>
        <v>0.8</v>
      </c>
      <c r="E55" s="777">
        <f t="shared" si="45"/>
        <v>0.24001298204245269</v>
      </c>
      <c r="F55" s="777">
        <f t="shared" si="45"/>
        <v>0.30440139352934503</v>
      </c>
      <c r="G55" s="777">
        <f t="shared" si="45"/>
        <v>5.8998240613430578E-2</v>
      </c>
      <c r="H55" s="777">
        <f t="shared" si="45"/>
        <v>0</v>
      </c>
      <c r="I55" s="777">
        <f t="shared" si="45"/>
        <v>0</v>
      </c>
      <c r="J55" s="777">
        <f t="shared" si="45"/>
        <v>0</v>
      </c>
      <c r="K55" s="777">
        <f t="shared" si="45"/>
        <v>0.39658738381477154</v>
      </c>
      <c r="L55" s="874">
        <f t="shared" si="42"/>
        <v>0.99999999999999989</v>
      </c>
      <c r="N55" s="300">
        <f t="shared" si="1"/>
        <v>13190.543795520001</v>
      </c>
      <c r="O55" s="908">
        <f>Parameters!R156</f>
        <v>0.73</v>
      </c>
      <c r="P55" s="908">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906">
        <f t="shared" si="2"/>
        <v>580.06413049981757</v>
      </c>
      <c r="R55" s="906">
        <f t="shared" si="3"/>
        <v>580.06413049981757</v>
      </c>
      <c r="S55" s="286">
        <f t="shared" si="4"/>
        <v>0</v>
      </c>
      <c r="T55" s="906">
        <f t="shared" si="5"/>
        <v>6450.2092823869898</v>
      </c>
      <c r="U55" s="906">
        <f t="shared" si="6"/>
        <v>300.96877782365743</v>
      </c>
      <c r="V55" s="915">
        <f t="shared" si="7"/>
        <v>200.64585188243828</v>
      </c>
      <c r="W55" s="1450">
        <f t="shared" si="8"/>
        <v>0.13527885904981399</v>
      </c>
      <c r="X55" s="914">
        <f>'Baseline data (from input)'!AS41*W55</f>
        <v>5052.9913681515936</v>
      </c>
      <c r="Y55" s="908">
        <f>Parameters!S156</f>
        <v>0.71500000000000008</v>
      </c>
      <c r="Z55" s="908">
        <f t="shared" si="9"/>
        <v>0.4</v>
      </c>
      <c r="AA55" s="906">
        <f t="shared" si="10"/>
        <v>722.57776564567803</v>
      </c>
      <c r="AB55" s="906">
        <f t="shared" si="11"/>
        <v>722.57776564567803</v>
      </c>
      <c r="AC55" s="286">
        <f t="shared" si="12"/>
        <v>0</v>
      </c>
      <c r="AD55" s="906">
        <f t="shared" si="13"/>
        <v>8443.2611701006663</v>
      </c>
      <c r="AE55" s="906">
        <f t="shared" si="14"/>
        <v>395.84790291858104</v>
      </c>
      <c r="AF55" s="915">
        <f t="shared" si="15"/>
        <v>263.89860194572071</v>
      </c>
      <c r="AG55" s="1450">
        <f t="shared" si="16"/>
        <v>0.13527885904981399</v>
      </c>
      <c r="AH55" s="914">
        <f>'Baseline data (from input)'!AS41*AG55</f>
        <v>5052.9913681515936</v>
      </c>
      <c r="AI55" s="908">
        <f>Parameters!S156</f>
        <v>0.71500000000000008</v>
      </c>
      <c r="AJ55" s="908">
        <f t="shared" si="17"/>
        <v>0.4</v>
      </c>
      <c r="AK55" s="906">
        <f t="shared" si="18"/>
        <v>722.57776564567803</v>
      </c>
      <c r="AL55" s="906">
        <f t="shared" si="19"/>
        <v>722.57776564567803</v>
      </c>
      <c r="AM55" s="286">
        <f t="shared" si="20"/>
        <v>0</v>
      </c>
      <c r="AN55" s="906">
        <f t="shared" si="21"/>
        <v>8443.2611701006663</v>
      </c>
      <c r="AO55" s="906">
        <f t="shared" si="22"/>
        <v>395.84790291858104</v>
      </c>
      <c r="AP55" s="915">
        <f t="shared" si="23"/>
        <v>263.89860194572071</v>
      </c>
      <c r="AR55" s="914">
        <v>0</v>
      </c>
      <c r="AS55" s="907">
        <v>1</v>
      </c>
      <c r="AT55" s="907">
        <f t="shared" si="24"/>
        <v>0.05</v>
      </c>
      <c r="AU55" s="906">
        <f t="shared" si="25"/>
        <v>0</v>
      </c>
      <c r="AV55" s="906">
        <f t="shared" si="26"/>
        <v>0</v>
      </c>
      <c r="AW55" s="198">
        <f t="shared" si="27"/>
        <v>0</v>
      </c>
      <c r="AX55" s="922">
        <f t="shared" si="44"/>
        <v>0</v>
      </c>
      <c r="AY55" s="922">
        <f t="shared" si="29"/>
        <v>0</v>
      </c>
      <c r="AZ55" s="915">
        <f t="shared" si="30"/>
        <v>0</v>
      </c>
      <c r="BB55" s="300">
        <f t="shared" si="31"/>
        <v>200.64585188243828</v>
      </c>
      <c r="BC55" s="301">
        <f t="shared" si="32"/>
        <v>263.89860194572071</v>
      </c>
      <c r="BD55" s="1080">
        <f t="shared" si="33"/>
        <v>0</v>
      </c>
      <c r="BE55" s="301">
        <f t="shared" si="34"/>
        <v>464.54445382815902</v>
      </c>
      <c r="BF55" s="104">
        <v>0</v>
      </c>
      <c r="BG55" s="302">
        <f t="shared" si="35"/>
        <v>464.54445382815902</v>
      </c>
      <c r="BI55" s="300">
        <f t="shared" si="36"/>
        <v>200.64585188243828</v>
      </c>
      <c r="BJ55" s="301">
        <f t="shared" si="37"/>
        <v>263.89860194572071</v>
      </c>
      <c r="BK55" s="1080">
        <f t="shared" si="38"/>
        <v>0</v>
      </c>
      <c r="BL55" s="301">
        <f t="shared" si="39"/>
        <v>464.54445382815902</v>
      </c>
      <c r="BM55" s="104">
        <v>0</v>
      </c>
      <c r="BN55" s="302">
        <f t="shared" si="40"/>
        <v>464.54445382815902</v>
      </c>
    </row>
    <row r="56" spans="1:66">
      <c r="A56" s="127">
        <f>'Input data'!A86</f>
        <v>1986</v>
      </c>
      <c r="B56" s="866">
        <f>'Input data'!B86</f>
        <v>29.230110000000003</v>
      </c>
      <c r="C56" s="866">
        <f>'Baseline data (from input)'!B42</f>
        <v>578.73</v>
      </c>
      <c r="D56" s="777">
        <f>'Baseline data (from input)'!T42</f>
        <v>0.8</v>
      </c>
      <c r="E56" s="777">
        <f t="shared" si="45"/>
        <v>0.24001298204245269</v>
      </c>
      <c r="F56" s="777">
        <f t="shared" si="45"/>
        <v>0.30440139352934503</v>
      </c>
      <c r="G56" s="777">
        <f t="shared" si="45"/>
        <v>5.8998240613430578E-2</v>
      </c>
      <c r="H56" s="777">
        <f t="shared" si="45"/>
        <v>0</v>
      </c>
      <c r="I56" s="777">
        <f t="shared" si="45"/>
        <v>0</v>
      </c>
      <c r="J56" s="777">
        <f t="shared" si="45"/>
        <v>0</v>
      </c>
      <c r="K56" s="777">
        <f t="shared" si="45"/>
        <v>0.39658738381477154</v>
      </c>
      <c r="L56" s="874">
        <f t="shared" si="42"/>
        <v>0.99999999999999989</v>
      </c>
      <c r="N56" s="300">
        <f t="shared" si="1"/>
        <v>13533.073248240004</v>
      </c>
      <c r="O56" s="908">
        <f>Parameters!R157</f>
        <v>0.73</v>
      </c>
      <c r="P56" s="908">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906">
        <f t="shared" si="2"/>
        <v>595.12712200666419</v>
      </c>
      <c r="R56" s="906">
        <f t="shared" si="3"/>
        <v>595.12712200666419</v>
      </c>
      <c r="S56" s="286">
        <f t="shared" si="4"/>
        <v>0</v>
      </c>
      <c r="T56" s="906">
        <f t="shared" si="5"/>
        <v>6730.7559856008047</v>
      </c>
      <c r="U56" s="906">
        <f t="shared" si="6"/>
        <v>314.58041879284997</v>
      </c>
      <c r="V56" s="915">
        <f t="shared" si="7"/>
        <v>209.7202791952333</v>
      </c>
      <c r="W56" s="1450">
        <f t="shared" si="8"/>
        <v>0.13527885904981399</v>
      </c>
      <c r="X56" s="914">
        <f>'Baseline data (from input)'!AS42*W56</f>
        <v>5053.8925579444631</v>
      </c>
      <c r="Y56" s="908">
        <f>Parameters!S157</f>
        <v>0.71500000000000008</v>
      </c>
      <c r="Z56" s="908">
        <f t="shared" si="9"/>
        <v>0.4</v>
      </c>
      <c r="AA56" s="906">
        <f t="shared" si="10"/>
        <v>722.70663578605831</v>
      </c>
      <c r="AB56" s="906">
        <f t="shared" si="11"/>
        <v>722.70663578605831</v>
      </c>
      <c r="AC56" s="286">
        <f t="shared" si="12"/>
        <v>0</v>
      </c>
      <c r="AD56" s="906">
        <f t="shared" si="13"/>
        <v>8754.1850995301393</v>
      </c>
      <c r="AE56" s="906">
        <f t="shared" si="14"/>
        <v>411.78270635658424</v>
      </c>
      <c r="AF56" s="915">
        <f t="shared" si="15"/>
        <v>274.52180423772285</v>
      </c>
      <c r="AG56" s="1450">
        <f t="shared" si="16"/>
        <v>0.13527885904981399</v>
      </c>
      <c r="AH56" s="914">
        <f>'Baseline data (from input)'!AS42*AG56</f>
        <v>5053.8925579444631</v>
      </c>
      <c r="AI56" s="908">
        <f>Parameters!S157</f>
        <v>0.71500000000000008</v>
      </c>
      <c r="AJ56" s="908">
        <f t="shared" si="17"/>
        <v>0.4</v>
      </c>
      <c r="AK56" s="906">
        <f t="shared" si="18"/>
        <v>722.70663578605831</v>
      </c>
      <c r="AL56" s="906">
        <f t="shared" si="19"/>
        <v>722.70663578605831</v>
      </c>
      <c r="AM56" s="286">
        <f t="shared" si="20"/>
        <v>0</v>
      </c>
      <c r="AN56" s="906">
        <f t="shared" si="21"/>
        <v>8754.1850995301393</v>
      </c>
      <c r="AO56" s="906">
        <f t="shared" si="22"/>
        <v>411.78270635658424</v>
      </c>
      <c r="AP56" s="915">
        <f t="shared" si="23"/>
        <v>274.52180423772285</v>
      </c>
      <c r="AR56" s="914">
        <v>0</v>
      </c>
      <c r="AS56" s="907">
        <v>1</v>
      </c>
      <c r="AT56" s="907">
        <f t="shared" si="24"/>
        <v>0.05</v>
      </c>
      <c r="AU56" s="906">
        <f t="shared" si="25"/>
        <v>0</v>
      </c>
      <c r="AV56" s="906">
        <f t="shared" si="26"/>
        <v>0</v>
      </c>
      <c r="AW56" s="198">
        <f t="shared" si="27"/>
        <v>0</v>
      </c>
      <c r="AX56" s="922">
        <f t="shared" si="44"/>
        <v>0</v>
      </c>
      <c r="AY56" s="922">
        <f t="shared" si="29"/>
        <v>0</v>
      </c>
      <c r="AZ56" s="915">
        <f t="shared" si="30"/>
        <v>0</v>
      </c>
      <c r="BB56" s="300">
        <f t="shared" si="31"/>
        <v>209.7202791952333</v>
      </c>
      <c r="BC56" s="301">
        <f t="shared" si="32"/>
        <v>274.52180423772285</v>
      </c>
      <c r="BD56" s="1080">
        <f t="shared" si="33"/>
        <v>0</v>
      </c>
      <c r="BE56" s="301">
        <f t="shared" si="34"/>
        <v>484.24208343295618</v>
      </c>
      <c r="BF56" s="104">
        <v>0</v>
      </c>
      <c r="BG56" s="302">
        <f t="shared" si="35"/>
        <v>484.24208343295618</v>
      </c>
      <c r="BI56" s="300">
        <f t="shared" si="36"/>
        <v>209.7202791952333</v>
      </c>
      <c r="BJ56" s="301">
        <f t="shared" si="37"/>
        <v>274.52180423772285</v>
      </c>
      <c r="BK56" s="1080">
        <f t="shared" si="38"/>
        <v>0</v>
      </c>
      <c r="BL56" s="301">
        <f t="shared" si="39"/>
        <v>484.24208343295618</v>
      </c>
      <c r="BM56" s="104">
        <v>0</v>
      </c>
      <c r="BN56" s="302">
        <f t="shared" si="40"/>
        <v>484.24208343295618</v>
      </c>
    </row>
    <row r="57" spans="1:66">
      <c r="A57" s="127">
        <f>'Input data'!A87</f>
        <v>1987</v>
      </c>
      <c r="B57" s="866">
        <f>'Input data'!B87</f>
        <v>29.96903</v>
      </c>
      <c r="C57" s="866">
        <f>'Baseline data (from input)'!B43</f>
        <v>578.73</v>
      </c>
      <c r="D57" s="777">
        <f>'Baseline data (from input)'!T43</f>
        <v>0.8</v>
      </c>
      <c r="E57" s="777">
        <f t="shared" si="45"/>
        <v>0.24001298204245269</v>
      </c>
      <c r="F57" s="777">
        <f t="shared" si="45"/>
        <v>0.30440139352934503</v>
      </c>
      <c r="G57" s="777">
        <f t="shared" si="45"/>
        <v>5.8998240613430578E-2</v>
      </c>
      <c r="H57" s="777">
        <f t="shared" si="45"/>
        <v>0</v>
      </c>
      <c r="I57" s="777">
        <f t="shared" si="45"/>
        <v>0</v>
      </c>
      <c r="J57" s="777">
        <f t="shared" si="45"/>
        <v>0</v>
      </c>
      <c r="K57" s="777">
        <f t="shared" si="45"/>
        <v>0.39658738381477154</v>
      </c>
      <c r="L57" s="874">
        <f t="shared" si="42"/>
        <v>0.99999999999999989</v>
      </c>
      <c r="N57" s="300">
        <f t="shared" si="1"/>
        <v>13875.181385520002</v>
      </c>
      <c r="O57" s="908">
        <f>Parameters!R158</f>
        <v>0.73</v>
      </c>
      <c r="P57" s="908">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906">
        <f t="shared" si="2"/>
        <v>610.17158584868059</v>
      </c>
      <c r="R57" s="906">
        <f t="shared" si="3"/>
        <v>610.17158584868059</v>
      </c>
      <c r="S57" s="286">
        <f t="shared" si="4"/>
        <v>0</v>
      </c>
      <c r="T57" s="906">
        <f t="shared" si="5"/>
        <v>7012.6647284864703</v>
      </c>
      <c r="U57" s="906">
        <f t="shared" si="6"/>
        <v>328.26284296301509</v>
      </c>
      <c r="V57" s="915">
        <f t="shared" si="7"/>
        <v>218.84189530867673</v>
      </c>
      <c r="W57" s="1450">
        <f t="shared" si="8"/>
        <v>0.13527885904981399</v>
      </c>
      <c r="X57" s="914">
        <f>'Baseline data (from input)'!AS43*W57</f>
        <v>5160.0614589407005</v>
      </c>
      <c r="Y57" s="908">
        <f>Parameters!S158</f>
        <v>0.71500000000000008</v>
      </c>
      <c r="Z57" s="908">
        <f t="shared" si="9"/>
        <v>0.4</v>
      </c>
      <c r="AA57" s="906">
        <f t="shared" si="10"/>
        <v>737.88878862852027</v>
      </c>
      <c r="AB57" s="906">
        <f t="shared" si="11"/>
        <v>737.88878862852027</v>
      </c>
      <c r="AC57" s="286">
        <f t="shared" si="12"/>
        <v>0</v>
      </c>
      <c r="AD57" s="906">
        <f t="shared" si="13"/>
        <v>9065.1272428273005</v>
      </c>
      <c r="AE57" s="906">
        <f t="shared" si="14"/>
        <v>426.94664533135904</v>
      </c>
      <c r="AF57" s="915">
        <f t="shared" si="15"/>
        <v>284.63109688757271</v>
      </c>
      <c r="AG57" s="1450">
        <f t="shared" si="16"/>
        <v>0.13527885904981399</v>
      </c>
      <c r="AH57" s="914">
        <f>'Baseline data (from input)'!AS43*AG57</f>
        <v>5160.0614589407005</v>
      </c>
      <c r="AI57" s="908">
        <f>Parameters!S158</f>
        <v>0.71500000000000008</v>
      </c>
      <c r="AJ57" s="908">
        <f t="shared" si="17"/>
        <v>0.4</v>
      </c>
      <c r="AK57" s="906">
        <f t="shared" si="18"/>
        <v>737.88878862852027</v>
      </c>
      <c r="AL57" s="906">
        <f t="shared" si="19"/>
        <v>737.88878862852027</v>
      </c>
      <c r="AM57" s="286">
        <f t="shared" si="20"/>
        <v>0</v>
      </c>
      <c r="AN57" s="906">
        <f t="shared" si="21"/>
        <v>9065.1272428273005</v>
      </c>
      <c r="AO57" s="906">
        <f t="shared" si="22"/>
        <v>426.94664533135904</v>
      </c>
      <c r="AP57" s="915">
        <f t="shared" si="23"/>
        <v>284.63109688757271</v>
      </c>
      <c r="AR57" s="914">
        <v>0</v>
      </c>
      <c r="AS57" s="907">
        <v>1</v>
      </c>
      <c r="AT57" s="907">
        <f t="shared" si="24"/>
        <v>0.05</v>
      </c>
      <c r="AU57" s="906">
        <f t="shared" si="25"/>
        <v>0</v>
      </c>
      <c r="AV57" s="906">
        <f t="shared" si="26"/>
        <v>0</v>
      </c>
      <c r="AW57" s="198">
        <f t="shared" si="27"/>
        <v>0</v>
      </c>
      <c r="AX57" s="922">
        <f t="shared" si="44"/>
        <v>0</v>
      </c>
      <c r="AY57" s="922">
        <f t="shared" si="29"/>
        <v>0</v>
      </c>
      <c r="AZ57" s="915">
        <f t="shared" si="30"/>
        <v>0</v>
      </c>
      <c r="BB57" s="300">
        <f t="shared" si="31"/>
        <v>218.84189530867673</v>
      </c>
      <c r="BC57" s="301">
        <f t="shared" si="32"/>
        <v>284.63109688757271</v>
      </c>
      <c r="BD57" s="1080">
        <f t="shared" si="33"/>
        <v>0</v>
      </c>
      <c r="BE57" s="301">
        <f t="shared" si="34"/>
        <v>503.47299219624944</v>
      </c>
      <c r="BF57" s="104">
        <v>0</v>
      </c>
      <c r="BG57" s="302">
        <f t="shared" si="35"/>
        <v>503.47299219624944</v>
      </c>
      <c r="BI57" s="300">
        <f t="shared" si="36"/>
        <v>218.84189530867673</v>
      </c>
      <c r="BJ57" s="301">
        <f t="shared" si="37"/>
        <v>284.63109688757271</v>
      </c>
      <c r="BK57" s="1080">
        <f t="shared" si="38"/>
        <v>0</v>
      </c>
      <c r="BL57" s="301">
        <f t="shared" si="39"/>
        <v>503.47299219624944</v>
      </c>
      <c r="BM57" s="104">
        <v>0</v>
      </c>
      <c r="BN57" s="302">
        <f t="shared" si="40"/>
        <v>503.47299219624944</v>
      </c>
    </row>
    <row r="58" spans="1:66">
      <c r="A58" s="127">
        <f>'Input data'!A88</f>
        <v>1988</v>
      </c>
      <c r="B58" s="866">
        <f>'Input data'!B88</f>
        <v>30.692480000000003</v>
      </c>
      <c r="C58" s="866">
        <f>'Baseline data (from input)'!B44</f>
        <v>578.73</v>
      </c>
      <c r="D58" s="777">
        <f>'Baseline data (from input)'!T44</f>
        <v>0.8</v>
      </c>
      <c r="E58" s="777">
        <f t="shared" si="45"/>
        <v>0.24001298204245269</v>
      </c>
      <c r="F58" s="777">
        <f t="shared" si="45"/>
        <v>0.30440139352934503</v>
      </c>
      <c r="G58" s="777">
        <f t="shared" si="45"/>
        <v>5.8998240613430578E-2</v>
      </c>
      <c r="H58" s="777">
        <f t="shared" si="45"/>
        <v>0</v>
      </c>
      <c r="I58" s="777">
        <f t="shared" si="45"/>
        <v>0</v>
      </c>
      <c r="J58" s="777">
        <f t="shared" si="45"/>
        <v>0</v>
      </c>
      <c r="K58" s="777">
        <f t="shared" si="45"/>
        <v>0.39658738381477154</v>
      </c>
      <c r="L58" s="874">
        <f t="shared" si="42"/>
        <v>0.99999999999999989</v>
      </c>
      <c r="N58" s="300">
        <f t="shared" si="1"/>
        <v>14210.127160320004</v>
      </c>
      <c r="O58" s="908">
        <f>Parameters!R159</f>
        <v>0.73</v>
      </c>
      <c r="P58" s="908">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906">
        <f t="shared" si="2"/>
        <v>624.90107938858603</v>
      </c>
      <c r="R58" s="906">
        <f t="shared" si="3"/>
        <v>624.90107938858603</v>
      </c>
      <c r="S58" s="286">
        <f t="shared" si="4"/>
        <v>0</v>
      </c>
      <c r="T58" s="906">
        <f t="shared" si="5"/>
        <v>7295.5541132832277</v>
      </c>
      <c r="U58" s="906">
        <f t="shared" si="6"/>
        <v>342.01169459182927</v>
      </c>
      <c r="V58" s="915">
        <f t="shared" si="7"/>
        <v>228.00779639455286</v>
      </c>
      <c r="W58" s="1450">
        <f t="shared" si="8"/>
        <v>0.13527885904981399</v>
      </c>
      <c r="X58" s="914">
        <f>'Baseline data (from input)'!AS44*W58</f>
        <v>5376.7908798260733</v>
      </c>
      <c r="Y58" s="908">
        <f>Parameters!S159</f>
        <v>0.71500000000000008</v>
      </c>
      <c r="Z58" s="908">
        <f t="shared" si="9"/>
        <v>0.4</v>
      </c>
      <c r="AA58" s="906">
        <f t="shared" si="10"/>
        <v>768.88109581512867</v>
      </c>
      <c r="AB58" s="906">
        <f t="shared" si="11"/>
        <v>768.88109581512867</v>
      </c>
      <c r="AC58" s="286">
        <f t="shared" si="12"/>
        <v>0</v>
      </c>
      <c r="AD58" s="906">
        <f t="shared" si="13"/>
        <v>9391.8968660354858</v>
      </c>
      <c r="AE58" s="906">
        <f t="shared" si="14"/>
        <v>442.11147260694304</v>
      </c>
      <c r="AF58" s="915">
        <f t="shared" si="15"/>
        <v>294.74098173796204</v>
      </c>
      <c r="AG58" s="1450">
        <f t="shared" si="16"/>
        <v>0.13527885904981399</v>
      </c>
      <c r="AH58" s="914">
        <f>'Baseline data (from input)'!AS44*AG58</f>
        <v>5376.7908798260733</v>
      </c>
      <c r="AI58" s="908">
        <f>Parameters!S159</f>
        <v>0.71500000000000008</v>
      </c>
      <c r="AJ58" s="908">
        <f t="shared" si="17"/>
        <v>0.4</v>
      </c>
      <c r="AK58" s="906">
        <f t="shared" si="18"/>
        <v>768.88109581512867</v>
      </c>
      <c r="AL58" s="906">
        <f t="shared" si="19"/>
        <v>768.88109581512867</v>
      </c>
      <c r="AM58" s="286">
        <f t="shared" si="20"/>
        <v>0</v>
      </c>
      <c r="AN58" s="906">
        <f t="shared" si="21"/>
        <v>9391.8968660354858</v>
      </c>
      <c r="AO58" s="906">
        <f t="shared" si="22"/>
        <v>442.11147260694304</v>
      </c>
      <c r="AP58" s="915">
        <f t="shared" si="23"/>
        <v>294.74098173796204</v>
      </c>
      <c r="AR58" s="914">
        <v>0</v>
      </c>
      <c r="AS58" s="907">
        <v>1</v>
      </c>
      <c r="AT58" s="907">
        <f t="shared" si="24"/>
        <v>0.05</v>
      </c>
      <c r="AU58" s="906">
        <f t="shared" si="25"/>
        <v>0</v>
      </c>
      <c r="AV58" s="906">
        <f t="shared" si="26"/>
        <v>0</v>
      </c>
      <c r="AW58" s="198">
        <f t="shared" si="27"/>
        <v>0</v>
      </c>
      <c r="AX58" s="922">
        <f t="shared" si="44"/>
        <v>0</v>
      </c>
      <c r="AY58" s="922">
        <f t="shared" si="29"/>
        <v>0</v>
      </c>
      <c r="AZ58" s="915">
        <f t="shared" si="30"/>
        <v>0</v>
      </c>
      <c r="BB58" s="300">
        <f t="shared" si="31"/>
        <v>228.00779639455286</v>
      </c>
      <c r="BC58" s="301">
        <f t="shared" si="32"/>
        <v>294.74098173796204</v>
      </c>
      <c r="BD58" s="1080">
        <f t="shared" si="33"/>
        <v>0</v>
      </c>
      <c r="BE58" s="301">
        <f t="shared" si="34"/>
        <v>522.74877813251487</v>
      </c>
      <c r="BF58" s="104">
        <v>0</v>
      </c>
      <c r="BG58" s="302">
        <f t="shared" si="35"/>
        <v>522.74877813251487</v>
      </c>
      <c r="BI58" s="300">
        <f t="shared" si="36"/>
        <v>228.00779639455286</v>
      </c>
      <c r="BJ58" s="301">
        <f t="shared" si="37"/>
        <v>294.74098173796204</v>
      </c>
      <c r="BK58" s="1080">
        <f t="shared" si="38"/>
        <v>0</v>
      </c>
      <c r="BL58" s="301">
        <f t="shared" si="39"/>
        <v>522.74877813251487</v>
      </c>
      <c r="BM58" s="104">
        <v>0</v>
      </c>
      <c r="BN58" s="302">
        <f t="shared" si="40"/>
        <v>522.74877813251487</v>
      </c>
    </row>
    <row r="59" spans="1:66">
      <c r="A59" s="127">
        <f>'Input data'!A89</f>
        <v>1989</v>
      </c>
      <c r="B59" s="866">
        <f>'Input data'!B89</f>
        <v>31.386810000000001</v>
      </c>
      <c r="C59" s="866">
        <f>'Baseline data (from input)'!B45</f>
        <v>578.73</v>
      </c>
      <c r="D59" s="777">
        <f>'Baseline data (from input)'!T45</f>
        <v>0.8</v>
      </c>
      <c r="E59" s="777">
        <f t="shared" si="45"/>
        <v>0.24001298204245269</v>
      </c>
      <c r="F59" s="777">
        <f t="shared" si="45"/>
        <v>0.30440139352934503</v>
      </c>
      <c r="G59" s="777">
        <f t="shared" si="45"/>
        <v>5.8998240613430578E-2</v>
      </c>
      <c r="H59" s="777">
        <f t="shared" si="45"/>
        <v>0</v>
      </c>
      <c r="I59" s="777">
        <f t="shared" si="45"/>
        <v>0</v>
      </c>
      <c r="J59" s="777">
        <f t="shared" si="45"/>
        <v>0</v>
      </c>
      <c r="K59" s="777">
        <f t="shared" si="45"/>
        <v>0.39658738381477154</v>
      </c>
      <c r="L59" s="874">
        <f t="shared" si="42"/>
        <v>0.99999999999999989</v>
      </c>
      <c r="N59" s="300">
        <f t="shared" si="1"/>
        <v>14531.590841040001</v>
      </c>
      <c r="O59" s="908">
        <f>Parameters!R160</f>
        <v>0.73</v>
      </c>
      <c r="P59" s="908">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906">
        <f t="shared" si="2"/>
        <v>639.03768765392897</v>
      </c>
      <c r="R59" s="906">
        <f t="shared" si="3"/>
        <v>639.03768765392897</v>
      </c>
      <c r="S59" s="286">
        <f t="shared" si="4"/>
        <v>0</v>
      </c>
      <c r="T59" s="906">
        <f t="shared" si="5"/>
        <v>7578.7834282461499</v>
      </c>
      <c r="U59" s="906">
        <f t="shared" si="6"/>
        <v>355.80837269100607</v>
      </c>
      <c r="V59" s="915">
        <f t="shared" si="7"/>
        <v>237.20558179400405</v>
      </c>
      <c r="W59" s="1450">
        <f t="shared" si="8"/>
        <v>0.13527885904981399</v>
      </c>
      <c r="X59" s="914">
        <f>'Baseline data (from input)'!AS45*W59</f>
        <v>5505.5534160787047</v>
      </c>
      <c r="Y59" s="908">
        <f>Parameters!S160</f>
        <v>0.71500000000000008</v>
      </c>
      <c r="Z59" s="908">
        <f t="shared" si="9"/>
        <v>0.4</v>
      </c>
      <c r="AA59" s="906">
        <f t="shared" si="10"/>
        <v>787.29413849925481</v>
      </c>
      <c r="AB59" s="906">
        <f t="shared" si="11"/>
        <v>787.29413849925481</v>
      </c>
      <c r="AC59" s="286">
        <f t="shared" si="12"/>
        <v>0</v>
      </c>
      <c r="AD59" s="906">
        <f t="shared" si="13"/>
        <v>9721.1427893482505</v>
      </c>
      <c r="AE59" s="906">
        <f t="shared" si="14"/>
        <v>458.04821518649106</v>
      </c>
      <c r="AF59" s="915">
        <f t="shared" si="15"/>
        <v>305.36547679099402</v>
      </c>
      <c r="AG59" s="1450">
        <f t="shared" si="16"/>
        <v>0.13527885904981399</v>
      </c>
      <c r="AH59" s="914">
        <f>'Baseline data (from input)'!AS45*AG59</f>
        <v>5505.5534160787047</v>
      </c>
      <c r="AI59" s="908">
        <f>Parameters!S160</f>
        <v>0.71500000000000008</v>
      </c>
      <c r="AJ59" s="908">
        <f t="shared" si="17"/>
        <v>0.4</v>
      </c>
      <c r="AK59" s="906">
        <f t="shared" si="18"/>
        <v>787.29413849925481</v>
      </c>
      <c r="AL59" s="906">
        <f t="shared" si="19"/>
        <v>787.29413849925481</v>
      </c>
      <c r="AM59" s="286">
        <f t="shared" si="20"/>
        <v>0</v>
      </c>
      <c r="AN59" s="906">
        <f t="shared" si="21"/>
        <v>9721.1427893482505</v>
      </c>
      <c r="AO59" s="906">
        <f t="shared" si="22"/>
        <v>458.04821518649106</v>
      </c>
      <c r="AP59" s="915">
        <f t="shared" si="23"/>
        <v>305.36547679099402</v>
      </c>
      <c r="AR59" s="914">
        <v>0</v>
      </c>
      <c r="AS59" s="907">
        <v>1</v>
      </c>
      <c r="AT59" s="907">
        <f t="shared" si="24"/>
        <v>0.05</v>
      </c>
      <c r="AU59" s="906">
        <f t="shared" si="25"/>
        <v>0</v>
      </c>
      <c r="AV59" s="906">
        <f t="shared" si="26"/>
        <v>0</v>
      </c>
      <c r="AW59" s="198">
        <f t="shared" si="27"/>
        <v>0</v>
      </c>
      <c r="AX59" s="922">
        <f t="shared" si="44"/>
        <v>0</v>
      </c>
      <c r="AY59" s="922">
        <f t="shared" si="29"/>
        <v>0</v>
      </c>
      <c r="AZ59" s="915">
        <f t="shared" si="30"/>
        <v>0</v>
      </c>
      <c r="BB59" s="300">
        <f t="shared" si="31"/>
        <v>237.20558179400405</v>
      </c>
      <c r="BC59" s="301">
        <f t="shared" si="32"/>
        <v>305.36547679099402</v>
      </c>
      <c r="BD59" s="1080">
        <f t="shared" si="33"/>
        <v>0</v>
      </c>
      <c r="BE59" s="301">
        <f t="shared" si="34"/>
        <v>542.57105858499813</v>
      </c>
      <c r="BF59" s="104">
        <v>0</v>
      </c>
      <c r="BG59" s="302">
        <f t="shared" si="35"/>
        <v>542.57105858499813</v>
      </c>
      <c r="BI59" s="300">
        <f t="shared" si="36"/>
        <v>237.20558179400405</v>
      </c>
      <c r="BJ59" s="301">
        <f t="shared" si="37"/>
        <v>305.36547679099402</v>
      </c>
      <c r="BK59" s="1080">
        <f t="shared" si="38"/>
        <v>0</v>
      </c>
      <c r="BL59" s="301">
        <f t="shared" si="39"/>
        <v>542.57105858499813</v>
      </c>
      <c r="BM59" s="104">
        <v>0</v>
      </c>
      <c r="BN59" s="302">
        <f t="shared" si="40"/>
        <v>542.57105858499813</v>
      </c>
    </row>
    <row r="60" spans="1:66">
      <c r="A60" s="127">
        <f>'Input data'!A90</f>
        <v>1990</v>
      </c>
      <c r="B60" s="866">
        <f>'Input data'!B90</f>
        <v>32.032000000000004</v>
      </c>
      <c r="C60" s="866">
        <f>'Baseline data (from input)'!B46</f>
        <v>578.73</v>
      </c>
      <c r="D60" s="777">
        <f>'Baseline data (from input)'!T46</f>
        <v>0.8</v>
      </c>
      <c r="E60" s="777">
        <f t="shared" si="45"/>
        <v>0.24001298204245269</v>
      </c>
      <c r="F60" s="777">
        <f t="shared" si="45"/>
        <v>0.30440139352934503</v>
      </c>
      <c r="G60" s="777">
        <f t="shared" si="45"/>
        <v>5.8998240613430578E-2</v>
      </c>
      <c r="H60" s="777">
        <f t="shared" si="45"/>
        <v>0</v>
      </c>
      <c r="I60" s="777">
        <f t="shared" si="45"/>
        <v>0</v>
      </c>
      <c r="J60" s="777">
        <f t="shared" si="45"/>
        <v>0</v>
      </c>
      <c r="K60" s="777">
        <f t="shared" si="45"/>
        <v>0.39658738381477154</v>
      </c>
      <c r="L60" s="874">
        <f t="shared" si="42"/>
        <v>0.99999999999999989</v>
      </c>
      <c r="N60" s="300">
        <f t="shared" si="1"/>
        <v>14830.303488000003</v>
      </c>
      <c r="O60" s="908">
        <f>Parameters!R161</f>
        <v>0.73</v>
      </c>
      <c r="P60" s="908">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906">
        <f t="shared" si="2"/>
        <v>652.17380201844844</v>
      </c>
      <c r="R60" s="906">
        <f t="shared" si="3"/>
        <v>652.17380201844844</v>
      </c>
      <c r="S60" s="286">
        <f t="shared" si="4"/>
        <v>0</v>
      </c>
      <c r="T60" s="906">
        <f t="shared" si="5"/>
        <v>7861.3356008845822</v>
      </c>
      <c r="U60" s="906">
        <f t="shared" si="6"/>
        <v>369.62162938001632</v>
      </c>
      <c r="V60" s="915">
        <f t="shared" si="7"/>
        <v>246.41441958667755</v>
      </c>
      <c r="W60" s="1450">
        <f t="shared" si="8"/>
        <v>0.13527885904981399</v>
      </c>
      <c r="X60" s="914">
        <f>'Baseline data (from input)'!AS46*W60</f>
        <v>5488.0575559378776</v>
      </c>
      <c r="Y60" s="908">
        <f>Parameters!S161</f>
        <v>0.71500000000000008</v>
      </c>
      <c r="Z60" s="908">
        <f t="shared" si="9"/>
        <v>0.4</v>
      </c>
      <c r="AA60" s="906">
        <f t="shared" si="10"/>
        <v>784.79223049911661</v>
      </c>
      <c r="AB60" s="906">
        <f t="shared" si="11"/>
        <v>784.79223049911661</v>
      </c>
      <c r="AC60" s="286">
        <f t="shared" si="12"/>
        <v>0</v>
      </c>
      <c r="AD60" s="906">
        <f t="shared" si="13"/>
        <v>10031.829291500118</v>
      </c>
      <c r="AE60" s="906">
        <f t="shared" si="14"/>
        <v>474.10572834724837</v>
      </c>
      <c r="AF60" s="915">
        <f t="shared" si="15"/>
        <v>316.07048556483227</v>
      </c>
      <c r="AG60" s="1450">
        <f t="shared" si="16"/>
        <v>0.13527885904981399</v>
      </c>
      <c r="AH60" s="914">
        <f>'Baseline data (from input)'!AS46*AG60</f>
        <v>5488.0575559378776</v>
      </c>
      <c r="AI60" s="908">
        <f>Parameters!S161</f>
        <v>0.71500000000000008</v>
      </c>
      <c r="AJ60" s="908">
        <f t="shared" si="17"/>
        <v>0.4</v>
      </c>
      <c r="AK60" s="906">
        <f t="shared" si="18"/>
        <v>784.79223049911661</v>
      </c>
      <c r="AL60" s="906">
        <f t="shared" si="19"/>
        <v>784.79223049911661</v>
      </c>
      <c r="AM60" s="286">
        <f t="shared" si="20"/>
        <v>0</v>
      </c>
      <c r="AN60" s="906">
        <f t="shared" si="21"/>
        <v>10031.829291500118</v>
      </c>
      <c r="AO60" s="906">
        <f t="shared" si="22"/>
        <v>474.10572834724837</v>
      </c>
      <c r="AP60" s="915">
        <f t="shared" si="23"/>
        <v>316.07048556483227</v>
      </c>
      <c r="AR60" s="914">
        <v>0</v>
      </c>
      <c r="AS60" s="907">
        <v>1</v>
      </c>
      <c r="AT60" s="907">
        <f t="shared" si="24"/>
        <v>0.05</v>
      </c>
      <c r="AU60" s="906">
        <f t="shared" si="25"/>
        <v>0</v>
      </c>
      <c r="AV60" s="906">
        <f t="shared" si="26"/>
        <v>0</v>
      </c>
      <c r="AW60" s="198">
        <f t="shared" si="27"/>
        <v>0</v>
      </c>
      <c r="AX60" s="922">
        <f t="shared" si="44"/>
        <v>0</v>
      </c>
      <c r="AY60" s="922">
        <f t="shared" si="29"/>
        <v>0</v>
      </c>
      <c r="AZ60" s="915">
        <f t="shared" si="30"/>
        <v>0</v>
      </c>
      <c r="BB60" s="300">
        <f t="shared" si="31"/>
        <v>246.41441958667755</v>
      </c>
      <c r="BC60" s="301">
        <f t="shared" si="32"/>
        <v>316.07048556483227</v>
      </c>
      <c r="BD60" s="1080">
        <f t="shared" si="33"/>
        <v>0</v>
      </c>
      <c r="BE60" s="301">
        <f t="shared" si="34"/>
        <v>562.48490515150979</v>
      </c>
      <c r="BF60" s="104">
        <v>0</v>
      </c>
      <c r="BG60" s="302">
        <f t="shared" si="35"/>
        <v>562.48490515150979</v>
      </c>
      <c r="BI60" s="300">
        <f t="shared" si="36"/>
        <v>246.41441958667755</v>
      </c>
      <c r="BJ60" s="301">
        <f t="shared" si="37"/>
        <v>316.07048556483227</v>
      </c>
      <c r="BK60" s="1080">
        <f t="shared" si="38"/>
        <v>0</v>
      </c>
      <c r="BL60" s="301">
        <f t="shared" si="39"/>
        <v>562.48490515150979</v>
      </c>
      <c r="BM60" s="104">
        <v>0</v>
      </c>
      <c r="BN60" s="302">
        <f t="shared" si="40"/>
        <v>562.48490515150979</v>
      </c>
    </row>
    <row r="61" spans="1:66">
      <c r="A61" s="127">
        <f>'Input data'!A91</f>
        <v>1991</v>
      </c>
      <c r="B61" s="866">
        <f>'Input data'!B91</f>
        <v>32.69903</v>
      </c>
      <c r="C61" s="866">
        <f>'Baseline data (from input)'!B47</f>
        <v>578.73</v>
      </c>
      <c r="D61" s="777">
        <f>'Baseline data (from input)'!T47</f>
        <v>0.8</v>
      </c>
      <c r="E61" s="777">
        <f t="shared" si="45"/>
        <v>0.24001298204245269</v>
      </c>
      <c r="F61" s="777">
        <f t="shared" si="45"/>
        <v>0.30440139352934503</v>
      </c>
      <c r="G61" s="777">
        <f t="shared" si="45"/>
        <v>5.8998240613430578E-2</v>
      </c>
      <c r="H61" s="777">
        <f t="shared" si="45"/>
        <v>0</v>
      </c>
      <c r="I61" s="777">
        <f t="shared" si="45"/>
        <v>0</v>
      </c>
      <c r="J61" s="777">
        <f t="shared" si="45"/>
        <v>0</v>
      </c>
      <c r="K61" s="777">
        <f t="shared" si="45"/>
        <v>0.39658738381477154</v>
      </c>
      <c r="L61" s="874">
        <f t="shared" si="42"/>
        <v>0.99999999999999989</v>
      </c>
      <c r="N61" s="300">
        <f t="shared" si="1"/>
        <v>15139.127705520003</v>
      </c>
      <c r="O61" s="908">
        <f>Parameters!R162</f>
        <v>0.73</v>
      </c>
      <c r="P61" s="908">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906">
        <f t="shared" si="2"/>
        <v>665.75458033888935</v>
      </c>
      <c r="R61" s="906">
        <f t="shared" si="3"/>
        <v>665.75458033888935</v>
      </c>
      <c r="S61" s="286">
        <f t="shared" si="4"/>
        <v>0</v>
      </c>
      <c r="T61" s="906">
        <f t="shared" si="5"/>
        <v>8143.688319775305</v>
      </c>
      <c r="U61" s="906">
        <f t="shared" si="6"/>
        <v>383.40186144816624</v>
      </c>
      <c r="V61" s="915">
        <f t="shared" si="7"/>
        <v>255.60124096544416</v>
      </c>
      <c r="W61" s="1450">
        <f t="shared" si="8"/>
        <v>0.13527885904981399</v>
      </c>
      <c r="X61" s="914">
        <f>'Baseline data (from input)'!AS47*W61</f>
        <v>5432.177063261639</v>
      </c>
      <c r="Y61" s="908">
        <f>Parameters!S162</f>
        <v>0.71500000000000008</v>
      </c>
      <c r="Z61" s="908">
        <f t="shared" si="9"/>
        <v>0.4</v>
      </c>
      <c r="AA61" s="906">
        <f t="shared" si="10"/>
        <v>776.8013200464145</v>
      </c>
      <c r="AB61" s="906">
        <f t="shared" si="11"/>
        <v>776.8013200464145</v>
      </c>
      <c r="AC61" s="286">
        <f t="shared" si="12"/>
        <v>0</v>
      </c>
      <c r="AD61" s="906">
        <f t="shared" si="13"/>
        <v>10319.372523689477</v>
      </c>
      <c r="AE61" s="906">
        <f t="shared" si="14"/>
        <v>489.25808785705516</v>
      </c>
      <c r="AF61" s="915">
        <f t="shared" si="15"/>
        <v>326.17205857137009</v>
      </c>
      <c r="AG61" s="1450">
        <f t="shared" si="16"/>
        <v>0.13527885904981399</v>
      </c>
      <c r="AH61" s="914">
        <f>'Baseline data (from input)'!AS47*AG61</f>
        <v>5432.177063261639</v>
      </c>
      <c r="AI61" s="908">
        <f>Parameters!S162</f>
        <v>0.71500000000000008</v>
      </c>
      <c r="AJ61" s="908">
        <f t="shared" si="17"/>
        <v>0.4</v>
      </c>
      <c r="AK61" s="906">
        <f t="shared" si="18"/>
        <v>776.8013200464145</v>
      </c>
      <c r="AL61" s="906">
        <f t="shared" si="19"/>
        <v>776.8013200464145</v>
      </c>
      <c r="AM61" s="286">
        <f t="shared" si="20"/>
        <v>0</v>
      </c>
      <c r="AN61" s="906">
        <f t="shared" si="21"/>
        <v>10319.372523689477</v>
      </c>
      <c r="AO61" s="906">
        <f t="shared" si="22"/>
        <v>489.25808785705516</v>
      </c>
      <c r="AP61" s="915">
        <f t="shared" si="23"/>
        <v>326.17205857137009</v>
      </c>
      <c r="AR61" s="914">
        <v>0</v>
      </c>
      <c r="AS61" s="907">
        <v>1</v>
      </c>
      <c r="AT61" s="907">
        <f t="shared" si="24"/>
        <v>0.05</v>
      </c>
      <c r="AU61" s="906">
        <f t="shared" si="25"/>
        <v>0</v>
      </c>
      <c r="AV61" s="906">
        <f t="shared" si="26"/>
        <v>0</v>
      </c>
      <c r="AW61" s="198">
        <f t="shared" si="27"/>
        <v>0</v>
      </c>
      <c r="AX61" s="922">
        <f t="shared" si="44"/>
        <v>0</v>
      </c>
      <c r="AY61" s="922">
        <f t="shared" si="29"/>
        <v>0</v>
      </c>
      <c r="AZ61" s="915">
        <f t="shared" si="30"/>
        <v>0</v>
      </c>
      <c r="BB61" s="300">
        <f t="shared" si="31"/>
        <v>255.60124096544416</v>
      </c>
      <c r="BC61" s="301">
        <f t="shared" si="32"/>
        <v>326.17205857137009</v>
      </c>
      <c r="BD61" s="1080">
        <f t="shared" si="33"/>
        <v>0</v>
      </c>
      <c r="BE61" s="301">
        <f t="shared" si="34"/>
        <v>581.77329953681419</v>
      </c>
      <c r="BF61" s="104">
        <v>0</v>
      </c>
      <c r="BG61" s="302">
        <f t="shared" si="35"/>
        <v>581.77329953681419</v>
      </c>
      <c r="BI61" s="300">
        <f t="shared" si="36"/>
        <v>255.60124096544416</v>
      </c>
      <c r="BJ61" s="301">
        <f t="shared" si="37"/>
        <v>326.17205857137009</v>
      </c>
      <c r="BK61" s="1080">
        <f t="shared" si="38"/>
        <v>0</v>
      </c>
      <c r="BL61" s="301">
        <f t="shared" si="39"/>
        <v>581.77329953681419</v>
      </c>
      <c r="BM61" s="104">
        <v>0</v>
      </c>
      <c r="BN61" s="302">
        <f t="shared" si="40"/>
        <v>581.77329953681419</v>
      </c>
    </row>
    <row r="62" spans="1:66">
      <c r="A62" s="127">
        <f>'Input data'!A92</f>
        <v>1992</v>
      </c>
      <c r="B62" s="866">
        <f>'Input data'!B92</f>
        <v>33.388809999999999</v>
      </c>
      <c r="C62" s="866">
        <f>'Baseline data (from input)'!B48</f>
        <v>578.73</v>
      </c>
      <c r="D62" s="777">
        <f>'Baseline data (from input)'!T48</f>
        <v>0.8</v>
      </c>
      <c r="E62" s="777">
        <f t="shared" si="45"/>
        <v>0.24001298204245269</v>
      </c>
      <c r="F62" s="777">
        <f t="shared" si="45"/>
        <v>0.30440139352934503</v>
      </c>
      <c r="G62" s="777">
        <f t="shared" si="45"/>
        <v>5.8998240613430578E-2</v>
      </c>
      <c r="H62" s="777">
        <f t="shared" si="45"/>
        <v>0</v>
      </c>
      <c r="I62" s="777">
        <f t="shared" si="45"/>
        <v>0</v>
      </c>
      <c r="J62" s="777">
        <f t="shared" si="45"/>
        <v>0</v>
      </c>
      <c r="K62" s="777">
        <f t="shared" si="45"/>
        <v>0.39658738381477154</v>
      </c>
      <c r="L62" s="874">
        <f t="shared" si="42"/>
        <v>0.99999999999999989</v>
      </c>
      <c r="N62" s="300">
        <f t="shared" si="1"/>
        <v>15458.484809039999</v>
      </c>
      <c r="O62" s="908">
        <f>Parameters!R163</f>
        <v>0.73</v>
      </c>
      <c r="P62" s="908">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906">
        <f t="shared" si="2"/>
        <v>679.79855028008194</v>
      </c>
      <c r="R62" s="906">
        <f t="shared" si="3"/>
        <v>679.79855028008194</v>
      </c>
      <c r="S62" s="286">
        <f t="shared" si="4"/>
        <v>0</v>
      </c>
      <c r="T62" s="906">
        <f t="shared" si="5"/>
        <v>8426.3145040131312</v>
      </c>
      <c r="U62" s="906">
        <f t="shared" si="6"/>
        <v>397.17236604225491</v>
      </c>
      <c r="V62" s="915">
        <f t="shared" si="7"/>
        <v>264.78157736150325</v>
      </c>
      <c r="W62" s="1450">
        <f t="shared" si="8"/>
        <v>0.13527885904981399</v>
      </c>
      <c r="X62" s="914">
        <f>'Baseline data (from input)'!AS48*W62</f>
        <v>5316.0883491085297</v>
      </c>
      <c r="Y62" s="908">
        <f>Parameters!S163</f>
        <v>0.71500000000000008</v>
      </c>
      <c r="Z62" s="908">
        <f t="shared" si="9"/>
        <v>0.4</v>
      </c>
      <c r="AA62" s="906">
        <f t="shared" si="10"/>
        <v>760.20063392251996</v>
      </c>
      <c r="AB62" s="906">
        <f t="shared" si="11"/>
        <v>760.20063392251996</v>
      </c>
      <c r="AC62" s="286">
        <f t="shared" si="12"/>
        <v>0</v>
      </c>
      <c r="AD62" s="906">
        <f t="shared" si="13"/>
        <v>10576.291420840142</v>
      </c>
      <c r="AE62" s="906">
        <f t="shared" si="14"/>
        <v>503.28173677185498</v>
      </c>
      <c r="AF62" s="915">
        <f t="shared" si="15"/>
        <v>335.52115784790334</v>
      </c>
      <c r="AG62" s="1450">
        <f t="shared" si="16"/>
        <v>0.13527885904981399</v>
      </c>
      <c r="AH62" s="914">
        <f>'Baseline data (from input)'!AS48*AG62</f>
        <v>5316.0883491085297</v>
      </c>
      <c r="AI62" s="908">
        <f>Parameters!S163</f>
        <v>0.71500000000000008</v>
      </c>
      <c r="AJ62" s="908">
        <f t="shared" si="17"/>
        <v>0.4</v>
      </c>
      <c r="AK62" s="906">
        <f t="shared" si="18"/>
        <v>760.20063392251996</v>
      </c>
      <c r="AL62" s="906">
        <f t="shared" si="19"/>
        <v>760.20063392251996</v>
      </c>
      <c r="AM62" s="286">
        <f t="shared" si="20"/>
        <v>0</v>
      </c>
      <c r="AN62" s="906">
        <f t="shared" si="21"/>
        <v>10576.291420840142</v>
      </c>
      <c r="AO62" s="906">
        <f t="shared" si="22"/>
        <v>503.28173677185498</v>
      </c>
      <c r="AP62" s="915">
        <f t="shared" si="23"/>
        <v>335.52115784790334</v>
      </c>
      <c r="AR62" s="914">
        <v>0</v>
      </c>
      <c r="AS62" s="907">
        <v>1</v>
      </c>
      <c r="AT62" s="907">
        <f t="shared" si="24"/>
        <v>0.05</v>
      </c>
      <c r="AU62" s="906">
        <f t="shared" si="25"/>
        <v>0</v>
      </c>
      <c r="AV62" s="906">
        <f t="shared" si="26"/>
        <v>0</v>
      </c>
      <c r="AW62" s="198">
        <f t="shared" si="27"/>
        <v>0</v>
      </c>
      <c r="AX62" s="922">
        <f t="shared" si="44"/>
        <v>0</v>
      </c>
      <c r="AY62" s="922">
        <f t="shared" si="29"/>
        <v>0</v>
      </c>
      <c r="AZ62" s="915">
        <f t="shared" si="30"/>
        <v>0</v>
      </c>
      <c r="BB62" s="300">
        <f t="shared" si="31"/>
        <v>264.78157736150325</v>
      </c>
      <c r="BC62" s="301">
        <f t="shared" si="32"/>
        <v>335.52115784790334</v>
      </c>
      <c r="BD62" s="1080">
        <f t="shared" si="33"/>
        <v>0</v>
      </c>
      <c r="BE62" s="301">
        <f t="shared" si="34"/>
        <v>600.30273520940659</v>
      </c>
      <c r="BF62" s="104">
        <v>0</v>
      </c>
      <c r="BG62" s="302">
        <f t="shared" si="35"/>
        <v>600.30273520940659</v>
      </c>
      <c r="BI62" s="300">
        <f t="shared" si="36"/>
        <v>264.78157736150325</v>
      </c>
      <c r="BJ62" s="301">
        <f t="shared" si="37"/>
        <v>335.52115784790334</v>
      </c>
      <c r="BK62" s="1080">
        <f t="shared" si="38"/>
        <v>0</v>
      </c>
      <c r="BL62" s="301">
        <f t="shared" si="39"/>
        <v>600.30273520940659</v>
      </c>
      <c r="BM62" s="104">
        <v>0</v>
      </c>
      <c r="BN62" s="302">
        <f t="shared" si="40"/>
        <v>600.30273520940659</v>
      </c>
    </row>
    <row r="63" spans="1:66">
      <c r="A63" s="127">
        <f>'Input data'!A93</f>
        <v>1993</v>
      </c>
      <c r="B63" s="866">
        <f>'Input data'!B93</f>
        <v>34.101339999999993</v>
      </c>
      <c r="C63" s="866">
        <f>'Baseline data (from input)'!B49</f>
        <v>578.73</v>
      </c>
      <c r="D63" s="777">
        <f>'Baseline data (from input)'!T49</f>
        <v>0.8</v>
      </c>
      <c r="E63" s="777">
        <f t="shared" si="45"/>
        <v>0.24001298204245269</v>
      </c>
      <c r="F63" s="777">
        <f t="shared" si="45"/>
        <v>0.30440139352934503</v>
      </c>
      <c r="G63" s="777">
        <f t="shared" si="45"/>
        <v>5.8998240613430578E-2</v>
      </c>
      <c r="H63" s="777">
        <f t="shared" si="45"/>
        <v>0</v>
      </c>
      <c r="I63" s="777">
        <f t="shared" si="45"/>
        <v>0</v>
      </c>
      <c r="J63" s="777">
        <f t="shared" si="45"/>
        <v>0</v>
      </c>
      <c r="K63" s="777">
        <f t="shared" si="45"/>
        <v>0.39658738381477154</v>
      </c>
      <c r="L63" s="874">
        <f t="shared" si="42"/>
        <v>0.99999999999999989</v>
      </c>
      <c r="N63" s="300">
        <f t="shared" si="1"/>
        <v>15788.374798559998</v>
      </c>
      <c r="O63" s="908">
        <f>Parameters!R164</f>
        <v>0.73</v>
      </c>
      <c r="P63" s="908">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906">
        <f t="shared" si="2"/>
        <v>694.30571184202631</v>
      </c>
      <c r="R63" s="906">
        <f t="shared" si="3"/>
        <v>694.30571184202631</v>
      </c>
      <c r="S63" s="286">
        <f t="shared" si="4"/>
        <v>0</v>
      </c>
      <c r="T63" s="906">
        <f t="shared" si="5"/>
        <v>8709.6640081564565</v>
      </c>
      <c r="U63" s="906">
        <f t="shared" si="6"/>
        <v>410.95620769870095</v>
      </c>
      <c r="V63" s="915">
        <f t="shared" si="7"/>
        <v>273.97080513246732</v>
      </c>
      <c r="W63" s="1450">
        <f t="shared" si="8"/>
        <v>0.13527885904981399</v>
      </c>
      <c r="X63" s="914">
        <f>'Baseline data (from input)'!AS49*W63</f>
        <v>5381.6633574874559</v>
      </c>
      <c r="Y63" s="908">
        <f>Parameters!S164</f>
        <v>0.71500000000000008</v>
      </c>
      <c r="Z63" s="908">
        <f t="shared" si="9"/>
        <v>0.4</v>
      </c>
      <c r="AA63" s="906">
        <f t="shared" si="10"/>
        <v>769.5778601207063</v>
      </c>
      <c r="AB63" s="906">
        <f t="shared" si="11"/>
        <v>769.5778601207063</v>
      </c>
      <c r="AC63" s="286">
        <f t="shared" si="12"/>
        <v>0</v>
      </c>
      <c r="AD63" s="906">
        <f t="shared" si="13"/>
        <v>10830.057461718312</v>
      </c>
      <c r="AE63" s="906">
        <f t="shared" si="14"/>
        <v>515.81181924253474</v>
      </c>
      <c r="AF63" s="915">
        <f t="shared" si="15"/>
        <v>343.87454616168981</v>
      </c>
      <c r="AG63" s="1450">
        <f t="shared" si="16"/>
        <v>0.13527885904981399</v>
      </c>
      <c r="AH63" s="914">
        <f>'Baseline data (from input)'!AS49*AG63</f>
        <v>5381.6633574874559</v>
      </c>
      <c r="AI63" s="908">
        <f>Parameters!S164</f>
        <v>0.71500000000000008</v>
      </c>
      <c r="AJ63" s="908">
        <f t="shared" si="17"/>
        <v>0.4</v>
      </c>
      <c r="AK63" s="906">
        <f t="shared" si="18"/>
        <v>769.5778601207063</v>
      </c>
      <c r="AL63" s="906">
        <f t="shared" si="19"/>
        <v>769.5778601207063</v>
      </c>
      <c r="AM63" s="286">
        <f t="shared" si="20"/>
        <v>0</v>
      </c>
      <c r="AN63" s="906">
        <f t="shared" si="21"/>
        <v>10830.057461718312</v>
      </c>
      <c r="AO63" s="906">
        <f t="shared" si="22"/>
        <v>515.81181924253474</v>
      </c>
      <c r="AP63" s="915">
        <f t="shared" si="23"/>
        <v>343.87454616168981</v>
      </c>
      <c r="AR63" s="914">
        <v>0</v>
      </c>
      <c r="AS63" s="907">
        <v>1</v>
      </c>
      <c r="AT63" s="907">
        <f t="shared" si="24"/>
        <v>0.05</v>
      </c>
      <c r="AU63" s="906">
        <f t="shared" si="25"/>
        <v>0</v>
      </c>
      <c r="AV63" s="906">
        <f t="shared" si="26"/>
        <v>0</v>
      </c>
      <c r="AW63" s="198">
        <f t="shared" si="27"/>
        <v>0</v>
      </c>
      <c r="AX63" s="922">
        <f t="shared" si="44"/>
        <v>0</v>
      </c>
      <c r="AY63" s="922">
        <f t="shared" si="29"/>
        <v>0</v>
      </c>
      <c r="AZ63" s="915">
        <f t="shared" si="30"/>
        <v>0</v>
      </c>
      <c r="BB63" s="300">
        <f t="shared" si="31"/>
        <v>273.97080513246732</v>
      </c>
      <c r="BC63" s="301">
        <f t="shared" si="32"/>
        <v>343.87454616168981</v>
      </c>
      <c r="BD63" s="1080">
        <f t="shared" si="33"/>
        <v>0</v>
      </c>
      <c r="BE63" s="301">
        <f t="shared" si="34"/>
        <v>617.84535129415713</v>
      </c>
      <c r="BF63" s="104">
        <v>0</v>
      </c>
      <c r="BG63" s="302">
        <f t="shared" si="35"/>
        <v>617.84535129415713</v>
      </c>
      <c r="BI63" s="300">
        <f t="shared" si="36"/>
        <v>273.97080513246732</v>
      </c>
      <c r="BJ63" s="301">
        <f t="shared" si="37"/>
        <v>343.87454616168981</v>
      </c>
      <c r="BK63" s="1080">
        <f t="shared" si="38"/>
        <v>0</v>
      </c>
      <c r="BL63" s="301">
        <f t="shared" si="39"/>
        <v>617.84535129415713</v>
      </c>
      <c r="BM63" s="104">
        <v>0</v>
      </c>
      <c r="BN63" s="302">
        <f t="shared" si="40"/>
        <v>617.84535129415713</v>
      </c>
    </row>
    <row r="64" spans="1:66">
      <c r="A64" s="127">
        <f>'Input data'!A94</f>
        <v>1994</v>
      </c>
      <c r="B64" s="866">
        <f>'Input data'!B94</f>
        <v>34.837530000000001</v>
      </c>
      <c r="C64" s="866">
        <f>'Baseline data (from input)'!B50</f>
        <v>578.73</v>
      </c>
      <c r="D64" s="777">
        <f>'Baseline data (from input)'!T50</f>
        <v>0.8</v>
      </c>
      <c r="E64" s="777">
        <f t="shared" si="45"/>
        <v>0.24001298204245269</v>
      </c>
      <c r="F64" s="777">
        <f t="shared" si="45"/>
        <v>0.30440139352934503</v>
      </c>
      <c r="G64" s="777">
        <f t="shared" si="45"/>
        <v>5.8998240613430578E-2</v>
      </c>
      <c r="H64" s="777">
        <f t="shared" si="45"/>
        <v>0</v>
      </c>
      <c r="I64" s="777">
        <f t="shared" si="45"/>
        <v>0</v>
      </c>
      <c r="J64" s="777">
        <f t="shared" si="45"/>
        <v>0</v>
      </c>
      <c r="K64" s="777">
        <f t="shared" si="45"/>
        <v>0.39658738381477154</v>
      </c>
      <c r="L64" s="874">
        <f t="shared" si="42"/>
        <v>0.99999999999999989</v>
      </c>
      <c r="N64" s="300">
        <f t="shared" si="1"/>
        <v>16129.218989520003</v>
      </c>
      <c r="O64" s="908">
        <f>Parameters!R165</f>
        <v>0.73</v>
      </c>
      <c r="P64" s="908">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906">
        <f t="shared" si="2"/>
        <v>709.29459268955281</v>
      </c>
      <c r="R64" s="906">
        <f t="shared" si="3"/>
        <v>709.29459268955281</v>
      </c>
      <c r="S64" s="286">
        <f t="shared" si="4"/>
        <v>0</v>
      </c>
      <c r="T64" s="906">
        <f t="shared" si="5"/>
        <v>8994.1832747628014</v>
      </c>
      <c r="U64" s="906">
        <f t="shared" si="6"/>
        <v>424.77532608320826</v>
      </c>
      <c r="V64" s="915">
        <f t="shared" si="7"/>
        <v>283.18355072213882</v>
      </c>
      <c r="W64" s="1450">
        <f t="shared" si="8"/>
        <v>0.13527885904981399</v>
      </c>
      <c r="X64" s="914">
        <f>'Baseline data (from input)'!AS50*W64</f>
        <v>5553.8766413807025</v>
      </c>
      <c r="Y64" s="908">
        <f>Parameters!S165</f>
        <v>0.71500000000000008</v>
      </c>
      <c r="Z64" s="908">
        <f t="shared" si="9"/>
        <v>0.4</v>
      </c>
      <c r="AA64" s="906">
        <f t="shared" si="10"/>
        <v>794.20435971744052</v>
      </c>
      <c r="AB64" s="906">
        <f t="shared" si="11"/>
        <v>794.20435971744052</v>
      </c>
      <c r="AC64" s="286">
        <f t="shared" si="12"/>
        <v>0</v>
      </c>
      <c r="AD64" s="906">
        <f t="shared" si="13"/>
        <v>11096.073686337413</v>
      </c>
      <c r="AE64" s="906">
        <f t="shared" si="14"/>
        <v>528.18813509833842</v>
      </c>
      <c r="AF64" s="915">
        <f t="shared" si="15"/>
        <v>352.12542339889228</v>
      </c>
      <c r="AG64" s="1450">
        <f t="shared" si="16"/>
        <v>0.13527885904981399</v>
      </c>
      <c r="AH64" s="914">
        <f>'Baseline data (from input)'!AS50*AG64</f>
        <v>5553.8766413807025</v>
      </c>
      <c r="AI64" s="908">
        <f>Parameters!S165</f>
        <v>0.71500000000000008</v>
      </c>
      <c r="AJ64" s="908">
        <f t="shared" si="17"/>
        <v>0.4</v>
      </c>
      <c r="AK64" s="906">
        <f t="shared" si="18"/>
        <v>794.20435971744052</v>
      </c>
      <c r="AL64" s="906">
        <f t="shared" si="19"/>
        <v>794.20435971744052</v>
      </c>
      <c r="AM64" s="286">
        <f t="shared" si="20"/>
        <v>0</v>
      </c>
      <c r="AN64" s="906">
        <f t="shared" si="21"/>
        <v>11096.073686337413</v>
      </c>
      <c r="AO64" s="906">
        <f t="shared" si="22"/>
        <v>528.18813509833842</v>
      </c>
      <c r="AP64" s="915">
        <f t="shared" si="23"/>
        <v>352.12542339889228</v>
      </c>
      <c r="AR64" s="914">
        <v>0</v>
      </c>
      <c r="AS64" s="907">
        <v>1</v>
      </c>
      <c r="AT64" s="907">
        <f t="shared" si="24"/>
        <v>0.05</v>
      </c>
      <c r="AU64" s="906">
        <f t="shared" si="25"/>
        <v>0</v>
      </c>
      <c r="AV64" s="906">
        <f t="shared" si="26"/>
        <v>0</v>
      </c>
      <c r="AW64" s="198">
        <f t="shared" si="27"/>
        <v>0</v>
      </c>
      <c r="AX64" s="922">
        <f t="shared" si="44"/>
        <v>0</v>
      </c>
      <c r="AY64" s="922">
        <f t="shared" si="29"/>
        <v>0</v>
      </c>
      <c r="AZ64" s="915">
        <f t="shared" si="30"/>
        <v>0</v>
      </c>
      <c r="BB64" s="300">
        <f t="shared" si="31"/>
        <v>283.18355072213882</v>
      </c>
      <c r="BC64" s="301">
        <f t="shared" si="32"/>
        <v>352.12542339889228</v>
      </c>
      <c r="BD64" s="1080">
        <f t="shared" si="33"/>
        <v>0</v>
      </c>
      <c r="BE64" s="301">
        <f t="shared" si="34"/>
        <v>635.30897412103104</v>
      </c>
      <c r="BF64" s="104">
        <v>0</v>
      </c>
      <c r="BG64" s="302">
        <f t="shared" si="35"/>
        <v>635.30897412103104</v>
      </c>
      <c r="BI64" s="300">
        <f t="shared" si="36"/>
        <v>283.18355072213882</v>
      </c>
      <c r="BJ64" s="301">
        <f t="shared" si="37"/>
        <v>352.12542339889228</v>
      </c>
      <c r="BK64" s="1080">
        <f t="shared" si="38"/>
        <v>0</v>
      </c>
      <c r="BL64" s="301">
        <f t="shared" si="39"/>
        <v>635.30897412103104</v>
      </c>
      <c r="BM64" s="104">
        <v>0</v>
      </c>
      <c r="BN64" s="302">
        <f t="shared" si="40"/>
        <v>635.30897412103104</v>
      </c>
    </row>
    <row r="65" spans="1:66">
      <c r="A65" s="127">
        <f>'Input data'!A95</f>
        <v>1995</v>
      </c>
      <c r="B65" s="866">
        <f>'Input data'!B95</f>
        <v>35.599199999999996</v>
      </c>
      <c r="C65" s="866">
        <f>'Baseline data (from input)'!B51</f>
        <v>578.73</v>
      </c>
      <c r="D65" s="777">
        <f>'Baseline data (from input)'!T51</f>
        <v>0.8</v>
      </c>
      <c r="E65" s="777">
        <f t="shared" si="45"/>
        <v>0.24001298204245269</v>
      </c>
      <c r="F65" s="777">
        <f t="shared" si="45"/>
        <v>0.30440139352934503</v>
      </c>
      <c r="G65" s="777">
        <f t="shared" si="45"/>
        <v>5.8998240613430578E-2</v>
      </c>
      <c r="H65" s="777">
        <f t="shared" si="45"/>
        <v>0</v>
      </c>
      <c r="I65" s="777">
        <f t="shared" si="45"/>
        <v>0</v>
      </c>
      <c r="J65" s="777">
        <f t="shared" si="45"/>
        <v>0</v>
      </c>
      <c r="K65" s="777">
        <f t="shared" si="45"/>
        <v>0.39658738381477154</v>
      </c>
      <c r="L65" s="874">
        <f t="shared" si="42"/>
        <v>0.99999999999999989</v>
      </c>
      <c r="N65" s="300">
        <f t="shared" si="1"/>
        <v>16481.8600128</v>
      </c>
      <c r="O65" s="908">
        <f>Parameters!R166</f>
        <v>0.73</v>
      </c>
      <c r="P65" s="908">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906">
        <f t="shared" si="2"/>
        <v>724.80224815232089</v>
      </c>
      <c r="R65" s="906">
        <f t="shared" si="3"/>
        <v>724.80224815232089</v>
      </c>
      <c r="S65" s="286">
        <f t="shared" si="4"/>
        <v>0</v>
      </c>
      <c r="T65" s="906">
        <f t="shared" si="5"/>
        <v>9280.3340284588867</v>
      </c>
      <c r="U65" s="906">
        <f t="shared" si="6"/>
        <v>438.65149445623445</v>
      </c>
      <c r="V65" s="915">
        <f t="shared" si="7"/>
        <v>292.43432963748961</v>
      </c>
      <c r="W65" s="1450">
        <f t="shared" si="8"/>
        <v>0.13527885904981399</v>
      </c>
      <c r="X65" s="914">
        <f>'Baseline data (from input)'!AS51*W65</f>
        <v>5726.0465627848771</v>
      </c>
      <c r="Y65" s="908">
        <f>Parameters!S166</f>
        <v>0.71500000000000008</v>
      </c>
      <c r="Z65" s="908">
        <f t="shared" si="9"/>
        <v>0.4</v>
      </c>
      <c r="AA65" s="906">
        <f t="shared" si="10"/>
        <v>818.82465847823755</v>
      </c>
      <c r="AB65" s="906">
        <f t="shared" si="11"/>
        <v>818.82465847823755</v>
      </c>
      <c r="AC65" s="286">
        <f t="shared" si="12"/>
        <v>0</v>
      </c>
      <c r="AD65" s="906">
        <f t="shared" si="13"/>
        <v>11373.736445350491</v>
      </c>
      <c r="AE65" s="906">
        <f t="shared" si="14"/>
        <v>541.16189946515931</v>
      </c>
      <c r="AF65" s="915">
        <f t="shared" si="15"/>
        <v>360.77459964343956</v>
      </c>
      <c r="AG65" s="1450">
        <f t="shared" si="16"/>
        <v>0.13527885904981399</v>
      </c>
      <c r="AH65" s="914">
        <f>'Baseline data (from input)'!AS51*AG65</f>
        <v>5726.0465627848771</v>
      </c>
      <c r="AI65" s="908">
        <f>Parameters!S166</f>
        <v>0.71500000000000008</v>
      </c>
      <c r="AJ65" s="908">
        <f t="shared" si="17"/>
        <v>0.4</v>
      </c>
      <c r="AK65" s="906">
        <f t="shared" si="18"/>
        <v>818.82465847823755</v>
      </c>
      <c r="AL65" s="906">
        <f t="shared" si="19"/>
        <v>818.82465847823755</v>
      </c>
      <c r="AM65" s="286">
        <f t="shared" si="20"/>
        <v>0</v>
      </c>
      <c r="AN65" s="906">
        <f t="shared" si="21"/>
        <v>11373.736445350491</v>
      </c>
      <c r="AO65" s="906">
        <f t="shared" si="22"/>
        <v>541.16189946515931</v>
      </c>
      <c r="AP65" s="915">
        <f t="shared" si="23"/>
        <v>360.77459964343956</v>
      </c>
      <c r="AR65" s="914">
        <v>0</v>
      </c>
      <c r="AS65" s="907">
        <v>1</v>
      </c>
      <c r="AT65" s="907">
        <f t="shared" si="24"/>
        <v>0.05</v>
      </c>
      <c r="AU65" s="906">
        <f t="shared" si="25"/>
        <v>0</v>
      </c>
      <c r="AV65" s="906">
        <f t="shared" si="26"/>
        <v>0</v>
      </c>
      <c r="AW65" s="198">
        <f t="shared" si="27"/>
        <v>0</v>
      </c>
      <c r="AX65" s="922">
        <f t="shared" si="44"/>
        <v>0</v>
      </c>
      <c r="AY65" s="922">
        <f t="shared" si="29"/>
        <v>0</v>
      </c>
      <c r="AZ65" s="915">
        <f t="shared" si="30"/>
        <v>0</v>
      </c>
      <c r="BB65" s="300">
        <f t="shared" si="31"/>
        <v>292.43432963748961</v>
      </c>
      <c r="BC65" s="301">
        <f t="shared" si="32"/>
        <v>360.77459964343956</v>
      </c>
      <c r="BD65" s="1080">
        <f t="shared" si="33"/>
        <v>0</v>
      </c>
      <c r="BE65" s="301">
        <f t="shared" si="34"/>
        <v>653.20892928092917</v>
      </c>
      <c r="BF65" s="104">
        <v>0</v>
      </c>
      <c r="BG65" s="302">
        <f t="shared" si="35"/>
        <v>653.20892928092917</v>
      </c>
      <c r="BI65" s="300">
        <f t="shared" si="36"/>
        <v>292.43432963748961</v>
      </c>
      <c r="BJ65" s="301">
        <f t="shared" si="37"/>
        <v>360.77459964343956</v>
      </c>
      <c r="BK65" s="1080">
        <f t="shared" si="38"/>
        <v>0</v>
      </c>
      <c r="BL65" s="301">
        <f t="shared" si="39"/>
        <v>653.20892928092917</v>
      </c>
      <c r="BM65" s="104">
        <v>0</v>
      </c>
      <c r="BN65" s="302">
        <f t="shared" si="40"/>
        <v>653.20892928092917</v>
      </c>
    </row>
    <row r="66" spans="1:66">
      <c r="A66" s="127">
        <f>'Input data'!A96</f>
        <v>1996</v>
      </c>
      <c r="B66" s="866">
        <f>'Input data'!B96</f>
        <v>36.4</v>
      </c>
      <c r="C66" s="866">
        <f>'Baseline data (from input)'!B52</f>
        <v>578.73</v>
      </c>
      <c r="D66" s="777">
        <f>'Baseline data (from input)'!T52</f>
        <v>0.8</v>
      </c>
      <c r="E66" s="777">
        <f t="shared" si="45"/>
        <v>0.24001298204245269</v>
      </c>
      <c r="F66" s="777">
        <f t="shared" si="45"/>
        <v>0.30440139352934503</v>
      </c>
      <c r="G66" s="777">
        <f t="shared" si="45"/>
        <v>5.8998240613430578E-2</v>
      </c>
      <c r="H66" s="777">
        <f t="shared" si="45"/>
        <v>0</v>
      </c>
      <c r="I66" s="777">
        <f t="shared" si="45"/>
        <v>0</v>
      </c>
      <c r="J66" s="777">
        <f t="shared" si="45"/>
        <v>0</v>
      </c>
      <c r="K66" s="777">
        <f t="shared" si="45"/>
        <v>0.39658738381477154</v>
      </c>
      <c r="L66" s="874">
        <f t="shared" si="42"/>
        <v>0.99999999999999989</v>
      </c>
      <c r="N66" s="300">
        <f t="shared" si="1"/>
        <v>16852.617600000001</v>
      </c>
      <c r="O66" s="908">
        <f>Parameters!R167</f>
        <v>0.73</v>
      </c>
      <c r="P66" s="908">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906">
        <f t="shared" si="2"/>
        <v>741.10659320278216</v>
      </c>
      <c r="R66" s="906">
        <f t="shared" si="3"/>
        <v>741.10659320278216</v>
      </c>
      <c r="S66" s="286">
        <f t="shared" si="4"/>
        <v>0</v>
      </c>
      <c r="T66" s="906">
        <f t="shared" si="5"/>
        <v>9568.8333902681206</v>
      </c>
      <c r="U66" s="906">
        <f t="shared" si="6"/>
        <v>452.60723139354695</v>
      </c>
      <c r="V66" s="915">
        <f t="shared" si="7"/>
        <v>301.73815426236462</v>
      </c>
      <c r="W66" s="1450">
        <f t="shared" si="8"/>
        <v>0.13527885904981399</v>
      </c>
      <c r="X66" s="914">
        <f>'Baseline data (from input)'!AS52*W66</f>
        <v>5972.2665054910021</v>
      </c>
      <c r="Y66" s="908">
        <f>Parameters!S167</f>
        <v>0.71500000000000008</v>
      </c>
      <c r="Z66" s="908">
        <f t="shared" si="9"/>
        <v>0.4</v>
      </c>
      <c r="AA66" s="906">
        <f t="shared" si="10"/>
        <v>854.03411028521339</v>
      </c>
      <c r="AB66" s="906">
        <f t="shared" si="11"/>
        <v>854.03411028521339</v>
      </c>
      <c r="AC66" s="286">
        <f t="shared" si="12"/>
        <v>0</v>
      </c>
      <c r="AD66" s="906">
        <f t="shared" si="13"/>
        <v>11673.066883618756</v>
      </c>
      <c r="AE66" s="906">
        <f t="shared" si="14"/>
        <v>554.70367201694671</v>
      </c>
      <c r="AF66" s="915">
        <f t="shared" si="15"/>
        <v>369.80244801129783</v>
      </c>
      <c r="AG66" s="1450">
        <f t="shared" si="16"/>
        <v>0.13527885904981399</v>
      </c>
      <c r="AH66" s="914">
        <f>'Baseline data (from input)'!AS52*AG66</f>
        <v>5972.2665054910021</v>
      </c>
      <c r="AI66" s="908">
        <f>Parameters!S167</f>
        <v>0.71500000000000008</v>
      </c>
      <c r="AJ66" s="908">
        <f t="shared" si="17"/>
        <v>0.4</v>
      </c>
      <c r="AK66" s="906">
        <f t="shared" si="18"/>
        <v>854.03411028521339</v>
      </c>
      <c r="AL66" s="906">
        <f t="shared" si="19"/>
        <v>854.03411028521339</v>
      </c>
      <c r="AM66" s="286">
        <f t="shared" si="20"/>
        <v>0</v>
      </c>
      <c r="AN66" s="906">
        <f t="shared" si="21"/>
        <v>11673.066883618756</v>
      </c>
      <c r="AO66" s="906">
        <f t="shared" si="22"/>
        <v>554.70367201694671</v>
      </c>
      <c r="AP66" s="915">
        <f t="shared" si="23"/>
        <v>369.80244801129783</v>
      </c>
      <c r="AR66" s="300">
        <v>0</v>
      </c>
      <c r="AS66" s="907">
        <v>1</v>
      </c>
      <c r="AT66" s="907">
        <f t="shared" si="24"/>
        <v>0.05</v>
      </c>
      <c r="AU66" s="906">
        <f t="shared" si="25"/>
        <v>0</v>
      </c>
      <c r="AV66" s="906">
        <f t="shared" si="26"/>
        <v>0</v>
      </c>
      <c r="AW66" s="198">
        <f t="shared" si="27"/>
        <v>0</v>
      </c>
      <c r="AX66" s="922">
        <f t="shared" si="44"/>
        <v>0</v>
      </c>
      <c r="AY66" s="922">
        <f t="shared" si="29"/>
        <v>0</v>
      </c>
      <c r="AZ66" s="915">
        <f t="shared" si="30"/>
        <v>0</v>
      </c>
      <c r="BB66" s="300">
        <f t="shared" si="31"/>
        <v>301.73815426236462</v>
      </c>
      <c r="BC66" s="301">
        <f t="shared" si="32"/>
        <v>369.80244801129783</v>
      </c>
      <c r="BD66" s="1080">
        <f t="shared" si="33"/>
        <v>0</v>
      </c>
      <c r="BE66" s="301">
        <f t="shared" si="34"/>
        <v>671.54060227366244</v>
      </c>
      <c r="BF66" s="104">
        <v>0</v>
      </c>
      <c r="BG66" s="302">
        <f t="shared" si="35"/>
        <v>671.54060227366244</v>
      </c>
      <c r="BI66" s="300">
        <f t="shared" si="36"/>
        <v>301.73815426236462</v>
      </c>
      <c r="BJ66" s="301">
        <f t="shared" si="37"/>
        <v>369.80244801129783</v>
      </c>
      <c r="BK66" s="1080">
        <f t="shared" si="38"/>
        <v>0</v>
      </c>
      <c r="BL66" s="301">
        <f t="shared" si="39"/>
        <v>671.54060227366244</v>
      </c>
      <c r="BM66" s="104">
        <v>0</v>
      </c>
      <c r="BN66" s="302">
        <f t="shared" si="40"/>
        <v>671.54060227366244</v>
      </c>
    </row>
    <row r="67" spans="1:66">
      <c r="A67" s="127">
        <f>'Input data'!A97</f>
        <v>1997</v>
      </c>
      <c r="B67" s="866">
        <f>'Input data'!B97</f>
        <v>37.242660000000001</v>
      </c>
      <c r="C67" s="866">
        <f>'Baseline data (from input)'!B53</f>
        <v>578.73</v>
      </c>
      <c r="D67" s="777">
        <f>'Baseline data (from input)'!T53</f>
        <v>0.8</v>
      </c>
      <c r="E67" s="777">
        <f t="shared" si="45"/>
        <v>0.24001298204245269</v>
      </c>
      <c r="F67" s="777">
        <f t="shared" si="45"/>
        <v>0.30440139352934503</v>
      </c>
      <c r="G67" s="777">
        <f t="shared" si="45"/>
        <v>5.8998240613430578E-2</v>
      </c>
      <c r="H67" s="777">
        <f t="shared" si="45"/>
        <v>0</v>
      </c>
      <c r="I67" s="777">
        <f t="shared" si="45"/>
        <v>0</v>
      </c>
      <c r="J67" s="777">
        <f t="shared" si="45"/>
        <v>0</v>
      </c>
      <c r="K67" s="777">
        <f t="shared" si="45"/>
        <v>0.39658738381477154</v>
      </c>
      <c r="L67" s="874">
        <f t="shared" si="42"/>
        <v>0.99999999999999989</v>
      </c>
      <c r="N67" s="300">
        <f t="shared" si="1"/>
        <v>17242.755697440003</v>
      </c>
      <c r="O67" s="908">
        <f>Parameters!R168</f>
        <v>0.73</v>
      </c>
      <c r="P67" s="908">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906">
        <f t="shared" si="2"/>
        <v>758.26321083542666</v>
      </c>
      <c r="R67" s="906">
        <f t="shared" si="3"/>
        <v>758.26321083542666</v>
      </c>
      <c r="S67" s="286">
        <f t="shared" si="4"/>
        <v>0</v>
      </c>
      <c r="T67" s="906">
        <f t="shared" si="5"/>
        <v>9860.4190898033867</v>
      </c>
      <c r="U67" s="906">
        <f t="shared" si="6"/>
        <v>466.67751130016006</v>
      </c>
      <c r="V67" s="915">
        <f t="shared" si="7"/>
        <v>311.11834086677339</v>
      </c>
      <c r="W67" s="1450">
        <f t="shared" si="8"/>
        <v>0.13527885904981399</v>
      </c>
      <c r="X67" s="914">
        <f>'Baseline data (from input)'!AS53*W67</f>
        <v>6127.5455610069275</v>
      </c>
      <c r="Y67" s="908">
        <f>Parameters!S168</f>
        <v>0.71500000000000008</v>
      </c>
      <c r="Z67" s="908">
        <f t="shared" si="9"/>
        <v>0.4</v>
      </c>
      <c r="AA67" s="906">
        <f t="shared" si="10"/>
        <v>876.23901522399069</v>
      </c>
      <c r="AB67" s="906">
        <f t="shared" si="11"/>
        <v>876.23901522399069</v>
      </c>
      <c r="AC67" s="286">
        <f t="shared" si="12"/>
        <v>0</v>
      </c>
      <c r="AD67" s="906">
        <f t="shared" si="13"/>
        <v>11980.003709087005</v>
      </c>
      <c r="AE67" s="906">
        <f t="shared" si="14"/>
        <v>569.30218975574348</v>
      </c>
      <c r="AF67" s="915">
        <f t="shared" si="15"/>
        <v>379.53479317049567</v>
      </c>
      <c r="AG67" s="1450">
        <f t="shared" si="16"/>
        <v>0.13527885904981399</v>
      </c>
      <c r="AH67" s="914">
        <f>'Baseline data (from input)'!AS53*AG67</f>
        <v>6127.5455610069275</v>
      </c>
      <c r="AI67" s="908">
        <f>Parameters!S168</f>
        <v>0.71500000000000008</v>
      </c>
      <c r="AJ67" s="908">
        <f t="shared" si="17"/>
        <v>0.4</v>
      </c>
      <c r="AK67" s="906">
        <f t="shared" si="18"/>
        <v>876.23901522399069</v>
      </c>
      <c r="AL67" s="906">
        <f t="shared" si="19"/>
        <v>876.23901522399069</v>
      </c>
      <c r="AM67" s="286">
        <f t="shared" si="20"/>
        <v>0</v>
      </c>
      <c r="AN67" s="906">
        <f t="shared" si="21"/>
        <v>11980.003709087005</v>
      </c>
      <c r="AO67" s="906">
        <f t="shared" si="22"/>
        <v>569.30218975574348</v>
      </c>
      <c r="AP67" s="915">
        <f t="shared" si="23"/>
        <v>379.53479317049567</v>
      </c>
      <c r="AR67" s="300">
        <v>0</v>
      </c>
      <c r="AS67" s="907">
        <v>1</v>
      </c>
      <c r="AT67" s="907">
        <f t="shared" si="24"/>
        <v>0.05</v>
      </c>
      <c r="AU67" s="906">
        <f t="shared" si="25"/>
        <v>0</v>
      </c>
      <c r="AV67" s="906">
        <f t="shared" si="26"/>
        <v>0</v>
      </c>
      <c r="AW67" s="198">
        <f t="shared" si="27"/>
        <v>0</v>
      </c>
      <c r="AX67" s="922">
        <f t="shared" si="44"/>
        <v>0</v>
      </c>
      <c r="AY67" s="922">
        <f t="shared" si="29"/>
        <v>0</v>
      </c>
      <c r="AZ67" s="915">
        <f t="shared" si="30"/>
        <v>0</v>
      </c>
      <c r="BB67" s="300">
        <f t="shared" si="31"/>
        <v>311.11834086677339</v>
      </c>
      <c r="BC67" s="301">
        <f t="shared" si="32"/>
        <v>379.53479317049567</v>
      </c>
      <c r="BD67" s="1080">
        <f t="shared" si="33"/>
        <v>0</v>
      </c>
      <c r="BE67" s="301">
        <f t="shared" si="34"/>
        <v>690.65313403726907</v>
      </c>
      <c r="BF67" s="104">
        <v>0</v>
      </c>
      <c r="BG67" s="302">
        <f t="shared" si="35"/>
        <v>690.65313403726907</v>
      </c>
      <c r="BI67" s="300">
        <f t="shared" si="36"/>
        <v>311.11834086677339</v>
      </c>
      <c r="BJ67" s="301">
        <f t="shared" si="37"/>
        <v>379.53479317049567</v>
      </c>
      <c r="BK67" s="1080">
        <f t="shared" si="38"/>
        <v>0</v>
      </c>
      <c r="BL67" s="301">
        <f t="shared" si="39"/>
        <v>690.65313403726907</v>
      </c>
      <c r="BM67" s="104">
        <v>0</v>
      </c>
      <c r="BN67" s="302">
        <f t="shared" si="40"/>
        <v>690.65313403726907</v>
      </c>
    </row>
    <row r="68" spans="1:66">
      <c r="A68" s="127">
        <f>'Input data'!A98</f>
        <v>1998</v>
      </c>
      <c r="B68" s="866">
        <f>'Input data'!B98</f>
        <v>38.128999999999998</v>
      </c>
      <c r="C68" s="866">
        <f>'Baseline data (from input)'!B54</f>
        <v>578.73</v>
      </c>
      <c r="D68" s="777">
        <f>'Baseline data (from input)'!T54</f>
        <v>0.8</v>
      </c>
      <c r="E68" s="777">
        <f t="shared" si="45"/>
        <v>0.24001298204245269</v>
      </c>
      <c r="F68" s="777">
        <f t="shared" si="45"/>
        <v>0.30440139352934503</v>
      </c>
      <c r="G68" s="777">
        <f t="shared" si="45"/>
        <v>5.8998240613430578E-2</v>
      </c>
      <c r="H68" s="777">
        <f t="shared" si="45"/>
        <v>0</v>
      </c>
      <c r="I68" s="777">
        <f t="shared" si="45"/>
        <v>0</v>
      </c>
      <c r="J68" s="777">
        <f t="shared" si="45"/>
        <v>0</v>
      </c>
      <c r="K68" s="777">
        <f t="shared" si="45"/>
        <v>0.39658738381477154</v>
      </c>
      <c r="L68" s="874">
        <f t="shared" si="42"/>
        <v>0.99999999999999989</v>
      </c>
      <c r="N68" s="300">
        <f t="shared" si="1"/>
        <v>17653.116936000002</v>
      </c>
      <c r="O68" s="908">
        <f>Parameters!R169</f>
        <v>0.73</v>
      </c>
      <c r="P68" s="908">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906">
        <f t="shared" si="2"/>
        <v>776.30915637991438</v>
      </c>
      <c r="R68" s="906">
        <f t="shared" si="3"/>
        <v>776.30915637991438</v>
      </c>
      <c r="S68" s="286">
        <f t="shared" si="4"/>
        <v>0</v>
      </c>
      <c r="T68" s="906">
        <f t="shared" si="5"/>
        <v>10155.829932509445</v>
      </c>
      <c r="U68" s="906">
        <f t="shared" si="6"/>
        <v>480.89831367385688</v>
      </c>
      <c r="V68" s="915">
        <f t="shared" si="7"/>
        <v>320.59887578257127</v>
      </c>
      <c r="W68" s="1450">
        <f t="shared" si="8"/>
        <v>0.13527885904981399</v>
      </c>
      <c r="X68" s="914">
        <f>'Baseline data (from input)'!AS54*W68</f>
        <v>6158.1833442662501</v>
      </c>
      <c r="Y68" s="908">
        <f>Parameters!S169</f>
        <v>0.71500000000000008</v>
      </c>
      <c r="Z68" s="908">
        <f t="shared" si="9"/>
        <v>0.4</v>
      </c>
      <c r="AA68" s="906">
        <f t="shared" si="10"/>
        <v>880.62021823007387</v>
      </c>
      <c r="AB68" s="906">
        <f t="shared" si="11"/>
        <v>880.62021823007387</v>
      </c>
      <c r="AC68" s="286">
        <f t="shared" si="12"/>
        <v>0</v>
      </c>
      <c r="AD68" s="906">
        <f t="shared" si="13"/>
        <v>12276.352251941324</v>
      </c>
      <c r="AE68" s="906">
        <f t="shared" si="14"/>
        <v>584.27167537575383</v>
      </c>
      <c r="AF68" s="915">
        <f t="shared" si="15"/>
        <v>389.51445025050253</v>
      </c>
      <c r="AG68" s="1450">
        <f t="shared" si="16"/>
        <v>0.13527885904981399</v>
      </c>
      <c r="AH68" s="914">
        <f>'Baseline data (from input)'!AS54*AG68</f>
        <v>6158.1833442662501</v>
      </c>
      <c r="AI68" s="908">
        <f>Parameters!S169</f>
        <v>0.71500000000000008</v>
      </c>
      <c r="AJ68" s="908">
        <f t="shared" si="17"/>
        <v>0.4</v>
      </c>
      <c r="AK68" s="906">
        <f t="shared" si="18"/>
        <v>880.62021823007387</v>
      </c>
      <c r="AL68" s="906">
        <f t="shared" si="19"/>
        <v>880.62021823007387</v>
      </c>
      <c r="AM68" s="286">
        <f t="shared" si="20"/>
        <v>0</v>
      </c>
      <c r="AN68" s="906">
        <f t="shared" si="21"/>
        <v>12276.352251941324</v>
      </c>
      <c r="AO68" s="906">
        <f t="shared" si="22"/>
        <v>584.27167537575383</v>
      </c>
      <c r="AP68" s="915">
        <f t="shared" si="23"/>
        <v>389.51445025050253</v>
      </c>
      <c r="AR68" s="300">
        <v>0</v>
      </c>
      <c r="AS68" s="907">
        <v>1</v>
      </c>
      <c r="AT68" s="907">
        <f t="shared" si="24"/>
        <v>0.05</v>
      </c>
      <c r="AU68" s="906">
        <f t="shared" si="25"/>
        <v>0</v>
      </c>
      <c r="AV68" s="906">
        <f t="shared" si="26"/>
        <v>0</v>
      </c>
      <c r="AW68" s="198">
        <f t="shared" si="27"/>
        <v>0</v>
      </c>
      <c r="AX68" s="922">
        <f t="shared" si="44"/>
        <v>0</v>
      </c>
      <c r="AY68" s="922">
        <f t="shared" si="29"/>
        <v>0</v>
      </c>
      <c r="AZ68" s="915">
        <f t="shared" si="30"/>
        <v>0</v>
      </c>
      <c r="BB68" s="300">
        <f t="shared" si="31"/>
        <v>320.59887578257127</v>
      </c>
      <c r="BC68" s="301">
        <f t="shared" si="32"/>
        <v>389.51445025050253</v>
      </c>
      <c r="BD68" s="1080">
        <f t="shared" si="33"/>
        <v>0</v>
      </c>
      <c r="BE68" s="301">
        <f t="shared" si="34"/>
        <v>710.1133260330738</v>
      </c>
      <c r="BF68" s="104">
        <v>0</v>
      </c>
      <c r="BG68" s="302">
        <f t="shared" si="35"/>
        <v>710.1133260330738</v>
      </c>
      <c r="BI68" s="300">
        <f t="shared" si="36"/>
        <v>320.59887578257127</v>
      </c>
      <c r="BJ68" s="301">
        <f t="shared" si="37"/>
        <v>389.51445025050253</v>
      </c>
      <c r="BK68" s="1080">
        <f t="shared" si="38"/>
        <v>0</v>
      </c>
      <c r="BL68" s="301">
        <f t="shared" si="39"/>
        <v>710.1133260330738</v>
      </c>
      <c r="BM68" s="104">
        <v>0</v>
      </c>
      <c r="BN68" s="302">
        <f t="shared" si="40"/>
        <v>710.1133260330738</v>
      </c>
    </row>
    <row r="69" spans="1:66" ht="15.75" thickBot="1">
      <c r="A69" s="127">
        <f>'Input data'!A99</f>
        <v>1999</v>
      </c>
      <c r="B69" s="866">
        <f>'Input data'!B99</f>
        <v>39.059930000000001</v>
      </c>
      <c r="C69" s="866">
        <f>'Baseline data (from input)'!B55</f>
        <v>578.73</v>
      </c>
      <c r="D69" s="777">
        <f>'Baseline data (from input)'!T55</f>
        <v>0.8</v>
      </c>
      <c r="E69" s="777">
        <f t="shared" si="45"/>
        <v>0.24001298204245269</v>
      </c>
      <c r="F69" s="777">
        <f t="shared" si="45"/>
        <v>0.30440139352934503</v>
      </c>
      <c r="G69" s="777">
        <f t="shared" si="45"/>
        <v>5.8998240613430578E-2</v>
      </c>
      <c r="H69" s="777">
        <f t="shared" si="45"/>
        <v>0</v>
      </c>
      <c r="I69" s="777">
        <f t="shared" si="45"/>
        <v>0</v>
      </c>
      <c r="J69" s="777">
        <f t="shared" si="45"/>
        <v>0</v>
      </c>
      <c r="K69" s="777">
        <f t="shared" si="45"/>
        <v>0.39658738381477154</v>
      </c>
      <c r="L69" s="874">
        <f t="shared" si="42"/>
        <v>0.99999999999999989</v>
      </c>
      <c r="N69" s="916">
        <f t="shared" si="1"/>
        <v>18084.122631120001</v>
      </c>
      <c r="O69" s="917">
        <f>Parameters!R170</f>
        <v>0.73</v>
      </c>
      <c r="P69" s="917">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918">
        <f t="shared" si="2"/>
        <v>795.26295750107545</v>
      </c>
      <c r="R69" s="918">
        <f t="shared" si="3"/>
        <v>795.26295750107545</v>
      </c>
      <c r="S69" s="919">
        <f t="shared" si="4"/>
        <v>0</v>
      </c>
      <c r="T69" s="918">
        <f t="shared" si="5"/>
        <v>10455.78721952916</v>
      </c>
      <c r="U69" s="918">
        <f t="shared" si="6"/>
        <v>495.30567048136038</v>
      </c>
      <c r="V69" s="920">
        <f t="shared" si="7"/>
        <v>330.2037803209069</v>
      </c>
      <c r="W69" s="1450">
        <f t="shared" si="8"/>
        <v>0.13527885904981399</v>
      </c>
      <c r="X69" s="914">
        <f>'Baseline data (from input)'!AS55*W69</f>
        <v>6305.9795132888557</v>
      </c>
      <c r="Y69" s="908">
        <f>Parameters!S170</f>
        <v>0.71500000000000008</v>
      </c>
      <c r="Z69" s="908">
        <f t="shared" si="9"/>
        <v>0.4</v>
      </c>
      <c r="AA69" s="906">
        <f t="shared" si="10"/>
        <v>901.75507040030652</v>
      </c>
      <c r="AB69" s="906">
        <f t="shared" si="11"/>
        <v>901.75507040030652</v>
      </c>
      <c r="AC69" s="286">
        <f t="shared" si="12"/>
        <v>0</v>
      </c>
      <c r="AD69" s="906">
        <f t="shared" si="13"/>
        <v>12579.382557982495</v>
      </c>
      <c r="AE69" s="906">
        <f t="shared" si="14"/>
        <v>598.72476435913381</v>
      </c>
      <c r="AF69" s="915">
        <f t="shared" si="15"/>
        <v>399.14984290608919</v>
      </c>
      <c r="AG69" s="1450">
        <f t="shared" si="16"/>
        <v>0.13527885904981399</v>
      </c>
      <c r="AH69" s="914">
        <f>'Baseline data (from input)'!AS55*AG69</f>
        <v>6305.9795132888557</v>
      </c>
      <c r="AI69" s="917">
        <f>Parameters!S170</f>
        <v>0.71500000000000008</v>
      </c>
      <c r="AJ69" s="917">
        <f t="shared" si="17"/>
        <v>0.4</v>
      </c>
      <c r="AK69" s="918">
        <f t="shared" si="18"/>
        <v>901.75507040030652</v>
      </c>
      <c r="AL69" s="918">
        <f t="shared" si="19"/>
        <v>901.75507040030652</v>
      </c>
      <c r="AM69" s="919">
        <f t="shared" si="20"/>
        <v>0</v>
      </c>
      <c r="AN69" s="918">
        <f t="shared" si="21"/>
        <v>12579.382557982495</v>
      </c>
      <c r="AO69" s="918">
        <f t="shared" si="22"/>
        <v>598.72476435913381</v>
      </c>
      <c r="AP69" s="920">
        <f t="shared" si="23"/>
        <v>399.14984290608919</v>
      </c>
      <c r="AR69" s="916">
        <v>0</v>
      </c>
      <c r="AS69" s="923">
        <v>1</v>
      </c>
      <c r="AT69" s="923">
        <f t="shared" si="24"/>
        <v>0.05</v>
      </c>
      <c r="AU69" s="918">
        <f t="shared" si="25"/>
        <v>0</v>
      </c>
      <c r="AV69" s="918">
        <f t="shared" si="26"/>
        <v>0</v>
      </c>
      <c r="AW69" s="924">
        <f t="shared" si="27"/>
        <v>0</v>
      </c>
      <c r="AX69" s="925">
        <f t="shared" si="44"/>
        <v>0</v>
      </c>
      <c r="AY69" s="925">
        <f t="shared" si="29"/>
        <v>0</v>
      </c>
      <c r="AZ69" s="920">
        <f t="shared" si="30"/>
        <v>0</v>
      </c>
      <c r="BB69" s="300">
        <f t="shared" si="31"/>
        <v>330.2037803209069</v>
      </c>
      <c r="BC69" s="301">
        <f t="shared" si="32"/>
        <v>399.14984290608919</v>
      </c>
      <c r="BD69" s="1080">
        <f t="shared" si="33"/>
        <v>0</v>
      </c>
      <c r="BE69" s="301">
        <f t="shared" si="34"/>
        <v>729.35362322699609</v>
      </c>
      <c r="BF69" s="104">
        <v>0</v>
      </c>
      <c r="BG69" s="302">
        <f t="shared" si="35"/>
        <v>729.35362322699609</v>
      </c>
      <c r="BI69" s="300">
        <f t="shared" si="36"/>
        <v>330.2037803209069</v>
      </c>
      <c r="BJ69" s="301">
        <f t="shared" si="37"/>
        <v>399.14984290608919</v>
      </c>
      <c r="BK69" s="1080">
        <f t="shared" si="38"/>
        <v>0</v>
      </c>
      <c r="BL69" s="301">
        <f t="shared" si="39"/>
        <v>729.35362322699609</v>
      </c>
      <c r="BM69" s="104">
        <v>0</v>
      </c>
      <c r="BN69" s="302">
        <f t="shared" si="40"/>
        <v>729.35362322699609</v>
      </c>
    </row>
    <row r="70" spans="1:66">
      <c r="A70" s="880">
        <f>'Input data'!A100</f>
        <v>2000</v>
      </c>
      <c r="B70" s="881">
        <f>'Input data'!B100</f>
        <v>44</v>
      </c>
      <c r="C70" s="881">
        <f>'Baseline data (from input)'!B56</f>
        <v>578.73</v>
      </c>
      <c r="D70" s="882">
        <f>'Baseline data (from input)'!T56</f>
        <v>0.8</v>
      </c>
      <c r="E70" s="882">
        <f t="shared" ref="E70:K85" si="46">E69</f>
        <v>0.24001298204245269</v>
      </c>
      <c r="F70" s="882">
        <f t="shared" si="46"/>
        <v>0.30440139352934503</v>
      </c>
      <c r="G70" s="882">
        <f t="shared" si="46"/>
        <v>5.8998240613430578E-2</v>
      </c>
      <c r="H70" s="882">
        <f t="shared" si="46"/>
        <v>0</v>
      </c>
      <c r="I70" s="882">
        <f t="shared" si="46"/>
        <v>0</v>
      </c>
      <c r="J70" s="882">
        <f t="shared" si="46"/>
        <v>0</v>
      </c>
      <c r="K70" s="882">
        <f t="shared" si="46"/>
        <v>0.39658738381477154</v>
      </c>
      <c r="L70" s="883">
        <f t="shared" si="42"/>
        <v>0.99999999999999989</v>
      </c>
      <c r="N70" s="891">
        <f t="shared" si="1"/>
        <v>20371.296000000002</v>
      </c>
      <c r="O70" s="885">
        <f>Parameters!R171</f>
        <v>0.73</v>
      </c>
      <c r="P70" s="885">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884">
        <f t="shared" si="2"/>
        <v>895.84313464072579</v>
      </c>
      <c r="R70" s="884">
        <f t="shared" si="3"/>
        <v>895.84313464072579</v>
      </c>
      <c r="S70" s="886">
        <f t="shared" si="4"/>
        <v>0</v>
      </c>
      <c r="T70" s="884">
        <f t="shared" si="5"/>
        <v>10841.695594175369</v>
      </c>
      <c r="U70" s="884">
        <f t="shared" si="6"/>
        <v>509.93475999451641</v>
      </c>
      <c r="V70" s="897">
        <f t="shared" si="7"/>
        <v>339.95650666301094</v>
      </c>
      <c r="W70" s="1455">
        <f t="shared" si="8"/>
        <v>0.13527885904981399</v>
      </c>
      <c r="X70" s="887">
        <f>'Baseline data (from input)'!AS56*W70</f>
        <v>6570.8308720428358</v>
      </c>
      <c r="Y70" s="888">
        <f>Parameters!S171</f>
        <v>0.71500000000000008</v>
      </c>
      <c r="Z70" s="888">
        <f t="shared" si="9"/>
        <v>0.4</v>
      </c>
      <c r="AA70" s="889">
        <f t="shared" si="10"/>
        <v>939.62881470212574</v>
      </c>
      <c r="AB70" s="889">
        <f t="shared" si="11"/>
        <v>939.62881470212574</v>
      </c>
      <c r="AC70" s="890">
        <f t="shared" si="12"/>
        <v>0</v>
      </c>
      <c r="AD70" s="889">
        <f t="shared" si="13"/>
        <v>12905.507645906135</v>
      </c>
      <c r="AE70" s="889">
        <f t="shared" si="14"/>
        <v>613.50372677848657</v>
      </c>
      <c r="AF70" s="896">
        <f t="shared" si="15"/>
        <v>409.00248451899103</v>
      </c>
      <c r="AG70" s="1459">
        <f t="shared" si="16"/>
        <v>0.13527885904981399</v>
      </c>
      <c r="AH70" s="887">
        <f>'Baseline data (from input)'!AS56*AG70</f>
        <v>6570.8308720428358</v>
      </c>
      <c r="AI70" s="888">
        <f>Parameters!S171</f>
        <v>0.71500000000000008</v>
      </c>
      <c r="AJ70" s="888">
        <f t="shared" si="17"/>
        <v>0.4</v>
      </c>
      <c r="AK70" s="889">
        <f t="shared" si="18"/>
        <v>939.62881470212574</v>
      </c>
      <c r="AL70" s="889">
        <f t="shared" si="19"/>
        <v>939.62881470212574</v>
      </c>
      <c r="AM70" s="890">
        <f t="shared" si="20"/>
        <v>0</v>
      </c>
      <c r="AN70" s="889">
        <f t="shared" si="21"/>
        <v>12905.507645906135</v>
      </c>
      <c r="AO70" s="889">
        <f t="shared" si="22"/>
        <v>613.50372677848657</v>
      </c>
      <c r="AP70" s="896">
        <f t="shared" si="23"/>
        <v>409.00248451899103</v>
      </c>
      <c r="AR70" s="899">
        <v>501</v>
      </c>
      <c r="AS70" s="885">
        <v>1</v>
      </c>
      <c r="AT70" s="885">
        <f t="shared" si="24"/>
        <v>0.05</v>
      </c>
      <c r="AU70" s="884">
        <f t="shared" si="25"/>
        <v>12.525</v>
      </c>
      <c r="AV70" s="884">
        <f t="shared" si="26"/>
        <v>12.525</v>
      </c>
      <c r="AW70" s="886">
        <f t="shared" si="27"/>
        <v>0</v>
      </c>
      <c r="AX70" s="884">
        <f t="shared" si="44"/>
        <v>12.525</v>
      </c>
      <c r="AY70" s="884">
        <f>AW70+AX69*(1-$E$8)</f>
        <v>0</v>
      </c>
      <c r="AZ70" s="900">
        <f>AY70*16/12*$E$11</f>
        <v>0</v>
      </c>
      <c r="BB70" s="1601">
        <f t="shared" si="31"/>
        <v>339.95650666301094</v>
      </c>
      <c r="BC70" s="1602">
        <f t="shared" si="32"/>
        <v>409.00248451899103</v>
      </c>
      <c r="BD70" s="1603">
        <f>AZ70</f>
        <v>0</v>
      </c>
      <c r="BE70" s="1602">
        <f t="shared" si="34"/>
        <v>748.95899118200191</v>
      </c>
      <c r="BF70" s="495">
        <v>0</v>
      </c>
      <c r="BG70" s="1604">
        <f t="shared" si="35"/>
        <v>748.95899118200191</v>
      </c>
      <c r="BI70" s="1601">
        <f t="shared" si="36"/>
        <v>339.95650666301094</v>
      </c>
      <c r="BJ70" s="1602">
        <f t="shared" si="37"/>
        <v>409.00248451899103</v>
      </c>
      <c r="BK70" s="1603">
        <f t="shared" si="38"/>
        <v>0</v>
      </c>
      <c r="BL70" s="1602">
        <f t="shared" si="39"/>
        <v>748.95899118200191</v>
      </c>
      <c r="BM70" s="495">
        <v>0</v>
      </c>
      <c r="BN70" s="1604">
        <f t="shared" si="40"/>
        <v>748.95899118200191</v>
      </c>
    </row>
    <row r="71" spans="1:66">
      <c r="A71" s="819">
        <f>'Input data'!A101</f>
        <v>2001</v>
      </c>
      <c r="B71" s="867">
        <f>'Input data'!B101</f>
        <v>44.91</v>
      </c>
      <c r="C71" s="867">
        <f>'Baseline data (from input)'!B57</f>
        <v>578.73</v>
      </c>
      <c r="D71" s="868">
        <f>'Baseline data (from input)'!T57</f>
        <v>0.8</v>
      </c>
      <c r="E71" s="868">
        <f t="shared" si="46"/>
        <v>0.24001298204245269</v>
      </c>
      <c r="F71" s="868">
        <f t="shared" si="46"/>
        <v>0.30440139352934503</v>
      </c>
      <c r="G71" s="868">
        <f t="shared" si="46"/>
        <v>5.8998240613430578E-2</v>
      </c>
      <c r="H71" s="868">
        <f t="shared" si="46"/>
        <v>0</v>
      </c>
      <c r="I71" s="868">
        <f t="shared" si="46"/>
        <v>0</v>
      </c>
      <c r="J71" s="868">
        <f t="shared" si="46"/>
        <v>0</v>
      </c>
      <c r="K71" s="868">
        <f t="shared" si="46"/>
        <v>0.39658738381477154</v>
      </c>
      <c r="L71" s="875">
        <f t="shared" si="42"/>
        <v>0.99999999999999989</v>
      </c>
      <c r="N71" s="891">
        <f t="shared" si="1"/>
        <v>20792.611440000001</v>
      </c>
      <c r="O71" s="885">
        <f>Parameters!R172</f>
        <v>0.73</v>
      </c>
      <c r="P71" s="885">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884">
        <f t="shared" si="2"/>
        <v>914.37079947079519</v>
      </c>
      <c r="R71" s="884">
        <f t="shared" si="3"/>
        <v>914.37079947079519</v>
      </c>
      <c r="S71" s="886">
        <f t="shared" si="4"/>
        <v>0</v>
      </c>
      <c r="T71" s="884">
        <f t="shared" si="5"/>
        <v>11227.310660130159</v>
      </c>
      <c r="U71" s="884">
        <f t="shared" si="6"/>
        <v>528.7557335160061</v>
      </c>
      <c r="V71" s="897">
        <f t="shared" si="7"/>
        <v>352.50382234400405</v>
      </c>
      <c r="W71" s="1456">
        <f t="shared" si="8"/>
        <v>0.13527885904981399</v>
      </c>
      <c r="X71" s="891">
        <f>'Baseline data (from input)'!AS57*W71</f>
        <v>6748.2429485947514</v>
      </c>
      <c r="Y71" s="885">
        <f>Parameters!S172</f>
        <v>0.71500000000000008</v>
      </c>
      <c r="Z71" s="885">
        <f t="shared" si="9"/>
        <v>0.4</v>
      </c>
      <c r="AA71" s="884">
        <f t="shared" si="10"/>
        <v>964.99874164904963</v>
      </c>
      <c r="AB71" s="884">
        <f t="shared" si="11"/>
        <v>964.99874164904963</v>
      </c>
      <c r="AC71" s="886">
        <f t="shared" si="12"/>
        <v>0</v>
      </c>
      <c r="AD71" s="884">
        <f t="shared" si="13"/>
        <v>13241.097352553907</v>
      </c>
      <c r="AE71" s="884">
        <f t="shared" si="14"/>
        <v>629.40903500127763</v>
      </c>
      <c r="AF71" s="897">
        <f t="shared" si="15"/>
        <v>419.60602333418507</v>
      </c>
      <c r="AG71" s="1460">
        <f t="shared" si="16"/>
        <v>0.13527885904981399</v>
      </c>
      <c r="AH71" s="891">
        <f>'Baseline data (from input)'!AS57*AG71</f>
        <v>6748.2429485947514</v>
      </c>
      <c r="AI71" s="885">
        <f>Parameters!S172</f>
        <v>0.71500000000000008</v>
      </c>
      <c r="AJ71" s="885">
        <f t="shared" si="17"/>
        <v>0.4</v>
      </c>
      <c r="AK71" s="884">
        <f t="shared" si="18"/>
        <v>964.99874164904963</v>
      </c>
      <c r="AL71" s="884">
        <f t="shared" si="19"/>
        <v>964.99874164904963</v>
      </c>
      <c r="AM71" s="886">
        <f t="shared" si="20"/>
        <v>0</v>
      </c>
      <c r="AN71" s="884">
        <f t="shared" si="21"/>
        <v>13241.097352553907</v>
      </c>
      <c r="AO71" s="884">
        <f t="shared" si="22"/>
        <v>629.40903500127763</v>
      </c>
      <c r="AP71" s="897">
        <f t="shared" si="23"/>
        <v>419.60602333418507</v>
      </c>
      <c r="AR71" s="899">
        <v>501</v>
      </c>
      <c r="AS71" s="885">
        <v>1</v>
      </c>
      <c r="AT71" s="885">
        <f t="shared" si="24"/>
        <v>0.05</v>
      </c>
      <c r="AU71" s="884">
        <f t="shared" si="25"/>
        <v>12.525</v>
      </c>
      <c r="AV71" s="884">
        <f t="shared" si="26"/>
        <v>12.525</v>
      </c>
      <c r="AW71" s="886">
        <f t="shared" si="27"/>
        <v>0</v>
      </c>
      <c r="AX71" s="884">
        <f t="shared" si="44"/>
        <v>24.320600783142716</v>
      </c>
      <c r="AY71" s="884">
        <f>AW71+AX70*(1-$E$8)</f>
        <v>0.72939921685728482</v>
      </c>
      <c r="AZ71" s="900">
        <f t="shared" ref="AZ71:AZ120" si="47">AY71*16/12*$E$11</f>
        <v>0.48626614457152323</v>
      </c>
      <c r="BB71" s="1605">
        <f t="shared" si="31"/>
        <v>352.50382234400405</v>
      </c>
      <c r="BC71" s="1606">
        <f t="shared" si="32"/>
        <v>419.60602333418507</v>
      </c>
      <c r="BD71" s="1607">
        <f t="shared" ref="BD71:BD87" si="48">AZ71</f>
        <v>0.48626614457152323</v>
      </c>
      <c r="BE71" s="1606">
        <f t="shared" si="34"/>
        <v>772.59611182276069</v>
      </c>
      <c r="BF71" s="1608">
        <v>0</v>
      </c>
      <c r="BG71" s="1609">
        <f t="shared" si="35"/>
        <v>772.59611182276069</v>
      </c>
      <c r="BI71" s="1605">
        <f t="shared" si="36"/>
        <v>352.50382234400405</v>
      </c>
      <c r="BJ71" s="1606">
        <f t="shared" si="37"/>
        <v>419.60602333418507</v>
      </c>
      <c r="BK71" s="1607">
        <f t="shared" si="38"/>
        <v>0.48626614457152323</v>
      </c>
      <c r="BL71" s="1606">
        <f t="shared" si="39"/>
        <v>772.59611182276069</v>
      </c>
      <c r="BM71" s="1608">
        <v>0</v>
      </c>
      <c r="BN71" s="1609">
        <f t="shared" si="40"/>
        <v>772.59611182276069</v>
      </c>
    </row>
    <row r="72" spans="1:66">
      <c r="A72" s="819">
        <f>'Input data'!A102</f>
        <v>2002</v>
      </c>
      <c r="B72" s="867">
        <f>'Input data'!B102</f>
        <v>45.533000000000001</v>
      </c>
      <c r="C72" s="867">
        <f>'Baseline data (from input)'!B58</f>
        <v>578.73</v>
      </c>
      <c r="D72" s="868">
        <f>'Baseline data (from input)'!T58</f>
        <v>0.8</v>
      </c>
      <c r="E72" s="868">
        <f t="shared" si="46"/>
        <v>0.24001298204245269</v>
      </c>
      <c r="F72" s="868">
        <f t="shared" si="46"/>
        <v>0.30440139352934503</v>
      </c>
      <c r="G72" s="868">
        <f t="shared" si="46"/>
        <v>5.8998240613430578E-2</v>
      </c>
      <c r="H72" s="868">
        <f t="shared" si="46"/>
        <v>0</v>
      </c>
      <c r="I72" s="868">
        <f t="shared" si="46"/>
        <v>0</v>
      </c>
      <c r="J72" s="868">
        <f t="shared" si="46"/>
        <v>0</v>
      </c>
      <c r="K72" s="868">
        <f t="shared" si="46"/>
        <v>0.39658738381477154</v>
      </c>
      <c r="L72" s="875">
        <f t="shared" si="42"/>
        <v>0.99999999999999989</v>
      </c>
      <c r="N72" s="891">
        <f t="shared" si="1"/>
        <v>21081.050472000003</v>
      </c>
      <c r="O72" s="885">
        <f>Parameters!R173</f>
        <v>0.73</v>
      </c>
      <c r="P72" s="885">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884">
        <f t="shared" si="2"/>
        <v>927.05512385445832</v>
      </c>
      <c r="R72" s="884">
        <f t="shared" si="3"/>
        <v>927.05512385445832</v>
      </c>
      <c r="S72" s="886">
        <f t="shared" si="4"/>
        <v>0</v>
      </c>
      <c r="T72" s="884">
        <f t="shared" si="5"/>
        <v>11606.803381780801</v>
      </c>
      <c r="U72" s="884">
        <f t="shared" si="6"/>
        <v>547.5624022038163</v>
      </c>
      <c r="V72" s="897">
        <f t="shared" si="7"/>
        <v>365.04160146921089</v>
      </c>
      <c r="W72" s="1456">
        <f t="shared" si="8"/>
        <v>0.13527885904981399</v>
      </c>
      <c r="X72" s="891">
        <f>'Baseline data (from input)'!AS58*W72</f>
        <v>6997.9537397346357</v>
      </c>
      <c r="Y72" s="885">
        <f>Parameters!S173</f>
        <v>0.71500000000000008</v>
      </c>
      <c r="Z72" s="885">
        <f t="shared" si="9"/>
        <v>0.4</v>
      </c>
      <c r="AA72" s="884">
        <f t="shared" si="10"/>
        <v>1000.7073847820531</v>
      </c>
      <c r="AB72" s="884">
        <f t="shared" si="11"/>
        <v>1000.7073847820531</v>
      </c>
      <c r="AC72" s="886">
        <f t="shared" si="12"/>
        <v>0</v>
      </c>
      <c r="AD72" s="884">
        <f t="shared" si="13"/>
        <v>13596.028799209835</v>
      </c>
      <c r="AE72" s="884">
        <f t="shared" si="14"/>
        <v>645.77593812612611</v>
      </c>
      <c r="AF72" s="897">
        <f t="shared" si="15"/>
        <v>430.51729208408409</v>
      </c>
      <c r="AG72" s="1460">
        <f t="shared" si="16"/>
        <v>0.13527885904981399</v>
      </c>
      <c r="AH72" s="891">
        <f>'Baseline data (from input)'!AS58*AG72</f>
        <v>6997.9537397346357</v>
      </c>
      <c r="AI72" s="885">
        <f>Parameters!S173</f>
        <v>0.71500000000000008</v>
      </c>
      <c r="AJ72" s="885">
        <f t="shared" si="17"/>
        <v>0.4</v>
      </c>
      <c r="AK72" s="884">
        <f t="shared" si="18"/>
        <v>1000.7073847820531</v>
      </c>
      <c r="AL72" s="884">
        <f t="shared" si="19"/>
        <v>1000.7073847820531</v>
      </c>
      <c r="AM72" s="886">
        <f t="shared" si="20"/>
        <v>0</v>
      </c>
      <c r="AN72" s="884">
        <f t="shared" si="21"/>
        <v>13596.028799209835</v>
      </c>
      <c r="AO72" s="884">
        <f t="shared" si="22"/>
        <v>645.77593812612611</v>
      </c>
      <c r="AP72" s="897">
        <f t="shared" si="23"/>
        <v>430.51729208408409</v>
      </c>
      <c r="AR72" s="899">
        <v>501</v>
      </c>
      <c r="AS72" s="885">
        <v>1</v>
      </c>
      <c r="AT72" s="885">
        <f t="shared" si="24"/>
        <v>0.05</v>
      </c>
      <c r="AU72" s="884">
        <f t="shared" si="25"/>
        <v>12.525</v>
      </c>
      <c r="AV72" s="884">
        <f t="shared" si="26"/>
        <v>12.525</v>
      </c>
      <c r="AW72" s="886">
        <f t="shared" si="27"/>
        <v>0</v>
      </c>
      <c r="AX72" s="884">
        <f t="shared" si="44"/>
        <v>35.429279253025115</v>
      </c>
      <c r="AY72" s="884">
        <f t="shared" ref="AY72:AY120" si="49">AW72+AX71*(1-$E$8)</f>
        <v>1.416321530117602</v>
      </c>
      <c r="AZ72" s="900">
        <f t="shared" si="47"/>
        <v>0.94421435341173465</v>
      </c>
      <c r="BB72" s="1605">
        <f t="shared" si="31"/>
        <v>365.04160146921089</v>
      </c>
      <c r="BC72" s="1606">
        <f t="shared" si="32"/>
        <v>430.51729208408409</v>
      </c>
      <c r="BD72" s="1607">
        <f t="shared" si="48"/>
        <v>0.94421435341173465</v>
      </c>
      <c r="BE72" s="1606">
        <f t="shared" si="34"/>
        <v>796.50310790670676</v>
      </c>
      <c r="BF72" s="1608">
        <v>0</v>
      </c>
      <c r="BG72" s="1609">
        <f t="shared" si="35"/>
        <v>796.50310790670676</v>
      </c>
      <c r="BI72" s="1605">
        <f t="shared" si="36"/>
        <v>365.04160146921089</v>
      </c>
      <c r="BJ72" s="1606">
        <f t="shared" si="37"/>
        <v>430.51729208408409</v>
      </c>
      <c r="BK72" s="1607">
        <f t="shared" si="38"/>
        <v>0.94421435341173465</v>
      </c>
      <c r="BL72" s="1606">
        <f t="shared" si="39"/>
        <v>796.50310790670676</v>
      </c>
      <c r="BM72" s="1608">
        <v>0</v>
      </c>
      <c r="BN72" s="1609">
        <f t="shared" si="40"/>
        <v>796.50310790670676</v>
      </c>
    </row>
    <row r="73" spans="1:66">
      <c r="A73" s="819">
        <f>'Input data'!A103</f>
        <v>2003</v>
      </c>
      <c r="B73" s="867">
        <f>'Input data'!B103</f>
        <v>46.116</v>
      </c>
      <c r="C73" s="867">
        <f>'Baseline data (from input)'!B59</f>
        <v>578.73</v>
      </c>
      <c r="D73" s="868">
        <f>'Baseline data (from input)'!T59</f>
        <v>0.8</v>
      </c>
      <c r="E73" s="868">
        <f t="shared" si="46"/>
        <v>0.24001298204245269</v>
      </c>
      <c r="F73" s="868">
        <f t="shared" si="46"/>
        <v>0.30440139352934503</v>
      </c>
      <c r="G73" s="868">
        <f t="shared" si="46"/>
        <v>5.8998240613430578E-2</v>
      </c>
      <c r="H73" s="868">
        <f t="shared" si="46"/>
        <v>0</v>
      </c>
      <c r="I73" s="868">
        <f t="shared" si="46"/>
        <v>0</v>
      </c>
      <c r="J73" s="868">
        <f t="shared" si="46"/>
        <v>0</v>
      </c>
      <c r="K73" s="868">
        <f t="shared" si="46"/>
        <v>0.39658738381477154</v>
      </c>
      <c r="L73" s="875">
        <f t="shared" si="42"/>
        <v>0.99999999999999989</v>
      </c>
      <c r="N73" s="891">
        <f t="shared" si="1"/>
        <v>21350.970144000003</v>
      </c>
      <c r="O73" s="885">
        <f>Parameters!R174</f>
        <v>0.73</v>
      </c>
      <c r="P73" s="885">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884">
        <f t="shared" si="2"/>
        <v>938.92504538844787</v>
      </c>
      <c r="R73" s="884">
        <f t="shared" si="3"/>
        <v>938.92504538844787</v>
      </c>
      <c r="S73" s="886">
        <f t="shared" si="4"/>
        <v>0</v>
      </c>
      <c r="T73" s="884">
        <f t="shared" si="5"/>
        <v>11979.657946532741</v>
      </c>
      <c r="U73" s="884">
        <f t="shared" si="6"/>
        <v>566.07048063650848</v>
      </c>
      <c r="V73" s="897">
        <f t="shared" si="7"/>
        <v>377.380320424339</v>
      </c>
      <c r="W73" s="1456">
        <f>($W$82-$W$72)/($A$82-$A$72)+W72</f>
        <v>0.12394828525545966</v>
      </c>
      <c r="X73" s="891">
        <f>'Baseline data (from input)'!AS59*W73</f>
        <v>6524.4422711180987</v>
      </c>
      <c r="Y73" s="885">
        <f>Parameters!S174</f>
        <v>0.71500000000000008</v>
      </c>
      <c r="Z73" s="885">
        <f t="shared" si="9"/>
        <v>0.4</v>
      </c>
      <c r="AA73" s="884">
        <f t="shared" si="10"/>
        <v>932.99524476988836</v>
      </c>
      <c r="AB73" s="884">
        <f t="shared" si="11"/>
        <v>932.99524476988836</v>
      </c>
      <c r="AC73" s="886">
        <f t="shared" si="12"/>
        <v>0</v>
      </c>
      <c r="AD73" s="884">
        <f t="shared" si="13"/>
        <v>13865.937894937393</v>
      </c>
      <c r="AE73" s="884">
        <f t="shared" si="14"/>
        <v>663.08614904232979</v>
      </c>
      <c r="AF73" s="897">
        <f t="shared" si="15"/>
        <v>442.05743269488653</v>
      </c>
      <c r="AG73" s="1460">
        <f>($AG$82-$AG$72)/($A$82-$A$72)+AG72</f>
        <v>0.12394828525545966</v>
      </c>
      <c r="AH73" s="891">
        <f>'Baseline data (from input)'!AS59*AG73</f>
        <v>6524.4422711180987</v>
      </c>
      <c r="AI73" s="885">
        <f>Parameters!S174</f>
        <v>0.71500000000000008</v>
      </c>
      <c r="AJ73" s="885">
        <f t="shared" si="17"/>
        <v>0.4</v>
      </c>
      <c r="AK73" s="884">
        <f t="shared" si="18"/>
        <v>932.99524476988836</v>
      </c>
      <c r="AL73" s="884">
        <f t="shared" si="19"/>
        <v>932.99524476988836</v>
      </c>
      <c r="AM73" s="886">
        <f t="shared" si="20"/>
        <v>0</v>
      </c>
      <c r="AN73" s="884">
        <f t="shared" si="21"/>
        <v>13865.937894937393</v>
      </c>
      <c r="AO73" s="884">
        <f t="shared" si="22"/>
        <v>663.08614904232979</v>
      </c>
      <c r="AP73" s="897">
        <f t="shared" si="23"/>
        <v>442.05743269488653</v>
      </c>
      <c r="AR73" s="899">
        <v>501</v>
      </c>
      <c r="AS73" s="885">
        <v>1</v>
      </c>
      <c r="AT73" s="885">
        <f t="shared" si="24"/>
        <v>0.05</v>
      </c>
      <c r="AU73" s="884">
        <f t="shared" si="25"/>
        <v>12.525</v>
      </c>
      <c r="AV73" s="884">
        <f t="shared" si="26"/>
        <v>12.525</v>
      </c>
      <c r="AW73" s="886">
        <f t="shared" si="27"/>
        <v>0</v>
      </c>
      <c r="AX73" s="884">
        <f t="shared" si="44"/>
        <v>45.891038650951295</v>
      </c>
      <c r="AY73" s="884">
        <f t="shared" si="49"/>
        <v>2.0632406020738179</v>
      </c>
      <c r="AZ73" s="900">
        <f t="shared" si="47"/>
        <v>1.3754937347158787</v>
      </c>
      <c r="BB73" s="1605">
        <f t="shared" si="31"/>
        <v>377.380320424339</v>
      </c>
      <c r="BC73" s="1606">
        <f t="shared" si="32"/>
        <v>442.05743269488653</v>
      </c>
      <c r="BD73" s="1607">
        <f t="shared" si="48"/>
        <v>1.3754937347158787</v>
      </c>
      <c r="BE73" s="1606">
        <f t="shared" si="34"/>
        <v>820.81324685394145</v>
      </c>
      <c r="BF73" s="1608">
        <v>0</v>
      </c>
      <c r="BG73" s="1609">
        <f t="shared" si="35"/>
        <v>820.81324685394145</v>
      </c>
      <c r="BI73" s="1605">
        <f t="shared" si="36"/>
        <v>377.380320424339</v>
      </c>
      <c r="BJ73" s="1606">
        <f t="shared" si="37"/>
        <v>442.05743269488653</v>
      </c>
      <c r="BK73" s="1607">
        <f t="shared" si="38"/>
        <v>1.3754937347158787</v>
      </c>
      <c r="BL73" s="1606">
        <f t="shared" si="39"/>
        <v>820.81324685394145</v>
      </c>
      <c r="BM73" s="1608">
        <v>0</v>
      </c>
      <c r="BN73" s="1609">
        <f t="shared" si="40"/>
        <v>820.81324685394145</v>
      </c>
    </row>
    <row r="74" spans="1:66">
      <c r="A74" s="819">
        <f>'Input data'!A104</f>
        <v>2004</v>
      </c>
      <c r="B74" s="867">
        <f>'Input data'!B104</f>
        <v>46.664999999999999</v>
      </c>
      <c r="C74" s="867">
        <f>'Baseline data (from input)'!B60</f>
        <v>578.73</v>
      </c>
      <c r="D74" s="868">
        <f>'Baseline data (from input)'!T60</f>
        <v>0.8</v>
      </c>
      <c r="E74" s="868">
        <f t="shared" si="46"/>
        <v>0.24001298204245269</v>
      </c>
      <c r="F74" s="868">
        <f t="shared" si="46"/>
        <v>0.30440139352934503</v>
      </c>
      <c r="G74" s="868">
        <f t="shared" si="46"/>
        <v>5.8998240613430578E-2</v>
      </c>
      <c r="H74" s="868">
        <f t="shared" si="46"/>
        <v>0</v>
      </c>
      <c r="I74" s="868">
        <f t="shared" si="46"/>
        <v>0</v>
      </c>
      <c r="J74" s="868">
        <f t="shared" si="46"/>
        <v>0</v>
      </c>
      <c r="K74" s="868">
        <f t="shared" si="46"/>
        <v>0.39658738381477154</v>
      </c>
      <c r="L74" s="875">
        <f t="shared" si="42"/>
        <v>0.99999999999999989</v>
      </c>
      <c r="N74" s="891">
        <f t="shared" si="1"/>
        <v>21605.148360000003</v>
      </c>
      <c r="O74" s="885">
        <f>Parameters!R175</f>
        <v>0.73</v>
      </c>
      <c r="P74" s="885">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884">
        <f t="shared" si="2"/>
        <v>950.10272450021512</v>
      </c>
      <c r="R74" s="884">
        <f t="shared" si="3"/>
        <v>950.10272450021512</v>
      </c>
      <c r="S74" s="886">
        <f t="shared" si="4"/>
        <v>0</v>
      </c>
      <c r="T74" s="884">
        <f t="shared" si="5"/>
        <v>12345.50585869596</v>
      </c>
      <c r="U74" s="884">
        <f t="shared" si="6"/>
        <v>584.25481233699634</v>
      </c>
      <c r="V74" s="897">
        <f t="shared" si="7"/>
        <v>389.50320822466421</v>
      </c>
      <c r="W74" s="1456">
        <f t="shared" ref="W74:W81" si="50">($W$82-$W$72)/($A$82-$A$72)+W73</f>
        <v>0.11261771146110533</v>
      </c>
      <c r="X74" s="891">
        <f>'Baseline data (from input)'!AS60*W74</f>
        <v>6125.3670306857948</v>
      </c>
      <c r="Y74" s="885">
        <f>Parameters!S175</f>
        <v>0.71500000000000008</v>
      </c>
      <c r="Z74" s="885">
        <f t="shared" si="9"/>
        <v>0.4</v>
      </c>
      <c r="AA74" s="884">
        <f t="shared" si="10"/>
        <v>875.92748538806882</v>
      </c>
      <c r="AB74" s="884">
        <f t="shared" si="11"/>
        <v>875.92748538806882</v>
      </c>
      <c r="AC74" s="886">
        <f t="shared" si="12"/>
        <v>0</v>
      </c>
      <c r="AD74" s="884">
        <f t="shared" si="13"/>
        <v>14065.615609352008</v>
      </c>
      <c r="AE74" s="884">
        <f t="shared" si="14"/>
        <v>676.2497709734547</v>
      </c>
      <c r="AF74" s="897">
        <f t="shared" si="15"/>
        <v>450.8331806489698</v>
      </c>
      <c r="AG74" s="1460">
        <f t="shared" ref="AG74:AG81" si="51">($AG$82-$AG$72)/($A$82-$A$72)+AG73</f>
        <v>0.11261771146110533</v>
      </c>
      <c r="AH74" s="891">
        <f>'Baseline data (from input)'!AS60*AG74</f>
        <v>6125.3670306857948</v>
      </c>
      <c r="AI74" s="885">
        <f>Parameters!S175</f>
        <v>0.71500000000000008</v>
      </c>
      <c r="AJ74" s="885">
        <f t="shared" si="17"/>
        <v>0.4</v>
      </c>
      <c r="AK74" s="884">
        <f t="shared" si="18"/>
        <v>875.92748538806882</v>
      </c>
      <c r="AL74" s="884">
        <f t="shared" si="19"/>
        <v>875.92748538806882</v>
      </c>
      <c r="AM74" s="886">
        <f t="shared" si="20"/>
        <v>0</v>
      </c>
      <c r="AN74" s="884">
        <f t="shared" si="21"/>
        <v>14065.615609352008</v>
      </c>
      <c r="AO74" s="884">
        <f t="shared" si="22"/>
        <v>676.2497709734547</v>
      </c>
      <c r="AP74" s="897">
        <f t="shared" si="23"/>
        <v>450.8331806489698</v>
      </c>
      <c r="AR74" s="899">
        <v>501</v>
      </c>
      <c r="AS74" s="885">
        <v>1</v>
      </c>
      <c r="AT74" s="885">
        <f t="shared" si="24"/>
        <v>0.05</v>
      </c>
      <c r="AU74" s="884">
        <f t="shared" si="25"/>
        <v>12.525</v>
      </c>
      <c r="AV74" s="884">
        <f t="shared" si="26"/>
        <v>12.525</v>
      </c>
      <c r="AW74" s="886">
        <f t="shared" si="27"/>
        <v>0</v>
      </c>
      <c r="AX74" s="884">
        <f t="shared" si="44"/>
        <v>55.743552610809878</v>
      </c>
      <c r="AY74" s="884">
        <f t="shared" si="49"/>
        <v>2.6724860401414179</v>
      </c>
      <c r="AZ74" s="900">
        <f t="shared" si="47"/>
        <v>1.7816573600942787</v>
      </c>
      <c r="BB74" s="1605">
        <f t="shared" si="31"/>
        <v>389.50320822466421</v>
      </c>
      <c r="BC74" s="1606">
        <f t="shared" si="32"/>
        <v>450.8331806489698</v>
      </c>
      <c r="BD74" s="1607">
        <f t="shared" si="48"/>
        <v>1.7816573600942787</v>
      </c>
      <c r="BE74" s="1606">
        <f t="shared" si="34"/>
        <v>842.11804623372825</v>
      </c>
      <c r="BF74" s="1608">
        <v>0</v>
      </c>
      <c r="BG74" s="1609">
        <f t="shared" si="35"/>
        <v>842.11804623372825</v>
      </c>
      <c r="BI74" s="1605">
        <f t="shared" si="36"/>
        <v>389.50320822466421</v>
      </c>
      <c r="BJ74" s="1606">
        <f t="shared" si="37"/>
        <v>450.8331806489698</v>
      </c>
      <c r="BK74" s="1607">
        <f t="shared" si="38"/>
        <v>1.7816573600942787</v>
      </c>
      <c r="BL74" s="1606">
        <f t="shared" si="39"/>
        <v>842.11804623372825</v>
      </c>
      <c r="BM74" s="1608">
        <v>0</v>
      </c>
      <c r="BN74" s="1609">
        <f t="shared" si="40"/>
        <v>842.11804623372825</v>
      </c>
    </row>
    <row r="75" spans="1:66">
      <c r="A75" s="819">
        <f>'Input data'!A105</f>
        <v>2005</v>
      </c>
      <c r="B75" s="867">
        <f>'Input data'!B105</f>
        <v>47.198</v>
      </c>
      <c r="C75" s="867">
        <f>'Baseline data (from input)'!B61</f>
        <v>578.73</v>
      </c>
      <c r="D75" s="868">
        <f>'Baseline data (from input)'!T61</f>
        <v>0.8</v>
      </c>
      <c r="E75" s="868">
        <f t="shared" si="46"/>
        <v>0.24001298204245269</v>
      </c>
      <c r="F75" s="868">
        <f t="shared" si="46"/>
        <v>0.30440139352934503</v>
      </c>
      <c r="G75" s="868">
        <f t="shared" si="46"/>
        <v>5.8998240613430578E-2</v>
      </c>
      <c r="H75" s="868">
        <f t="shared" si="46"/>
        <v>0</v>
      </c>
      <c r="I75" s="868">
        <f t="shared" si="46"/>
        <v>0</v>
      </c>
      <c r="J75" s="868">
        <f t="shared" si="46"/>
        <v>0</v>
      </c>
      <c r="K75" s="868">
        <f t="shared" si="46"/>
        <v>0.39658738381477154</v>
      </c>
      <c r="L75" s="875">
        <f t="shared" si="42"/>
        <v>0.99999999999999989</v>
      </c>
      <c r="N75" s="891">
        <f t="shared" si="1"/>
        <v>21851.918832000003</v>
      </c>
      <c r="O75" s="885">
        <f>Parameters!R176</f>
        <v>0.73</v>
      </c>
      <c r="P75" s="885">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884">
        <f t="shared" si="2"/>
        <v>960.95464247211305</v>
      </c>
      <c r="R75" s="884">
        <f t="shared" si="3"/>
        <v>960.95464247211305</v>
      </c>
      <c r="S75" s="886">
        <f t="shared" si="4"/>
        <v>0</v>
      </c>
      <c r="T75" s="884">
        <f t="shared" si="5"/>
        <v>12704.363075609665</v>
      </c>
      <c r="U75" s="884">
        <f t="shared" si="6"/>
        <v>602.09742555840876</v>
      </c>
      <c r="V75" s="897">
        <f t="shared" si="7"/>
        <v>401.39828370560582</v>
      </c>
      <c r="W75" s="1456">
        <f t="shared" si="50"/>
        <v>0.101287137666751</v>
      </c>
      <c r="X75" s="891">
        <f>'Baseline data (from input)'!AS61*W75</f>
        <v>5731.0204685808685</v>
      </c>
      <c r="Y75" s="885">
        <f>Parameters!S176</f>
        <v>0.71500000000000008</v>
      </c>
      <c r="Z75" s="885">
        <f t="shared" si="9"/>
        <v>0.4</v>
      </c>
      <c r="AA75" s="884">
        <f t="shared" si="10"/>
        <v>819.53592700706429</v>
      </c>
      <c r="AB75" s="884">
        <f t="shared" si="11"/>
        <v>819.53592700706429</v>
      </c>
      <c r="AC75" s="886">
        <f t="shared" si="12"/>
        <v>0</v>
      </c>
      <c r="AD75" s="884">
        <f t="shared" si="13"/>
        <v>14199.163368339234</v>
      </c>
      <c r="AE75" s="884">
        <f t="shared" si="14"/>
        <v>685.98816801983753</v>
      </c>
      <c r="AF75" s="897">
        <f t="shared" si="15"/>
        <v>457.32544534655835</v>
      </c>
      <c r="AG75" s="1460">
        <f t="shared" si="51"/>
        <v>0.101287137666751</v>
      </c>
      <c r="AH75" s="891">
        <f>'Baseline data (from input)'!AS61*AG75</f>
        <v>5731.0204685808685</v>
      </c>
      <c r="AI75" s="885">
        <f>Parameters!S176</f>
        <v>0.71500000000000008</v>
      </c>
      <c r="AJ75" s="885">
        <f t="shared" si="17"/>
        <v>0.4</v>
      </c>
      <c r="AK75" s="884">
        <f t="shared" si="18"/>
        <v>819.53592700706429</v>
      </c>
      <c r="AL75" s="884">
        <f t="shared" si="19"/>
        <v>819.53592700706429</v>
      </c>
      <c r="AM75" s="886">
        <f t="shared" si="20"/>
        <v>0</v>
      </c>
      <c r="AN75" s="884">
        <f t="shared" si="21"/>
        <v>14199.163368339234</v>
      </c>
      <c r="AO75" s="884">
        <f t="shared" si="22"/>
        <v>685.98816801983753</v>
      </c>
      <c r="AP75" s="897">
        <f t="shared" si="23"/>
        <v>457.32544534655835</v>
      </c>
      <c r="AR75" s="899">
        <v>501</v>
      </c>
      <c r="AS75" s="885">
        <v>1</v>
      </c>
      <c r="AT75" s="885">
        <f t="shared" si="24"/>
        <v>0.05</v>
      </c>
      <c r="AU75" s="884">
        <f t="shared" si="25"/>
        <v>12.525</v>
      </c>
      <c r="AV75" s="884">
        <f t="shared" si="26"/>
        <v>12.525</v>
      </c>
      <c r="AW75" s="886">
        <f t="shared" si="27"/>
        <v>0</v>
      </c>
      <c r="AX75" s="884">
        <f t="shared" si="44"/>
        <v>65.022300824848401</v>
      </c>
      <c r="AY75" s="884">
        <f t="shared" si="49"/>
        <v>3.2462517859614834</v>
      </c>
      <c r="AZ75" s="900">
        <f t="shared" si="47"/>
        <v>2.1641678573076555</v>
      </c>
      <c r="BB75" s="1605">
        <f t="shared" si="31"/>
        <v>401.39828370560582</v>
      </c>
      <c r="BC75" s="1606">
        <f t="shared" si="32"/>
        <v>457.32544534655835</v>
      </c>
      <c r="BD75" s="1607">
        <f t="shared" si="48"/>
        <v>2.1641678573076555</v>
      </c>
      <c r="BE75" s="1606">
        <f t="shared" si="34"/>
        <v>860.88789690947181</v>
      </c>
      <c r="BF75" s="1608">
        <v>0</v>
      </c>
      <c r="BG75" s="1609">
        <f t="shared" si="35"/>
        <v>860.88789690947181</v>
      </c>
      <c r="BI75" s="1605">
        <f t="shared" si="36"/>
        <v>401.39828370560582</v>
      </c>
      <c r="BJ75" s="1606">
        <f t="shared" si="37"/>
        <v>457.32544534655835</v>
      </c>
      <c r="BK75" s="1607">
        <f t="shared" si="38"/>
        <v>2.1641678573076555</v>
      </c>
      <c r="BL75" s="1606">
        <f t="shared" si="39"/>
        <v>860.88789690947181</v>
      </c>
      <c r="BM75" s="1608">
        <v>0</v>
      </c>
      <c r="BN75" s="1609">
        <f t="shared" si="40"/>
        <v>860.88789690947181</v>
      </c>
    </row>
    <row r="76" spans="1:66">
      <c r="A76" s="819">
        <f>'Input data'!A106</f>
        <v>2006</v>
      </c>
      <c r="B76" s="867">
        <f>'Input data'!B106</f>
        <v>47.731000000000002</v>
      </c>
      <c r="C76" s="867">
        <f>'Baseline data (from input)'!B62</f>
        <v>578.73</v>
      </c>
      <c r="D76" s="868">
        <f>'Baseline data (from input)'!T62</f>
        <v>0.8</v>
      </c>
      <c r="E76" s="868">
        <f t="shared" si="46"/>
        <v>0.24001298204245269</v>
      </c>
      <c r="F76" s="868">
        <f t="shared" si="46"/>
        <v>0.30440139352934503</v>
      </c>
      <c r="G76" s="868">
        <f t="shared" si="46"/>
        <v>5.8998240613430578E-2</v>
      </c>
      <c r="H76" s="868">
        <f t="shared" si="46"/>
        <v>0</v>
      </c>
      <c r="I76" s="868">
        <f t="shared" si="46"/>
        <v>0</v>
      </c>
      <c r="J76" s="868">
        <f t="shared" si="46"/>
        <v>0</v>
      </c>
      <c r="K76" s="868">
        <f t="shared" si="46"/>
        <v>0.39658738381477154</v>
      </c>
      <c r="L76" s="875">
        <f t="shared" si="42"/>
        <v>0.99999999999999989</v>
      </c>
      <c r="N76" s="891">
        <f t="shared" si="1"/>
        <v>22098.689304000003</v>
      </c>
      <c r="O76" s="885">
        <f>Parameters!R177</f>
        <v>0.73</v>
      </c>
      <c r="P76" s="885">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884">
        <f t="shared" si="2"/>
        <v>971.80656044401098</v>
      </c>
      <c r="R76" s="884">
        <f t="shared" si="3"/>
        <v>971.80656044401098</v>
      </c>
      <c r="S76" s="886">
        <f t="shared" si="4"/>
        <v>0</v>
      </c>
      <c r="T76" s="884">
        <f t="shared" si="5"/>
        <v>13056.570537504313</v>
      </c>
      <c r="U76" s="884">
        <f t="shared" si="6"/>
        <v>619.59909854936222</v>
      </c>
      <c r="V76" s="897">
        <f t="shared" si="7"/>
        <v>413.06606569957484</v>
      </c>
      <c r="W76" s="1456">
        <f t="shared" si="50"/>
        <v>8.9956563872396672E-2</v>
      </c>
      <c r="X76" s="891">
        <f>'Baseline data (from input)'!AS62*W76</f>
        <v>5310.6294339907163</v>
      </c>
      <c r="Y76" s="885">
        <f>Parameters!S177</f>
        <v>0.71500000000000008</v>
      </c>
      <c r="Z76" s="885">
        <f t="shared" si="9"/>
        <v>0.4</v>
      </c>
      <c r="AA76" s="884">
        <f t="shared" si="10"/>
        <v>759.42000906067256</v>
      </c>
      <c r="AB76" s="884">
        <f t="shared" si="11"/>
        <v>759.42000906067256</v>
      </c>
      <c r="AC76" s="886">
        <f t="shared" si="12"/>
        <v>0</v>
      </c>
      <c r="AD76" s="884">
        <f t="shared" si="13"/>
        <v>14266.08200831762</v>
      </c>
      <c r="AE76" s="884">
        <f t="shared" si="14"/>
        <v>692.50136908228444</v>
      </c>
      <c r="AF76" s="897">
        <f t="shared" si="15"/>
        <v>461.66757938818961</v>
      </c>
      <c r="AG76" s="1460">
        <f t="shared" si="51"/>
        <v>8.9956563872396672E-2</v>
      </c>
      <c r="AH76" s="891">
        <f>'Baseline data (from input)'!AS62*AG76</f>
        <v>5310.6294339907163</v>
      </c>
      <c r="AI76" s="885">
        <f>Parameters!S177</f>
        <v>0.71500000000000008</v>
      </c>
      <c r="AJ76" s="885">
        <f t="shared" si="17"/>
        <v>0.4</v>
      </c>
      <c r="AK76" s="884">
        <f t="shared" si="18"/>
        <v>759.42000906067256</v>
      </c>
      <c r="AL76" s="884">
        <f t="shared" si="19"/>
        <v>759.42000906067256</v>
      </c>
      <c r="AM76" s="886">
        <f t="shared" si="20"/>
        <v>0</v>
      </c>
      <c r="AN76" s="884">
        <f t="shared" si="21"/>
        <v>14266.08200831762</v>
      </c>
      <c r="AO76" s="884">
        <f t="shared" si="22"/>
        <v>692.50136908228444</v>
      </c>
      <c r="AP76" s="897">
        <f t="shared" si="23"/>
        <v>461.66757938818961</v>
      </c>
      <c r="AR76" s="899">
        <v>501</v>
      </c>
      <c r="AS76" s="885">
        <v>1</v>
      </c>
      <c r="AT76" s="885">
        <f t="shared" si="24"/>
        <v>0.05</v>
      </c>
      <c r="AU76" s="884">
        <f t="shared" si="25"/>
        <v>12.525</v>
      </c>
      <c r="AV76" s="884">
        <f t="shared" si="26"/>
        <v>12.525</v>
      </c>
      <c r="AW76" s="886">
        <f t="shared" si="27"/>
        <v>0</v>
      </c>
      <c r="AX76" s="884">
        <f t="shared" si="44"/>
        <v>73.760696808888071</v>
      </c>
      <c r="AY76" s="884">
        <f t="shared" si="49"/>
        <v>3.7866040159603358</v>
      </c>
      <c r="AZ76" s="900">
        <f t="shared" si="47"/>
        <v>2.5244026773068904</v>
      </c>
      <c r="BB76" s="1605">
        <f t="shared" si="31"/>
        <v>413.06606569957484</v>
      </c>
      <c r="BC76" s="1606">
        <f t="shared" si="32"/>
        <v>461.66757938818961</v>
      </c>
      <c r="BD76" s="1607">
        <f t="shared" si="48"/>
        <v>2.5244026773068904</v>
      </c>
      <c r="BE76" s="1606">
        <f t="shared" si="34"/>
        <v>877.2580477650713</v>
      </c>
      <c r="BF76" s="1608">
        <v>0</v>
      </c>
      <c r="BG76" s="1609">
        <f t="shared" si="35"/>
        <v>877.2580477650713</v>
      </c>
      <c r="BI76" s="1605">
        <f t="shared" si="36"/>
        <v>413.06606569957484</v>
      </c>
      <c r="BJ76" s="1606">
        <f t="shared" si="37"/>
        <v>461.66757938818961</v>
      </c>
      <c r="BK76" s="1607">
        <f t="shared" si="38"/>
        <v>2.5244026773068904</v>
      </c>
      <c r="BL76" s="1606">
        <f t="shared" si="39"/>
        <v>877.2580477650713</v>
      </c>
      <c r="BM76" s="1608">
        <v>0</v>
      </c>
      <c r="BN76" s="1609">
        <f t="shared" si="40"/>
        <v>877.2580477650713</v>
      </c>
    </row>
    <row r="77" spans="1:66">
      <c r="A77" s="819">
        <f>'Input data'!A107</f>
        <v>2007</v>
      </c>
      <c r="B77" s="867">
        <f>'Input data'!B107</f>
        <v>48.256999999999998</v>
      </c>
      <c r="C77" s="867">
        <f>'Baseline data (from input)'!B63</f>
        <v>578.73</v>
      </c>
      <c r="D77" s="868">
        <f>'Baseline data (from input)'!T63</f>
        <v>0.8</v>
      </c>
      <c r="E77" s="868">
        <f t="shared" si="46"/>
        <v>0.24001298204245269</v>
      </c>
      <c r="F77" s="868">
        <f t="shared" si="46"/>
        <v>0.30440139352934503</v>
      </c>
      <c r="G77" s="868">
        <f t="shared" si="46"/>
        <v>5.8998240613430578E-2</v>
      </c>
      <c r="H77" s="868">
        <f t="shared" si="46"/>
        <v>0</v>
      </c>
      <c r="I77" s="868">
        <f t="shared" si="46"/>
        <v>0</v>
      </c>
      <c r="J77" s="868">
        <f t="shared" si="46"/>
        <v>0</v>
      </c>
      <c r="K77" s="868">
        <f t="shared" si="46"/>
        <v>0.39658738381477154</v>
      </c>
      <c r="L77" s="875">
        <f t="shared" si="42"/>
        <v>0.99999999999999989</v>
      </c>
      <c r="N77" s="891">
        <f t="shared" si="1"/>
        <v>22342.218888000003</v>
      </c>
      <c r="O77" s="885">
        <f>Parameters!R178</f>
        <v>0.73</v>
      </c>
      <c r="P77" s="885">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884">
        <f t="shared" si="2"/>
        <v>982.51595791721593</v>
      </c>
      <c r="R77" s="884">
        <f t="shared" si="3"/>
        <v>982.51595791721593</v>
      </c>
      <c r="S77" s="886">
        <f t="shared" si="4"/>
        <v>0</v>
      </c>
      <c r="T77" s="884">
        <f t="shared" si="5"/>
        <v>13402.310036260422</v>
      </c>
      <c r="U77" s="884">
        <f t="shared" si="6"/>
        <v>636.77645916110703</v>
      </c>
      <c r="V77" s="897">
        <f t="shared" si="7"/>
        <v>424.51763944073804</v>
      </c>
      <c r="W77" s="1456">
        <f t="shared" si="50"/>
        <v>7.8625990078042343E-2</v>
      </c>
      <c r="X77" s="891">
        <f>'Baseline data (from input)'!AS63*W77</f>
        <v>4831.1312614970548</v>
      </c>
      <c r="Y77" s="885">
        <f>Parameters!S178</f>
        <v>0.71500000000000008</v>
      </c>
      <c r="Z77" s="885">
        <f t="shared" si="9"/>
        <v>0.4</v>
      </c>
      <c r="AA77" s="884">
        <f t="shared" si="10"/>
        <v>690.85177039407893</v>
      </c>
      <c r="AB77" s="884">
        <f t="shared" si="11"/>
        <v>690.85177039407893</v>
      </c>
      <c r="AC77" s="886">
        <f t="shared" si="12"/>
        <v>0</v>
      </c>
      <c r="AD77" s="884">
        <f t="shared" si="13"/>
        <v>14261.168749046041</v>
      </c>
      <c r="AE77" s="884">
        <f t="shared" si="14"/>
        <v>695.76502966565988</v>
      </c>
      <c r="AF77" s="897">
        <f t="shared" si="15"/>
        <v>463.84335311043992</v>
      </c>
      <c r="AG77" s="1460">
        <f t="shared" si="51"/>
        <v>7.8625990078042343E-2</v>
      </c>
      <c r="AH77" s="891">
        <f>'Baseline data (from input)'!AS63*AG77</f>
        <v>4831.1312614970548</v>
      </c>
      <c r="AI77" s="885">
        <f>Parameters!S178</f>
        <v>0.71500000000000008</v>
      </c>
      <c r="AJ77" s="885">
        <f t="shared" si="17"/>
        <v>0.4</v>
      </c>
      <c r="AK77" s="884">
        <f t="shared" si="18"/>
        <v>690.85177039407893</v>
      </c>
      <c r="AL77" s="884">
        <f t="shared" si="19"/>
        <v>690.85177039407893</v>
      </c>
      <c r="AM77" s="886">
        <f t="shared" si="20"/>
        <v>0</v>
      </c>
      <c r="AN77" s="884">
        <f t="shared" si="21"/>
        <v>14261.168749046041</v>
      </c>
      <c r="AO77" s="884">
        <f t="shared" si="22"/>
        <v>695.76502966565988</v>
      </c>
      <c r="AP77" s="897">
        <f t="shared" si="23"/>
        <v>463.84335311043992</v>
      </c>
      <c r="AR77" s="899">
        <v>501</v>
      </c>
      <c r="AS77" s="885">
        <v>1</v>
      </c>
      <c r="AT77" s="885">
        <f t="shared" si="24"/>
        <v>0.05</v>
      </c>
      <c r="AU77" s="884">
        <f t="shared" si="25"/>
        <v>12.525</v>
      </c>
      <c r="AV77" s="884">
        <f t="shared" si="26"/>
        <v>12.525</v>
      </c>
      <c r="AW77" s="886">
        <f t="shared" si="27"/>
        <v>0</v>
      </c>
      <c r="AX77" s="884">
        <f t="shared" si="44"/>
        <v>81.990208227071662</v>
      </c>
      <c r="AY77" s="884">
        <f t="shared" si="49"/>
        <v>4.2954885818164135</v>
      </c>
      <c r="AZ77" s="900">
        <f t="shared" si="47"/>
        <v>2.8636590545442755</v>
      </c>
      <c r="BB77" s="1605">
        <f t="shared" si="31"/>
        <v>424.51763944073804</v>
      </c>
      <c r="BC77" s="1606">
        <f t="shared" si="32"/>
        <v>463.84335311043992</v>
      </c>
      <c r="BD77" s="1607">
        <f t="shared" si="48"/>
        <v>2.8636590545442755</v>
      </c>
      <c r="BE77" s="1606">
        <f t="shared" si="34"/>
        <v>891.22465160572233</v>
      </c>
      <c r="BF77" s="1608">
        <v>0</v>
      </c>
      <c r="BG77" s="1609">
        <f t="shared" si="35"/>
        <v>891.22465160572233</v>
      </c>
      <c r="BI77" s="1605">
        <f t="shared" si="36"/>
        <v>424.51763944073804</v>
      </c>
      <c r="BJ77" s="1606">
        <f t="shared" si="37"/>
        <v>463.84335311043992</v>
      </c>
      <c r="BK77" s="1607">
        <f t="shared" si="38"/>
        <v>2.8636590545442755</v>
      </c>
      <c r="BL77" s="1606">
        <f t="shared" si="39"/>
        <v>891.22465160572233</v>
      </c>
      <c r="BM77" s="1608">
        <v>0</v>
      </c>
      <c r="BN77" s="1609">
        <f t="shared" si="40"/>
        <v>891.22465160572233</v>
      </c>
    </row>
    <row r="78" spans="1:66">
      <c r="A78" s="819">
        <f>'Input data'!A108</f>
        <v>2008</v>
      </c>
      <c r="B78" s="867">
        <f>'Input data'!B108</f>
        <v>48.792999999999999</v>
      </c>
      <c r="C78" s="867">
        <f>'Baseline data (from input)'!B64</f>
        <v>578.73</v>
      </c>
      <c r="D78" s="868">
        <f>'Baseline data (from input)'!T64</f>
        <v>0.8</v>
      </c>
      <c r="E78" s="868">
        <f t="shared" si="46"/>
        <v>0.24001298204245269</v>
      </c>
      <c r="F78" s="868">
        <f t="shared" si="46"/>
        <v>0.30440139352934503</v>
      </c>
      <c r="G78" s="868">
        <f t="shared" si="46"/>
        <v>5.8998240613430578E-2</v>
      </c>
      <c r="H78" s="868">
        <f t="shared" si="46"/>
        <v>0</v>
      </c>
      <c r="I78" s="868">
        <f t="shared" si="46"/>
        <v>0</v>
      </c>
      <c r="J78" s="868">
        <f t="shared" si="46"/>
        <v>0</v>
      </c>
      <c r="K78" s="868">
        <f t="shared" si="46"/>
        <v>0.39658738381477154</v>
      </c>
      <c r="L78" s="875">
        <f t="shared" si="42"/>
        <v>0.99999999999999989</v>
      </c>
      <c r="N78" s="891">
        <f t="shared" si="1"/>
        <v>22590.378312000001</v>
      </c>
      <c r="O78" s="885">
        <f>Parameters!R179</f>
        <v>0.73</v>
      </c>
      <c r="P78" s="885">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884">
        <f t="shared" si="2"/>
        <v>993.42895610283927</v>
      </c>
      <c r="R78" s="884">
        <f t="shared" si="3"/>
        <v>993.42895610283927</v>
      </c>
      <c r="S78" s="886">
        <f t="shared" si="4"/>
        <v>0</v>
      </c>
      <c r="T78" s="884">
        <f t="shared" si="5"/>
        <v>13742.100618874985</v>
      </c>
      <c r="U78" s="884">
        <f t="shared" si="6"/>
        <v>653.63837348827713</v>
      </c>
      <c r="V78" s="897">
        <f t="shared" si="7"/>
        <v>435.75891565885144</v>
      </c>
      <c r="W78" s="1456">
        <f t="shared" si="50"/>
        <v>6.7295416283688014E-2</v>
      </c>
      <c r="X78" s="891">
        <f>'Baseline data (from input)'!AS64*W78</f>
        <v>4214.406043124789</v>
      </c>
      <c r="Y78" s="885">
        <f>Parameters!S179</f>
        <v>0.71500000000000008</v>
      </c>
      <c r="Z78" s="885">
        <f t="shared" si="9"/>
        <v>0.4</v>
      </c>
      <c r="AA78" s="884">
        <f t="shared" si="10"/>
        <v>602.6600641668449</v>
      </c>
      <c r="AB78" s="884">
        <f t="shared" si="11"/>
        <v>602.6600641668449</v>
      </c>
      <c r="AC78" s="886">
        <f t="shared" si="12"/>
        <v>0</v>
      </c>
      <c r="AD78" s="884">
        <f t="shared" si="13"/>
        <v>14168.303406029478</v>
      </c>
      <c r="AE78" s="884">
        <f t="shared" si="14"/>
        <v>695.52540718340776</v>
      </c>
      <c r="AF78" s="897">
        <f t="shared" si="15"/>
        <v>463.68360478893851</v>
      </c>
      <c r="AG78" s="1460">
        <f t="shared" si="51"/>
        <v>6.7295416283688014E-2</v>
      </c>
      <c r="AH78" s="891">
        <f>'Baseline data (from input)'!AS64*AG78</f>
        <v>4214.406043124789</v>
      </c>
      <c r="AI78" s="885">
        <f>Parameters!S179</f>
        <v>0.71500000000000008</v>
      </c>
      <c r="AJ78" s="885">
        <f t="shared" si="17"/>
        <v>0.4</v>
      </c>
      <c r="AK78" s="884">
        <f t="shared" si="18"/>
        <v>602.6600641668449</v>
      </c>
      <c r="AL78" s="884">
        <f t="shared" si="19"/>
        <v>602.6600641668449</v>
      </c>
      <c r="AM78" s="886">
        <f t="shared" si="20"/>
        <v>0</v>
      </c>
      <c r="AN78" s="884">
        <f t="shared" si="21"/>
        <v>14168.303406029478</v>
      </c>
      <c r="AO78" s="884">
        <f t="shared" si="22"/>
        <v>695.52540718340776</v>
      </c>
      <c r="AP78" s="897">
        <f t="shared" si="23"/>
        <v>463.68360478893851</v>
      </c>
      <c r="AR78" s="899">
        <v>501</v>
      </c>
      <c r="AS78" s="885">
        <v>1</v>
      </c>
      <c r="AT78" s="885">
        <f t="shared" si="24"/>
        <v>0.05</v>
      </c>
      <c r="AU78" s="884">
        <f t="shared" si="25"/>
        <v>12.525</v>
      </c>
      <c r="AV78" s="884">
        <f t="shared" si="26"/>
        <v>12.525</v>
      </c>
      <c r="AW78" s="886">
        <f t="shared" si="27"/>
        <v>0</v>
      </c>
      <c r="AX78" s="884">
        <f t="shared" si="44"/>
        <v>89.740470209443586</v>
      </c>
      <c r="AY78" s="884">
        <f t="shared" si="49"/>
        <v>4.7747380176280858</v>
      </c>
      <c r="AZ78" s="900">
        <f t="shared" si="47"/>
        <v>3.183158678418724</v>
      </c>
      <c r="BB78" s="1605">
        <f t="shared" si="31"/>
        <v>435.75891565885144</v>
      </c>
      <c r="BC78" s="1606">
        <f t="shared" si="32"/>
        <v>463.68360478893851</v>
      </c>
      <c r="BD78" s="1607">
        <f t="shared" si="48"/>
        <v>3.183158678418724</v>
      </c>
      <c r="BE78" s="1606">
        <f t="shared" si="34"/>
        <v>902.62567912620875</v>
      </c>
      <c r="BF78" s="1608">
        <v>0</v>
      </c>
      <c r="BG78" s="1609">
        <f t="shared" si="35"/>
        <v>902.62567912620875</v>
      </c>
      <c r="BI78" s="1605">
        <f t="shared" si="36"/>
        <v>435.75891565885144</v>
      </c>
      <c r="BJ78" s="1606">
        <f t="shared" si="37"/>
        <v>463.68360478893851</v>
      </c>
      <c r="BK78" s="1607">
        <f t="shared" si="38"/>
        <v>3.183158678418724</v>
      </c>
      <c r="BL78" s="1606">
        <f t="shared" si="39"/>
        <v>902.62567912620875</v>
      </c>
      <c r="BM78" s="1608">
        <v>0</v>
      </c>
      <c r="BN78" s="1609">
        <f t="shared" si="40"/>
        <v>902.62567912620875</v>
      </c>
    </row>
    <row r="79" spans="1:66">
      <c r="A79" s="819">
        <f>'Input data'!A109</f>
        <v>2009</v>
      </c>
      <c r="B79" s="867">
        <f>'Input data'!B109</f>
        <v>49.32</v>
      </c>
      <c r="C79" s="867">
        <f>'Baseline data (from input)'!B65</f>
        <v>578.73</v>
      </c>
      <c r="D79" s="868">
        <f>'Baseline data (from input)'!T65</f>
        <v>0.8</v>
      </c>
      <c r="E79" s="868">
        <f t="shared" si="46"/>
        <v>0.24001298204245269</v>
      </c>
      <c r="F79" s="868">
        <f t="shared" si="46"/>
        <v>0.30440139352934503</v>
      </c>
      <c r="G79" s="868">
        <f t="shared" si="46"/>
        <v>5.8998240613430578E-2</v>
      </c>
      <c r="H79" s="868">
        <f t="shared" si="46"/>
        <v>0</v>
      </c>
      <c r="I79" s="868">
        <f t="shared" si="46"/>
        <v>0</v>
      </c>
      <c r="J79" s="868">
        <f t="shared" si="46"/>
        <v>0</v>
      </c>
      <c r="K79" s="868">
        <f t="shared" si="46"/>
        <v>0.39658738381477154</v>
      </c>
      <c r="L79" s="875">
        <f t="shared" si="42"/>
        <v>0.99999999999999989</v>
      </c>
      <c r="N79" s="891">
        <f t="shared" si="1"/>
        <v>22834.370880000002</v>
      </c>
      <c r="O79" s="885">
        <f>Parameters!R180</f>
        <v>0.73</v>
      </c>
      <c r="P79" s="885">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884">
        <f t="shared" si="2"/>
        <v>1004.1587136472863</v>
      </c>
      <c r="R79" s="884">
        <f t="shared" si="3"/>
        <v>1004.1587136472863</v>
      </c>
      <c r="S79" s="886">
        <f t="shared" si="4"/>
        <v>0</v>
      </c>
      <c r="T79" s="884">
        <f t="shared" si="5"/>
        <v>14076.049176770644</v>
      </c>
      <c r="U79" s="884">
        <f t="shared" si="6"/>
        <v>670.2101557516271</v>
      </c>
      <c r="V79" s="897">
        <f t="shared" si="7"/>
        <v>446.80677050108471</v>
      </c>
      <c r="W79" s="1456">
        <f t="shared" si="50"/>
        <v>5.5964842489333685E-2</v>
      </c>
      <c r="X79" s="891">
        <f>'Baseline data (from input)'!AS65*W79</f>
        <v>3407.9504575310793</v>
      </c>
      <c r="Y79" s="885">
        <f>Parameters!S180</f>
        <v>0.71500000000000008</v>
      </c>
      <c r="Z79" s="885">
        <f t="shared" si="9"/>
        <v>0.4</v>
      </c>
      <c r="AA79" s="884">
        <f t="shared" si="10"/>
        <v>487.33691542694442</v>
      </c>
      <c r="AB79" s="884">
        <f t="shared" si="11"/>
        <v>487.33691542694442</v>
      </c>
      <c r="AC79" s="886">
        <f t="shared" si="12"/>
        <v>0</v>
      </c>
      <c r="AD79" s="884">
        <f t="shared" si="13"/>
        <v>13964.644010495871</v>
      </c>
      <c r="AE79" s="884">
        <f t="shared" si="14"/>
        <v>690.99631096055145</v>
      </c>
      <c r="AF79" s="897">
        <f t="shared" si="15"/>
        <v>460.6642073070343</v>
      </c>
      <c r="AG79" s="1460">
        <f t="shared" si="51"/>
        <v>5.5964842489333685E-2</v>
      </c>
      <c r="AH79" s="891">
        <f>'Baseline data (from input)'!AS65*AG79</f>
        <v>3407.9504575310793</v>
      </c>
      <c r="AI79" s="885">
        <f>Parameters!S180</f>
        <v>0.71500000000000008</v>
      </c>
      <c r="AJ79" s="885">
        <f t="shared" si="17"/>
        <v>0.4</v>
      </c>
      <c r="AK79" s="884">
        <f t="shared" si="18"/>
        <v>487.33691542694442</v>
      </c>
      <c r="AL79" s="884">
        <f t="shared" si="19"/>
        <v>487.33691542694442</v>
      </c>
      <c r="AM79" s="886">
        <f t="shared" si="20"/>
        <v>0</v>
      </c>
      <c r="AN79" s="884">
        <f t="shared" si="21"/>
        <v>13964.644010495871</v>
      </c>
      <c r="AO79" s="884">
        <f t="shared" si="22"/>
        <v>690.99631096055145</v>
      </c>
      <c r="AP79" s="897">
        <f t="shared" si="23"/>
        <v>460.6642073070343</v>
      </c>
      <c r="AR79" s="899">
        <v>501</v>
      </c>
      <c r="AS79" s="885">
        <v>1</v>
      </c>
      <c r="AT79" s="885">
        <f t="shared" si="24"/>
        <v>0.05</v>
      </c>
      <c r="AU79" s="884">
        <f t="shared" si="25"/>
        <v>12.525</v>
      </c>
      <c r="AV79" s="884">
        <f t="shared" si="26"/>
        <v>12.525</v>
      </c>
      <c r="AW79" s="886">
        <f t="shared" si="27"/>
        <v>0</v>
      </c>
      <c r="AX79" s="884">
        <f t="shared" si="44"/>
        <v>97.039392070427809</v>
      </c>
      <c r="AY79" s="884">
        <f t="shared" si="49"/>
        <v>5.2260781390157804</v>
      </c>
      <c r="AZ79" s="900">
        <f t="shared" si="47"/>
        <v>3.484052092677187</v>
      </c>
      <c r="BB79" s="1605">
        <f t="shared" si="31"/>
        <v>446.80677050108471</v>
      </c>
      <c r="BC79" s="1606">
        <f t="shared" si="32"/>
        <v>460.6642073070343</v>
      </c>
      <c r="BD79" s="1607">
        <f t="shared" si="48"/>
        <v>3.484052092677187</v>
      </c>
      <c r="BE79" s="1606">
        <f t="shared" si="34"/>
        <v>910.95502990079615</v>
      </c>
      <c r="BF79" s="1608">
        <v>0</v>
      </c>
      <c r="BG79" s="1609">
        <f t="shared" si="35"/>
        <v>910.95502990079615</v>
      </c>
      <c r="BI79" s="1605">
        <f t="shared" si="36"/>
        <v>446.80677050108471</v>
      </c>
      <c r="BJ79" s="1606">
        <f t="shared" si="37"/>
        <v>460.6642073070343</v>
      </c>
      <c r="BK79" s="1607">
        <f t="shared" si="38"/>
        <v>3.484052092677187</v>
      </c>
      <c r="BL79" s="1606">
        <f t="shared" si="39"/>
        <v>910.95502990079615</v>
      </c>
      <c r="BM79" s="1608">
        <v>0</v>
      </c>
      <c r="BN79" s="1609">
        <f t="shared" si="40"/>
        <v>910.95502990079615</v>
      </c>
    </row>
    <row r="80" spans="1:66">
      <c r="A80" s="819">
        <f>'Input data'!A110</f>
        <v>2010</v>
      </c>
      <c r="B80" s="867">
        <f>'Input data'!B110</f>
        <v>49.87</v>
      </c>
      <c r="C80" s="867">
        <f>'Baseline data (from input)'!B66</f>
        <v>559.42164173673609</v>
      </c>
      <c r="D80" s="868">
        <f>'Baseline data (from input)'!T66</f>
        <v>0.75808980601378384</v>
      </c>
      <c r="E80" s="868">
        <f t="shared" si="46"/>
        <v>0.24001298204245269</v>
      </c>
      <c r="F80" s="868">
        <f t="shared" si="46"/>
        <v>0.30440139352934503</v>
      </c>
      <c r="G80" s="868">
        <f t="shared" si="46"/>
        <v>5.8998240613430578E-2</v>
      </c>
      <c r="H80" s="868">
        <f t="shared" si="46"/>
        <v>0</v>
      </c>
      <c r="I80" s="868">
        <f t="shared" si="46"/>
        <v>0</v>
      </c>
      <c r="J80" s="868">
        <f t="shared" si="46"/>
        <v>0</v>
      </c>
      <c r="K80" s="868">
        <f t="shared" si="46"/>
        <v>0.39658738381477154</v>
      </c>
      <c r="L80" s="875">
        <f t="shared" si="42"/>
        <v>0.99999999999999989</v>
      </c>
      <c r="N80" s="891">
        <f t="shared" si="1"/>
        <v>21149.460253503403</v>
      </c>
      <c r="O80" s="885">
        <f>Parameters!R181</f>
        <v>0.73</v>
      </c>
      <c r="P80" s="885">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884">
        <f t="shared" si="2"/>
        <v>930.06349568814494</v>
      </c>
      <c r="R80" s="884">
        <f t="shared" si="3"/>
        <v>930.06349568814494</v>
      </c>
      <c r="S80" s="886">
        <f t="shared" si="4"/>
        <v>0</v>
      </c>
      <c r="T80" s="884">
        <f t="shared" si="5"/>
        <v>14319.615653351433</v>
      </c>
      <c r="U80" s="884">
        <f t="shared" si="6"/>
        <v>686.49701910735507</v>
      </c>
      <c r="V80" s="897">
        <f t="shared" si="7"/>
        <v>457.66467940490338</v>
      </c>
      <c r="W80" s="1456">
        <f t="shared" si="50"/>
        <v>4.4634268694979357E-2</v>
      </c>
      <c r="X80" s="891">
        <f>'Baseline data (from input)'!AS66*W80</f>
        <v>2765.2915387146099</v>
      </c>
      <c r="Y80" s="885">
        <f>Parameters!S181</f>
        <v>0.71500000000000008</v>
      </c>
      <c r="Z80" s="885">
        <f t="shared" si="9"/>
        <v>0.4</v>
      </c>
      <c r="AA80" s="884">
        <f t="shared" si="10"/>
        <v>395.4366900361893</v>
      </c>
      <c r="AB80" s="884">
        <f t="shared" si="11"/>
        <v>395.4366900361893</v>
      </c>
      <c r="AC80" s="886">
        <f t="shared" si="12"/>
        <v>0</v>
      </c>
      <c r="AD80" s="884">
        <f t="shared" si="13"/>
        <v>13679.01697549752</v>
      </c>
      <c r="AE80" s="884">
        <f t="shared" si="14"/>
        <v>681.06372503454065</v>
      </c>
      <c r="AF80" s="897">
        <f t="shared" si="15"/>
        <v>454.04248335636044</v>
      </c>
      <c r="AG80" s="1460">
        <f t="shared" si="51"/>
        <v>4.4634268694979357E-2</v>
      </c>
      <c r="AH80" s="891">
        <f>'Baseline data (from input)'!AS66*AG80</f>
        <v>2765.2915387146099</v>
      </c>
      <c r="AI80" s="885">
        <f>Parameters!S181</f>
        <v>0.71500000000000008</v>
      </c>
      <c r="AJ80" s="885">
        <f t="shared" si="17"/>
        <v>0.4</v>
      </c>
      <c r="AK80" s="884">
        <f t="shared" si="18"/>
        <v>395.4366900361893</v>
      </c>
      <c r="AL80" s="884">
        <f t="shared" si="19"/>
        <v>395.4366900361893</v>
      </c>
      <c r="AM80" s="886">
        <f t="shared" si="20"/>
        <v>0</v>
      </c>
      <c r="AN80" s="884">
        <f t="shared" si="21"/>
        <v>13679.01697549752</v>
      </c>
      <c r="AO80" s="884">
        <f t="shared" si="22"/>
        <v>681.06372503454065</v>
      </c>
      <c r="AP80" s="897">
        <f t="shared" si="23"/>
        <v>454.04248335636044</v>
      </c>
      <c r="AR80" s="899">
        <v>501</v>
      </c>
      <c r="AS80" s="885">
        <v>1</v>
      </c>
      <c r="AT80" s="885">
        <f t="shared" si="24"/>
        <v>0.05</v>
      </c>
      <c r="AU80" s="884">
        <f t="shared" si="25"/>
        <v>12.525</v>
      </c>
      <c r="AV80" s="884">
        <f t="shared" si="26"/>
        <v>12.525</v>
      </c>
      <c r="AW80" s="886">
        <f t="shared" si="27"/>
        <v>0</v>
      </c>
      <c r="AX80" s="884">
        <f t="shared" si="44"/>
        <v>103.91325781250549</v>
      </c>
      <c r="AY80" s="884">
        <f t="shared" si="49"/>
        <v>5.6511342579223198</v>
      </c>
      <c r="AZ80" s="900">
        <f t="shared" si="47"/>
        <v>3.76742283861488</v>
      </c>
      <c r="BB80" s="1605">
        <f t="shared" si="31"/>
        <v>457.66467940490338</v>
      </c>
      <c r="BC80" s="1606">
        <f t="shared" si="32"/>
        <v>454.04248335636044</v>
      </c>
      <c r="BD80" s="1607">
        <f t="shared" si="48"/>
        <v>3.76742283861488</v>
      </c>
      <c r="BE80" s="1606">
        <f t="shared" si="34"/>
        <v>915.47458559987865</v>
      </c>
      <c r="BF80" s="1608">
        <v>0</v>
      </c>
      <c r="BG80" s="1609">
        <f t="shared" si="35"/>
        <v>915.47458559987865</v>
      </c>
      <c r="BI80" s="1605">
        <f t="shared" si="36"/>
        <v>457.66467940490338</v>
      </c>
      <c r="BJ80" s="1606">
        <f t="shared" si="37"/>
        <v>454.04248335636044</v>
      </c>
      <c r="BK80" s="1607">
        <f t="shared" si="38"/>
        <v>3.76742283861488</v>
      </c>
      <c r="BL80" s="1606">
        <f t="shared" si="39"/>
        <v>915.47458559987865</v>
      </c>
      <c r="BM80" s="1608">
        <v>0</v>
      </c>
      <c r="BN80" s="1609">
        <f t="shared" si="40"/>
        <v>915.47458559987865</v>
      </c>
    </row>
    <row r="81" spans="1:66">
      <c r="A81" s="819">
        <f>'Input data'!A111</f>
        <v>2011</v>
      </c>
      <c r="B81" s="867">
        <f>'Input data'!B111</f>
        <v>51.771000000000001</v>
      </c>
      <c r="C81" s="867">
        <f>'Baseline data (from input)'!B67</f>
        <v>540.11328347347217</v>
      </c>
      <c r="D81" s="868">
        <f>'Baseline data (from input)'!T67</f>
        <v>0.71617961202756764</v>
      </c>
      <c r="E81" s="868">
        <f t="shared" si="46"/>
        <v>0.24001298204245269</v>
      </c>
      <c r="F81" s="868">
        <f t="shared" si="46"/>
        <v>0.30440139352934503</v>
      </c>
      <c r="G81" s="868">
        <f t="shared" si="46"/>
        <v>5.8998240613430578E-2</v>
      </c>
      <c r="H81" s="868">
        <f t="shared" si="46"/>
        <v>0</v>
      </c>
      <c r="I81" s="868">
        <f t="shared" si="46"/>
        <v>0</v>
      </c>
      <c r="J81" s="868">
        <f t="shared" si="46"/>
        <v>0</v>
      </c>
      <c r="K81" s="868">
        <f t="shared" si="46"/>
        <v>0.39658738381477154</v>
      </c>
      <c r="L81" s="875">
        <f t="shared" si="42"/>
        <v>0.99999999999999989</v>
      </c>
      <c r="N81" s="891">
        <f t="shared" si="1"/>
        <v>20025.960984172027</v>
      </c>
      <c r="O81" s="885">
        <f>Parameters!R182</f>
        <v>0.73</v>
      </c>
      <c r="P81" s="885">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884">
        <f t="shared" si="2"/>
        <v>880.65676637625506</v>
      </c>
      <c r="R81" s="884">
        <f t="shared" si="3"/>
        <v>880.65676637625506</v>
      </c>
      <c r="S81" s="886">
        <f t="shared" si="4"/>
        <v>0</v>
      </c>
      <c r="T81" s="884">
        <f t="shared" si="5"/>
        <v>14501.896523385154</v>
      </c>
      <c r="U81" s="884">
        <f t="shared" si="6"/>
        <v>698.37589634253345</v>
      </c>
      <c r="V81" s="897">
        <f t="shared" si="7"/>
        <v>465.58393089502232</v>
      </c>
      <c r="W81" s="1456">
        <f t="shared" si="50"/>
        <v>3.3303694900625028E-2</v>
      </c>
      <c r="X81" s="891">
        <f>'Baseline data (from input)'!AS67*W81</f>
        <v>2103.8640096556378</v>
      </c>
      <c r="Y81" s="885">
        <f>Parameters!S182</f>
        <v>0.71500000000000008</v>
      </c>
      <c r="Z81" s="885">
        <f t="shared" si="9"/>
        <v>0.4</v>
      </c>
      <c r="AA81" s="884">
        <f t="shared" si="10"/>
        <v>300.85255338075626</v>
      </c>
      <c r="AB81" s="884">
        <f t="shared" si="11"/>
        <v>300.85255338075626</v>
      </c>
      <c r="AC81" s="886">
        <f t="shared" si="12"/>
        <v>0</v>
      </c>
      <c r="AD81" s="884">
        <f t="shared" si="13"/>
        <v>13312.735998718759</v>
      </c>
      <c r="AE81" s="884">
        <f t="shared" si="14"/>
        <v>667.13353015951634</v>
      </c>
      <c r="AF81" s="897">
        <f t="shared" si="15"/>
        <v>444.75568677301089</v>
      </c>
      <c r="AG81" s="1460">
        <f t="shared" si="51"/>
        <v>3.3303694900625028E-2</v>
      </c>
      <c r="AH81" s="891">
        <f>'Baseline data (from input)'!AS67*AG81</f>
        <v>2103.8640096556378</v>
      </c>
      <c r="AI81" s="885">
        <f>Parameters!S182</f>
        <v>0.71500000000000008</v>
      </c>
      <c r="AJ81" s="885">
        <f t="shared" si="17"/>
        <v>0.4</v>
      </c>
      <c r="AK81" s="884">
        <f t="shared" si="18"/>
        <v>300.85255338075626</v>
      </c>
      <c r="AL81" s="884">
        <f t="shared" si="19"/>
        <v>300.85255338075626</v>
      </c>
      <c r="AM81" s="886">
        <f t="shared" si="20"/>
        <v>0</v>
      </c>
      <c r="AN81" s="884">
        <f t="shared" si="21"/>
        <v>13312.735998718759</v>
      </c>
      <c r="AO81" s="884">
        <f t="shared" si="22"/>
        <v>667.13353015951634</v>
      </c>
      <c r="AP81" s="897">
        <f t="shared" si="23"/>
        <v>444.75568677301089</v>
      </c>
      <c r="AR81" s="899">
        <v>501</v>
      </c>
      <c r="AS81" s="885">
        <v>1</v>
      </c>
      <c r="AT81" s="885">
        <f t="shared" si="24"/>
        <v>0.05</v>
      </c>
      <c r="AU81" s="884">
        <f t="shared" si="25"/>
        <v>12.525</v>
      </c>
      <c r="AV81" s="884">
        <f t="shared" si="26"/>
        <v>12.525</v>
      </c>
      <c r="AW81" s="886">
        <f t="shared" si="27"/>
        <v>0</v>
      </c>
      <c r="AX81" s="884">
        <f t="shared" si="44"/>
        <v>110.38682077701402</v>
      </c>
      <c r="AY81" s="884">
        <f t="shared" si="49"/>
        <v>6.0514370354914675</v>
      </c>
      <c r="AZ81" s="900">
        <f t="shared" si="47"/>
        <v>4.034291356994312</v>
      </c>
      <c r="BB81" s="1605">
        <f t="shared" si="31"/>
        <v>465.58393089502232</v>
      </c>
      <c r="BC81" s="1606">
        <f t="shared" si="32"/>
        <v>444.75568677301089</v>
      </c>
      <c r="BD81" s="1607">
        <f t="shared" si="48"/>
        <v>4.034291356994312</v>
      </c>
      <c r="BE81" s="1606">
        <f t="shared" si="34"/>
        <v>914.37390902502761</v>
      </c>
      <c r="BF81" s="1608">
        <v>0</v>
      </c>
      <c r="BG81" s="1609">
        <f t="shared" si="35"/>
        <v>914.37390902502761</v>
      </c>
      <c r="BI81" s="1605">
        <f t="shared" si="36"/>
        <v>465.58393089502232</v>
      </c>
      <c r="BJ81" s="1606">
        <f t="shared" si="37"/>
        <v>444.75568677301089</v>
      </c>
      <c r="BK81" s="1607">
        <f t="shared" si="38"/>
        <v>4.034291356994312</v>
      </c>
      <c r="BL81" s="1606">
        <f t="shared" si="39"/>
        <v>914.37390902502761</v>
      </c>
      <c r="BM81" s="1608">
        <v>0</v>
      </c>
      <c r="BN81" s="1609">
        <f t="shared" si="40"/>
        <v>914.37390902502761</v>
      </c>
    </row>
    <row r="82" spans="1:66">
      <c r="A82" s="819">
        <f>'Input data'!A112</f>
        <v>2012</v>
      </c>
      <c r="B82" s="867">
        <f>'Input data'!B112</f>
        <v>52.325432882070082</v>
      </c>
      <c r="C82" s="867">
        <f>'Baseline data (from input)'!B68</f>
        <v>520.80492521020824</v>
      </c>
      <c r="D82" s="868">
        <f>'Baseline data (from input)'!T68</f>
        <v>0.67426941804135143</v>
      </c>
      <c r="E82" s="868">
        <f t="shared" si="46"/>
        <v>0.24001298204245269</v>
      </c>
      <c r="F82" s="868">
        <f t="shared" si="46"/>
        <v>0.30440139352934503</v>
      </c>
      <c r="G82" s="868">
        <f t="shared" si="46"/>
        <v>5.8998240613430578E-2</v>
      </c>
      <c r="H82" s="868">
        <f t="shared" si="46"/>
        <v>0</v>
      </c>
      <c r="I82" s="868">
        <f t="shared" si="46"/>
        <v>0</v>
      </c>
      <c r="J82" s="868">
        <f t="shared" si="46"/>
        <v>0</v>
      </c>
      <c r="K82" s="868">
        <f t="shared" si="46"/>
        <v>0.39658738381477154</v>
      </c>
      <c r="L82" s="875">
        <f t="shared" si="42"/>
        <v>0.99999999999999989</v>
      </c>
      <c r="N82" s="891">
        <f t="shared" si="1"/>
        <v>18374.747292487624</v>
      </c>
      <c r="O82" s="885">
        <f>Parameters!R183</f>
        <v>0.73</v>
      </c>
      <c r="P82" s="885">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884">
        <f t="shared" si="2"/>
        <v>808.04339658769368</v>
      </c>
      <c r="R82" s="884">
        <f t="shared" si="3"/>
        <v>808.04339658769368</v>
      </c>
      <c r="S82" s="886">
        <f t="shared" si="4"/>
        <v>0</v>
      </c>
      <c r="T82" s="884">
        <f t="shared" si="5"/>
        <v>14602.674080696259</v>
      </c>
      <c r="U82" s="884">
        <f t="shared" si="6"/>
        <v>707.26583927658862</v>
      </c>
      <c r="V82" s="897">
        <f t="shared" si="7"/>
        <v>471.51055951772577</v>
      </c>
      <c r="W82" s="1457">
        <f>D13</f>
        <v>2.197312110627072E-2</v>
      </c>
      <c r="X82" s="891">
        <f>'Baseline data (from input)'!AS68*W82</f>
        <v>1400.460841636607</v>
      </c>
      <c r="Y82" s="885">
        <f>Parameters!S183</f>
        <v>0.71500000000000008</v>
      </c>
      <c r="Z82" s="885">
        <f t="shared" si="9"/>
        <v>0.4</v>
      </c>
      <c r="AA82" s="884">
        <f t="shared" si="10"/>
        <v>200.26590035403484</v>
      </c>
      <c r="AB82" s="884">
        <f t="shared" si="11"/>
        <v>200.26590035403484</v>
      </c>
      <c r="AC82" s="886">
        <f t="shared" si="12"/>
        <v>0</v>
      </c>
      <c r="AD82" s="884">
        <f t="shared" si="13"/>
        <v>12863.73210294522</v>
      </c>
      <c r="AE82" s="884">
        <f t="shared" si="14"/>
        <v>649.26979612757566</v>
      </c>
      <c r="AF82" s="897">
        <f t="shared" si="15"/>
        <v>432.84653075171713</v>
      </c>
      <c r="AG82" s="1461">
        <f>$D$13</f>
        <v>2.197312110627072E-2</v>
      </c>
      <c r="AH82" s="891">
        <f>'Baseline data (from input)'!AS68*AG82</f>
        <v>1400.460841636607</v>
      </c>
      <c r="AI82" s="885">
        <f>Parameters!S183</f>
        <v>0.71500000000000008</v>
      </c>
      <c r="AJ82" s="885">
        <f t="shared" si="17"/>
        <v>0.4</v>
      </c>
      <c r="AK82" s="884">
        <f t="shared" si="18"/>
        <v>200.26590035403484</v>
      </c>
      <c r="AL82" s="884">
        <f t="shared" si="19"/>
        <v>200.26590035403484</v>
      </c>
      <c r="AM82" s="886">
        <f t="shared" si="20"/>
        <v>0</v>
      </c>
      <c r="AN82" s="884">
        <f t="shared" si="21"/>
        <v>12863.73210294522</v>
      </c>
      <c r="AO82" s="884">
        <f t="shared" si="22"/>
        <v>649.26979612757566</v>
      </c>
      <c r="AP82" s="897">
        <f t="shared" si="23"/>
        <v>432.84653075171713</v>
      </c>
      <c r="AR82" s="899">
        <v>501</v>
      </c>
      <c r="AS82" s="885">
        <v>1</v>
      </c>
      <c r="AT82" s="885">
        <f t="shared" si="24"/>
        <v>0.05</v>
      </c>
      <c r="AU82" s="884">
        <f t="shared" si="25"/>
        <v>12.525</v>
      </c>
      <c r="AV82" s="884">
        <f t="shared" si="26"/>
        <v>12.525</v>
      </c>
      <c r="AW82" s="886">
        <f t="shared" si="27"/>
        <v>0</v>
      </c>
      <c r="AX82" s="884">
        <f t="shared" si="44"/>
        <v>116.48339278291267</v>
      </c>
      <c r="AY82" s="884">
        <f t="shared" si="49"/>
        <v>6.428427994101356</v>
      </c>
      <c r="AZ82" s="900">
        <f t="shared" si="47"/>
        <v>4.2856186627342376</v>
      </c>
      <c r="BB82" s="1605">
        <f t="shared" si="31"/>
        <v>471.51055951772577</v>
      </c>
      <c r="BC82" s="1606">
        <f t="shared" si="32"/>
        <v>432.84653075171713</v>
      </c>
      <c r="BD82" s="1607">
        <f t="shared" si="48"/>
        <v>4.2856186627342376</v>
      </c>
      <c r="BE82" s="1606">
        <f t="shared" si="34"/>
        <v>908.64270893217713</v>
      </c>
      <c r="BF82" s="1608">
        <v>0</v>
      </c>
      <c r="BG82" s="1609">
        <f t="shared" si="35"/>
        <v>908.64270893217713</v>
      </c>
      <c r="BI82" s="1605">
        <f t="shared" si="36"/>
        <v>471.51055951772577</v>
      </c>
      <c r="BJ82" s="1606">
        <f t="shared" si="37"/>
        <v>432.84653075171713</v>
      </c>
      <c r="BK82" s="1607">
        <f t="shared" si="38"/>
        <v>4.2856186627342376</v>
      </c>
      <c r="BL82" s="1606">
        <f t="shared" si="39"/>
        <v>908.64270893217713</v>
      </c>
      <c r="BM82" s="1608">
        <v>0</v>
      </c>
      <c r="BN82" s="1609">
        <f t="shared" si="40"/>
        <v>908.64270893217713</v>
      </c>
    </row>
    <row r="83" spans="1:66">
      <c r="A83" s="819">
        <f>'Input data'!A113</f>
        <v>2013</v>
      </c>
      <c r="B83" s="867">
        <f>'Input data'!B113</f>
        <v>53.104386458423342</v>
      </c>
      <c r="C83" s="867">
        <f>'Baseline data (from input)'!B69</f>
        <v>501.49656694694431</v>
      </c>
      <c r="D83" s="868">
        <f>'Baseline data (from input)'!T69</f>
        <v>0.63235922405513523</v>
      </c>
      <c r="E83" s="868">
        <f t="shared" si="46"/>
        <v>0.24001298204245269</v>
      </c>
      <c r="F83" s="868">
        <f t="shared" si="46"/>
        <v>0.30440139352934503</v>
      </c>
      <c r="G83" s="868">
        <f t="shared" si="46"/>
        <v>5.8998240613430578E-2</v>
      </c>
      <c r="H83" s="868">
        <f t="shared" si="46"/>
        <v>0</v>
      </c>
      <c r="I83" s="868">
        <f t="shared" si="46"/>
        <v>0</v>
      </c>
      <c r="J83" s="868">
        <f t="shared" si="46"/>
        <v>0</v>
      </c>
      <c r="K83" s="868">
        <f t="shared" si="46"/>
        <v>0.39658738381477154</v>
      </c>
      <c r="L83" s="875">
        <f t="shared" si="42"/>
        <v>0.99999999999999989</v>
      </c>
      <c r="N83" s="891">
        <f t="shared" si="1"/>
        <v>16840.780594786906</v>
      </c>
      <c r="O83" s="885">
        <f>Parameters!R184</f>
        <v>0.73</v>
      </c>
      <c r="P83" s="885">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884">
        <f t="shared" si="2"/>
        <v>740.58605195421069</v>
      </c>
      <c r="R83" s="884">
        <f t="shared" si="3"/>
        <v>740.58605195421069</v>
      </c>
      <c r="S83" s="886">
        <f t="shared" si="4"/>
        <v>0</v>
      </c>
      <c r="T83" s="884">
        <f t="shared" si="5"/>
        <v>14631.079313906406</v>
      </c>
      <c r="U83" s="884">
        <f t="shared" si="6"/>
        <v>712.18081874406346</v>
      </c>
      <c r="V83" s="897">
        <f t="shared" si="7"/>
        <v>474.78721249604229</v>
      </c>
      <c r="W83" s="1457">
        <f>W82</f>
        <v>2.197312110627072E-2</v>
      </c>
      <c r="X83" s="891">
        <f>'Baseline data (from input)'!AS69*W83</f>
        <v>1433.3081640211221</v>
      </c>
      <c r="Y83" s="885">
        <f>Parameters!S184</f>
        <v>0.71500000000000008</v>
      </c>
      <c r="Z83" s="885">
        <f t="shared" si="9"/>
        <v>0.4</v>
      </c>
      <c r="AA83" s="884">
        <f t="shared" si="10"/>
        <v>204.96306745502051</v>
      </c>
      <c r="AB83" s="884">
        <f t="shared" si="11"/>
        <v>204.96306745502051</v>
      </c>
      <c r="AC83" s="886">
        <f t="shared" si="12"/>
        <v>0</v>
      </c>
      <c r="AD83" s="884">
        <f t="shared" si="13"/>
        <v>12441.323552670961</v>
      </c>
      <c r="AE83" s="884">
        <f t="shared" si="14"/>
        <v>627.37161772927868</v>
      </c>
      <c r="AF83" s="897">
        <f t="shared" si="15"/>
        <v>418.24774515285247</v>
      </c>
      <c r="AG83" s="1461">
        <f>AG82</f>
        <v>2.197312110627072E-2</v>
      </c>
      <c r="AH83" s="891">
        <f>'Baseline data (from input)'!AS69*AG83</f>
        <v>1433.3081640211221</v>
      </c>
      <c r="AI83" s="885">
        <f>Parameters!S184</f>
        <v>0.71500000000000008</v>
      </c>
      <c r="AJ83" s="885">
        <f t="shared" si="17"/>
        <v>0.4</v>
      </c>
      <c r="AK83" s="884">
        <f t="shared" si="18"/>
        <v>204.96306745502051</v>
      </c>
      <c r="AL83" s="884">
        <f t="shared" si="19"/>
        <v>204.96306745502051</v>
      </c>
      <c r="AM83" s="886">
        <f t="shared" si="20"/>
        <v>0</v>
      </c>
      <c r="AN83" s="884">
        <f t="shared" si="21"/>
        <v>12441.323552670961</v>
      </c>
      <c r="AO83" s="884">
        <f t="shared" si="22"/>
        <v>627.37161772927868</v>
      </c>
      <c r="AP83" s="897">
        <f t="shared" si="23"/>
        <v>418.24774515285247</v>
      </c>
      <c r="AR83" s="899">
        <v>501</v>
      </c>
      <c r="AS83" s="885">
        <v>1</v>
      </c>
      <c r="AT83" s="885">
        <f t="shared" si="24"/>
        <v>0.05</v>
      </c>
      <c r="AU83" s="884">
        <f t="shared" si="25"/>
        <v>12.525</v>
      </c>
      <c r="AV83" s="884">
        <f t="shared" si="26"/>
        <v>12.525</v>
      </c>
      <c r="AW83" s="886">
        <f t="shared" si="27"/>
        <v>0</v>
      </c>
      <c r="AX83" s="884">
        <f t="shared" si="44"/>
        <v>122.2249280745106</v>
      </c>
      <c r="AY83" s="884">
        <f t="shared" si="49"/>
        <v>6.783464708402076</v>
      </c>
      <c r="AZ83" s="900">
        <f t="shared" si="47"/>
        <v>4.5223098056013837</v>
      </c>
      <c r="BB83" s="1605">
        <f t="shared" si="31"/>
        <v>474.78721249604229</v>
      </c>
      <c r="BC83" s="1606">
        <f t="shared" si="32"/>
        <v>418.24774515285247</v>
      </c>
      <c r="BD83" s="1607">
        <f t="shared" si="48"/>
        <v>4.5223098056013837</v>
      </c>
      <c r="BE83" s="1606">
        <f t="shared" si="34"/>
        <v>897.55726745449613</v>
      </c>
      <c r="BF83" s="1608">
        <v>0</v>
      </c>
      <c r="BG83" s="1609">
        <f t="shared" si="35"/>
        <v>897.55726745449613</v>
      </c>
      <c r="BI83" s="1605">
        <f t="shared" si="36"/>
        <v>474.78721249604229</v>
      </c>
      <c r="BJ83" s="1606">
        <f t="shared" si="37"/>
        <v>418.24774515285247</v>
      </c>
      <c r="BK83" s="1607">
        <f t="shared" si="38"/>
        <v>4.5223098056013837</v>
      </c>
      <c r="BL83" s="1606">
        <f t="shared" si="39"/>
        <v>897.55726745449613</v>
      </c>
      <c r="BM83" s="1608">
        <v>0</v>
      </c>
      <c r="BN83" s="1609">
        <f t="shared" si="40"/>
        <v>897.55726745449613</v>
      </c>
    </row>
    <row r="84" spans="1:66">
      <c r="A84" s="819">
        <f>'Input data'!A114</f>
        <v>2014</v>
      </c>
      <c r="B84" s="867">
        <f>'Input data'!B114</f>
        <v>53.912365691429272</v>
      </c>
      <c r="C84" s="867">
        <f>'Baseline data (from input)'!B70</f>
        <v>482.18820868368039</v>
      </c>
      <c r="D84" s="868">
        <f>'Baseline data (from input)'!T70</f>
        <v>0.59044903006891902</v>
      </c>
      <c r="E84" s="868">
        <f t="shared" si="46"/>
        <v>0.24001298204245269</v>
      </c>
      <c r="F84" s="868">
        <f t="shared" si="46"/>
        <v>0.30440139352934503</v>
      </c>
      <c r="G84" s="868">
        <f t="shared" si="46"/>
        <v>5.8998240613430578E-2</v>
      </c>
      <c r="H84" s="868">
        <f t="shared" si="46"/>
        <v>0</v>
      </c>
      <c r="I84" s="868">
        <f t="shared" si="46"/>
        <v>0</v>
      </c>
      <c r="J84" s="868">
        <f t="shared" si="46"/>
        <v>0</v>
      </c>
      <c r="K84" s="868">
        <f t="shared" si="46"/>
        <v>0.39658738381477154</v>
      </c>
      <c r="L84" s="875">
        <f t="shared" si="42"/>
        <v>0.99999999999999989</v>
      </c>
      <c r="N84" s="891">
        <f t="shared" si="1"/>
        <v>15349.258096732552</v>
      </c>
      <c r="O84" s="885">
        <f>Parameters!R185</f>
        <v>0.73</v>
      </c>
      <c r="P84" s="885">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884">
        <f t="shared" si="2"/>
        <v>674.9952230720337</v>
      </c>
      <c r="R84" s="884">
        <f t="shared" si="3"/>
        <v>674.9952230720337</v>
      </c>
      <c r="S84" s="886">
        <f t="shared" si="4"/>
        <v>0</v>
      </c>
      <c r="T84" s="884">
        <f t="shared" si="5"/>
        <v>14592.508378663526</v>
      </c>
      <c r="U84" s="884">
        <f t="shared" si="6"/>
        <v>713.56615831491376</v>
      </c>
      <c r="V84" s="897">
        <f t="shared" si="7"/>
        <v>475.71077220994249</v>
      </c>
      <c r="W84" s="1457">
        <f t="shared" ref="W84:W87" si="52">W83</f>
        <v>2.197312110627072E-2</v>
      </c>
      <c r="X84" s="891">
        <f>'Baseline data (from input)'!AS70*W84</f>
        <v>1458.0956603669374</v>
      </c>
      <c r="Y84" s="885">
        <f>Parameters!S185</f>
        <v>0.71500000000000008</v>
      </c>
      <c r="Z84" s="885">
        <f t="shared" si="9"/>
        <v>0.4</v>
      </c>
      <c r="AA84" s="884">
        <f t="shared" si="10"/>
        <v>208.50767943247209</v>
      </c>
      <c r="AB84" s="884">
        <f t="shared" si="11"/>
        <v>208.50767943247209</v>
      </c>
      <c r="AC84" s="886">
        <f t="shared" si="12"/>
        <v>0</v>
      </c>
      <c r="AD84" s="884">
        <f t="shared" si="13"/>
        <v>12043.060722466849</v>
      </c>
      <c r="AE84" s="884">
        <f t="shared" si="14"/>
        <v>606.77050963658405</v>
      </c>
      <c r="AF84" s="897">
        <f t="shared" si="15"/>
        <v>404.51367309105603</v>
      </c>
      <c r="AG84" s="1461">
        <f t="shared" ref="AG84:AG87" si="53">AG83</f>
        <v>2.197312110627072E-2</v>
      </c>
      <c r="AH84" s="891">
        <f>'Baseline data (from input)'!AS70*AG84</f>
        <v>1458.0956603669374</v>
      </c>
      <c r="AI84" s="885">
        <f>Parameters!S185</f>
        <v>0.71500000000000008</v>
      </c>
      <c r="AJ84" s="885">
        <f t="shared" si="17"/>
        <v>0.4</v>
      </c>
      <c r="AK84" s="884">
        <f t="shared" si="18"/>
        <v>208.50767943247209</v>
      </c>
      <c r="AL84" s="884">
        <f t="shared" si="19"/>
        <v>208.50767943247209</v>
      </c>
      <c r="AM84" s="886">
        <f t="shared" si="20"/>
        <v>0</v>
      </c>
      <c r="AN84" s="884">
        <f t="shared" si="21"/>
        <v>12043.060722466849</v>
      </c>
      <c r="AO84" s="884">
        <f t="shared" si="22"/>
        <v>606.77050963658405</v>
      </c>
      <c r="AP84" s="897">
        <f t="shared" si="23"/>
        <v>404.51367309105603</v>
      </c>
      <c r="AR84" s="899">
        <v>501</v>
      </c>
      <c r="AS84" s="885">
        <v>1</v>
      </c>
      <c r="AT84" s="885">
        <f t="shared" si="24"/>
        <v>0.05</v>
      </c>
      <c r="AU84" s="884">
        <f t="shared" si="25"/>
        <v>12.525</v>
      </c>
      <c r="AV84" s="884">
        <f t="shared" si="26"/>
        <v>12.525</v>
      </c>
      <c r="AW84" s="886">
        <f t="shared" si="27"/>
        <v>0</v>
      </c>
      <c r="AX84" s="884">
        <f t="shared" si="44"/>
        <v>127.63210238045983</v>
      </c>
      <c r="AY84" s="884">
        <f t="shared" si="49"/>
        <v>7.1178256940507776</v>
      </c>
      <c r="AZ84" s="900">
        <f t="shared" si="47"/>
        <v>4.7452171293671848</v>
      </c>
      <c r="BB84" s="1605">
        <f t="shared" si="31"/>
        <v>475.71077220994249</v>
      </c>
      <c r="BC84" s="1606">
        <f t="shared" si="32"/>
        <v>404.51367309105603</v>
      </c>
      <c r="BD84" s="1607">
        <f t="shared" si="48"/>
        <v>4.7452171293671848</v>
      </c>
      <c r="BE84" s="1606">
        <f t="shared" ref="BE84:BE120" si="54">SUM(BB84:BD84)</f>
        <v>884.9696624303657</v>
      </c>
      <c r="BF84" s="1608">
        <v>0</v>
      </c>
      <c r="BG84" s="1609">
        <f t="shared" si="35"/>
        <v>884.9696624303657</v>
      </c>
      <c r="BI84" s="1605">
        <f t="shared" si="36"/>
        <v>475.71077220994249</v>
      </c>
      <c r="BJ84" s="1606">
        <f t="shared" si="37"/>
        <v>404.51367309105603</v>
      </c>
      <c r="BK84" s="1607">
        <f t="shared" si="38"/>
        <v>4.7452171293671848</v>
      </c>
      <c r="BL84" s="1606">
        <f t="shared" ref="BL84:BL120" si="55">SUM(BI84:BK84)</f>
        <v>884.9696624303657</v>
      </c>
      <c r="BM84" s="1608">
        <v>0</v>
      </c>
      <c r="BN84" s="1609">
        <f t="shared" si="40"/>
        <v>884.9696624303657</v>
      </c>
    </row>
    <row r="85" spans="1:66">
      <c r="A85" s="819">
        <f>'Input data'!A115</f>
        <v>2015</v>
      </c>
      <c r="B85" s="867">
        <f>'Input data'!B115</f>
        <v>54.750491457321111</v>
      </c>
      <c r="C85" s="867">
        <f>'Baseline data (from input)'!B71</f>
        <v>462.87985042041646</v>
      </c>
      <c r="D85" s="868">
        <f>'Baseline data (from input)'!T71</f>
        <v>0.54853883608270282</v>
      </c>
      <c r="E85" s="868">
        <f t="shared" si="46"/>
        <v>0.24001298204245269</v>
      </c>
      <c r="F85" s="868">
        <f t="shared" si="46"/>
        <v>0.30440139352934503</v>
      </c>
      <c r="G85" s="868">
        <f t="shared" si="46"/>
        <v>5.8998240613430578E-2</v>
      </c>
      <c r="H85" s="868">
        <f t="shared" si="46"/>
        <v>0</v>
      </c>
      <c r="I85" s="868">
        <f t="shared" si="46"/>
        <v>0</v>
      </c>
      <c r="J85" s="868">
        <f t="shared" si="46"/>
        <v>0</v>
      </c>
      <c r="K85" s="868">
        <f t="shared" si="46"/>
        <v>0.39658738381477154</v>
      </c>
      <c r="L85" s="875">
        <f t="shared" si="42"/>
        <v>0.99999999999999989</v>
      </c>
      <c r="N85" s="891">
        <f t="shared" ref="N85:N120" si="56">B85*C85*D85</f>
        <v>13901.564482903679</v>
      </c>
      <c r="O85" s="885">
        <f>Parameters!R186</f>
        <v>0.73</v>
      </c>
      <c r="P85" s="885">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884">
        <f t="shared" ref="Q85:Q120" si="57">N85*P85*O85*$C$4</f>
        <v>611.33180249183022</v>
      </c>
      <c r="R85" s="884">
        <f t="shared" ref="R85:R120" si="58">Q85*$C$10</f>
        <v>611.33180249183022</v>
      </c>
      <c r="S85" s="886">
        <f t="shared" ref="S85:S120" si="59">Q85*(1-$C$10)</f>
        <v>0</v>
      </c>
      <c r="T85" s="884">
        <f t="shared" ref="T85:T115" si="60">R85+(T84*$C$8)</f>
        <v>14492.155149549782</v>
      </c>
      <c r="U85" s="884">
        <f t="shared" ref="U85:U120" si="61">S85+T84*(1-$C$8)</f>
        <v>711.68503160557282</v>
      </c>
      <c r="V85" s="897">
        <f t="shared" ref="V85:V120" si="62">U85*16/12*$C$11</f>
        <v>474.45668773704853</v>
      </c>
      <c r="W85" s="1457">
        <f t="shared" si="52"/>
        <v>2.197312110627072E-2</v>
      </c>
      <c r="X85" s="891">
        <f>'Baseline data (from input)'!AS71*W85</f>
        <v>1471.284431810355</v>
      </c>
      <c r="Y85" s="885">
        <f>Parameters!S186</f>
        <v>0.71500000000000008</v>
      </c>
      <c r="Z85" s="885">
        <f t="shared" ref="Z85:Z120" si="63">$D$3</f>
        <v>0.4</v>
      </c>
      <c r="AA85" s="884">
        <f t="shared" ref="AA85:AA120" si="64">X85*Z85*Y85*$D$4</f>
        <v>210.39367374888081</v>
      </c>
      <c r="AB85" s="884">
        <f t="shared" ref="AB85:AB120" si="65">AA85*$D$10</f>
        <v>210.39367374888081</v>
      </c>
      <c r="AC85" s="886">
        <f t="shared" ref="AC85:AC120" si="66">AA85*(1-$D$10)</f>
        <v>0</v>
      </c>
      <c r="AD85" s="884">
        <f t="shared" ref="AD85:AD120" si="67">AB85+(AD84*$D$8)</f>
        <v>11666.107394008175</v>
      </c>
      <c r="AE85" s="884">
        <f t="shared" ref="AE85:AE120" si="68">AC85+AD84*(1-$D$8)</f>
        <v>587.34700220755508</v>
      </c>
      <c r="AF85" s="897">
        <f t="shared" ref="AF85:AF120" si="69">AE85*16/12*$D$11</f>
        <v>391.56466813837005</v>
      </c>
      <c r="AG85" s="1461">
        <f t="shared" si="53"/>
        <v>2.197312110627072E-2</v>
      </c>
      <c r="AH85" s="891">
        <f>'Baseline data (from input)'!AS71*AG85</f>
        <v>1471.284431810355</v>
      </c>
      <c r="AI85" s="885">
        <f>Parameters!S186</f>
        <v>0.71500000000000008</v>
      </c>
      <c r="AJ85" s="885">
        <f t="shared" ref="AJ85:AJ120" si="70">$D$3</f>
        <v>0.4</v>
      </c>
      <c r="AK85" s="884">
        <f t="shared" ref="AK85:AK120" si="71">AH85*AJ85*AI85*$D$4</f>
        <v>210.39367374888081</v>
      </c>
      <c r="AL85" s="884">
        <f t="shared" ref="AL85:AL120" si="72">AK85*$D$10</f>
        <v>210.39367374888081</v>
      </c>
      <c r="AM85" s="886">
        <f t="shared" ref="AM85:AM120" si="73">AK85*(1-$D$10)</f>
        <v>0</v>
      </c>
      <c r="AN85" s="884">
        <f t="shared" ref="AN85:AN120" si="74">AL85+(AN84*$D$8)</f>
        <v>11666.107394008175</v>
      </c>
      <c r="AO85" s="884">
        <f t="shared" ref="AO85:AO120" si="75">AM85+AN84*(1-$D$8)</f>
        <v>587.34700220755508</v>
      </c>
      <c r="AP85" s="897">
        <f t="shared" ref="AP85:AP120" si="76">AO85*16/12*$D$11</f>
        <v>391.56466813837005</v>
      </c>
      <c r="AR85" s="899">
        <v>501</v>
      </c>
      <c r="AS85" s="885">
        <v>1</v>
      </c>
      <c r="AT85" s="885">
        <f t="shared" ref="AT85:AT120" si="77">$E$3</f>
        <v>0.05</v>
      </c>
      <c r="AU85" s="884">
        <f t="shared" ref="AU85:AU120" si="78">AR85*AT85*AS85*$E$4</f>
        <v>12.525</v>
      </c>
      <c r="AV85" s="884">
        <f t="shared" ref="AV85:AV120" si="79">AU85*$E$10</f>
        <v>12.525</v>
      </c>
      <c r="AW85" s="886">
        <f t="shared" ref="AW85:AW120" si="80">AU85*(1-$C$10)</f>
        <v>0</v>
      </c>
      <c r="AX85" s="884">
        <f t="shared" si="44"/>
        <v>132.72438736871084</v>
      </c>
      <c r="AY85" s="884">
        <f t="shared" si="49"/>
        <v>7.4327150117489973</v>
      </c>
      <c r="AZ85" s="900">
        <f t="shared" si="47"/>
        <v>4.9551433411659982</v>
      </c>
      <c r="BB85" s="1605">
        <f t="shared" ref="BB85:BB120" si="81">V85</f>
        <v>474.45668773704853</v>
      </c>
      <c r="BC85" s="1606">
        <f t="shared" ref="BC85:BC120" si="82">AF85</f>
        <v>391.56466813837005</v>
      </c>
      <c r="BD85" s="1607">
        <f t="shared" si="48"/>
        <v>4.9551433411659982</v>
      </c>
      <c r="BE85" s="1606">
        <f t="shared" si="54"/>
        <v>870.97649921658456</v>
      </c>
      <c r="BF85" s="1608">
        <v>0</v>
      </c>
      <c r="BG85" s="1609">
        <f t="shared" ref="BG85:BG120" si="83">BE85-BF85</f>
        <v>870.97649921658456</v>
      </c>
      <c r="BI85" s="1605">
        <f t="shared" ref="BI85:BI120" si="84">V85</f>
        <v>474.45668773704853</v>
      </c>
      <c r="BJ85" s="1606">
        <f t="shared" ref="BJ85:BJ120" si="85">AP85</f>
        <v>391.56466813837005</v>
      </c>
      <c r="BK85" s="1607">
        <f t="shared" ref="BK85:BK120" si="86">AZ85</f>
        <v>4.9551433411659982</v>
      </c>
      <c r="BL85" s="1606">
        <f t="shared" si="55"/>
        <v>870.97649921658456</v>
      </c>
      <c r="BM85" s="1608">
        <v>0</v>
      </c>
      <c r="BN85" s="1609">
        <f t="shared" ref="BN85:BN120" si="87">BL85-BM85</f>
        <v>870.97649921658456</v>
      </c>
    </row>
    <row r="86" spans="1:66">
      <c r="A86" s="819">
        <f>'Input data'!A116</f>
        <v>2016</v>
      </c>
      <c r="B86" s="867">
        <f>'Input data'!B116</f>
        <v>55.619940469824826</v>
      </c>
      <c r="C86" s="867">
        <f>'Baseline data (from input)'!B72</f>
        <v>443.57149215715253</v>
      </c>
      <c r="D86" s="868">
        <f>'Baseline data (from input)'!T72</f>
        <v>0.50662864209648661</v>
      </c>
      <c r="E86" s="868">
        <f t="shared" ref="E86:K87" si="88">E85</f>
        <v>0.24001298204245269</v>
      </c>
      <c r="F86" s="868">
        <f t="shared" si="88"/>
        <v>0.30440139352934503</v>
      </c>
      <c r="G86" s="868">
        <f t="shared" si="88"/>
        <v>5.8998240613430578E-2</v>
      </c>
      <c r="H86" s="868">
        <f t="shared" si="88"/>
        <v>0</v>
      </c>
      <c r="I86" s="868">
        <f t="shared" si="88"/>
        <v>0</v>
      </c>
      <c r="J86" s="868">
        <f t="shared" si="88"/>
        <v>0</v>
      </c>
      <c r="K86" s="868">
        <f t="shared" si="88"/>
        <v>0.39658738381477154</v>
      </c>
      <c r="L86" s="875">
        <f t="shared" ref="L86:L120" si="89">SUM(E86:K86)</f>
        <v>0.99999999999999989</v>
      </c>
      <c r="N86" s="891">
        <f t="shared" si="56"/>
        <v>12499.24800705794</v>
      </c>
      <c r="O86" s="885">
        <f>Parameters!R187</f>
        <v>0.73</v>
      </c>
      <c r="P86" s="885">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884">
        <f t="shared" si="57"/>
        <v>549.66387584249071</v>
      </c>
      <c r="R86" s="884">
        <f t="shared" si="58"/>
        <v>549.66387584249071</v>
      </c>
      <c r="S86" s="886">
        <f t="shared" si="59"/>
        <v>0</v>
      </c>
      <c r="T86" s="884">
        <f t="shared" si="60"/>
        <v>14335.028278523789</v>
      </c>
      <c r="U86" s="884">
        <f t="shared" si="61"/>
        <v>706.79074686848378</v>
      </c>
      <c r="V86" s="897">
        <f t="shared" si="62"/>
        <v>471.19383124565587</v>
      </c>
      <c r="W86" s="1457">
        <f t="shared" si="52"/>
        <v>2.197312110627072E-2</v>
      </c>
      <c r="X86" s="891">
        <f>'Baseline data (from input)'!AS72*W86</f>
        <v>1484.5886292092637</v>
      </c>
      <c r="Y86" s="885">
        <f>Parameters!S187</f>
        <v>0.71500000000000008</v>
      </c>
      <c r="Z86" s="885">
        <f t="shared" si="63"/>
        <v>0.4</v>
      </c>
      <c r="AA86" s="884">
        <f t="shared" si="64"/>
        <v>212.29617397692473</v>
      </c>
      <c r="AB86" s="884">
        <f t="shared" si="65"/>
        <v>212.29617397692473</v>
      </c>
      <c r="AC86" s="886">
        <f t="shared" si="66"/>
        <v>0</v>
      </c>
      <c r="AD86" s="884">
        <f t="shared" si="67"/>
        <v>11309.440796542845</v>
      </c>
      <c r="AE86" s="884">
        <f t="shared" si="68"/>
        <v>568.96277144225417</v>
      </c>
      <c r="AF86" s="897">
        <f t="shared" si="69"/>
        <v>379.30851429483613</v>
      </c>
      <c r="AG86" s="1461">
        <f t="shared" si="53"/>
        <v>2.197312110627072E-2</v>
      </c>
      <c r="AH86" s="891">
        <f>'Baseline data (from input)'!AS72*AG86</f>
        <v>1484.5886292092637</v>
      </c>
      <c r="AI86" s="885">
        <f>Parameters!S187</f>
        <v>0.71500000000000008</v>
      </c>
      <c r="AJ86" s="885">
        <f t="shared" si="70"/>
        <v>0.4</v>
      </c>
      <c r="AK86" s="884">
        <f t="shared" si="71"/>
        <v>212.29617397692473</v>
      </c>
      <c r="AL86" s="884">
        <f t="shared" si="72"/>
        <v>212.29617397692473</v>
      </c>
      <c r="AM86" s="886">
        <f t="shared" si="73"/>
        <v>0</v>
      </c>
      <c r="AN86" s="884">
        <f t="shared" si="74"/>
        <v>11309.440796542845</v>
      </c>
      <c r="AO86" s="884">
        <f t="shared" si="75"/>
        <v>568.96277144225417</v>
      </c>
      <c r="AP86" s="897">
        <f t="shared" si="76"/>
        <v>379.30851429483613</v>
      </c>
      <c r="AR86" s="899">
        <v>501</v>
      </c>
      <c r="AS86" s="885">
        <v>1</v>
      </c>
      <c r="AT86" s="885">
        <f t="shared" si="77"/>
        <v>0.05</v>
      </c>
      <c r="AU86" s="884">
        <f t="shared" si="78"/>
        <v>12.525</v>
      </c>
      <c r="AV86" s="884">
        <f t="shared" si="79"/>
        <v>12.525</v>
      </c>
      <c r="AW86" s="886">
        <f t="shared" si="80"/>
        <v>0</v>
      </c>
      <c r="AX86" s="884">
        <f t="shared" si="44"/>
        <v>137.52012076554911</v>
      </c>
      <c r="AY86" s="884">
        <f t="shared" si="49"/>
        <v>7.7292666031617232</v>
      </c>
      <c r="AZ86" s="900">
        <f t="shared" si="47"/>
        <v>5.1528444021078155</v>
      </c>
      <c r="BB86" s="1605">
        <f t="shared" si="81"/>
        <v>471.19383124565587</v>
      </c>
      <c r="BC86" s="1606">
        <f t="shared" si="82"/>
        <v>379.30851429483613</v>
      </c>
      <c r="BD86" s="1607">
        <f t="shared" si="48"/>
        <v>5.1528444021078155</v>
      </c>
      <c r="BE86" s="1606">
        <f t="shared" si="54"/>
        <v>855.6551899425998</v>
      </c>
      <c r="BF86" s="1608">
        <v>0</v>
      </c>
      <c r="BG86" s="1609">
        <f t="shared" si="83"/>
        <v>855.6551899425998</v>
      </c>
      <c r="BI86" s="1605">
        <f t="shared" si="84"/>
        <v>471.19383124565587</v>
      </c>
      <c r="BJ86" s="1606">
        <f t="shared" si="85"/>
        <v>379.30851429483613</v>
      </c>
      <c r="BK86" s="1607">
        <f t="shared" si="86"/>
        <v>5.1528444021078155</v>
      </c>
      <c r="BL86" s="1606">
        <f t="shared" si="55"/>
        <v>855.6551899425998</v>
      </c>
      <c r="BM86" s="1608">
        <v>0</v>
      </c>
      <c r="BN86" s="1609">
        <f t="shared" si="87"/>
        <v>855.6551899425998</v>
      </c>
    </row>
    <row r="87" spans="1:66" ht="13.15" customHeight="1" thickBot="1">
      <c r="A87" s="819">
        <f>'Input data'!A117</f>
        <v>2017</v>
      </c>
      <c r="B87" s="867">
        <f>'Input data'!B117</f>
        <v>56.521948041648095</v>
      </c>
      <c r="C87" s="867">
        <f>'Baseline data (from input)'!B73</f>
        <v>424.26313389388866</v>
      </c>
      <c r="D87" s="878">
        <f>'Baseline data (from input)'!T73</f>
        <v>0.46471844811027063</v>
      </c>
      <c r="E87" s="868">
        <f t="shared" si="88"/>
        <v>0.24001298204245269</v>
      </c>
      <c r="F87" s="868">
        <f t="shared" si="88"/>
        <v>0.30440139352934503</v>
      </c>
      <c r="G87" s="868">
        <f t="shared" si="88"/>
        <v>5.8998240613430578E-2</v>
      </c>
      <c r="H87" s="868">
        <f t="shared" si="88"/>
        <v>0</v>
      </c>
      <c r="I87" s="868">
        <f t="shared" si="88"/>
        <v>0</v>
      </c>
      <c r="J87" s="868">
        <f t="shared" si="88"/>
        <v>0</v>
      </c>
      <c r="K87" s="868">
        <f t="shared" si="88"/>
        <v>0.39658738381477154</v>
      </c>
      <c r="L87" s="875">
        <f t="shared" si="89"/>
        <v>0.99999999999999989</v>
      </c>
      <c r="N87" s="892">
        <f t="shared" si="56"/>
        <v>11144.031481960794</v>
      </c>
      <c r="O87" s="893">
        <f>Parameters!R188</f>
        <v>0.73</v>
      </c>
      <c r="P87" s="89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894">
        <f t="shared" si="57"/>
        <v>490.06720511717509</v>
      </c>
      <c r="R87" s="894">
        <f t="shared" si="58"/>
        <v>490.06720511717509</v>
      </c>
      <c r="S87" s="895">
        <f t="shared" si="59"/>
        <v>0</v>
      </c>
      <c r="T87" s="894">
        <f t="shared" si="60"/>
        <v>14125.96790469882</v>
      </c>
      <c r="U87" s="894">
        <f t="shared" si="61"/>
        <v>699.12757894214405</v>
      </c>
      <c r="V87" s="898">
        <f t="shared" si="62"/>
        <v>466.08505262809604</v>
      </c>
      <c r="W87" s="1458">
        <f t="shared" si="52"/>
        <v>2.197312110627072E-2</v>
      </c>
      <c r="X87" s="892">
        <f>'Baseline data (from input)'!AS73*W87</f>
        <v>1503.8340000000005</v>
      </c>
      <c r="Y87" s="893">
        <f>Parameters!S188</f>
        <v>0.71500000000000008</v>
      </c>
      <c r="Z87" s="893">
        <f t="shared" si="63"/>
        <v>0.4</v>
      </c>
      <c r="AA87" s="894">
        <f t="shared" si="64"/>
        <v>215.04826200000011</v>
      </c>
      <c r="AB87" s="894">
        <f t="shared" si="65"/>
        <v>215.04826200000011</v>
      </c>
      <c r="AC87" s="895">
        <f t="shared" si="66"/>
        <v>0</v>
      </c>
      <c r="AD87" s="894">
        <f t="shared" si="67"/>
        <v>10972.921122320347</v>
      </c>
      <c r="AE87" s="894">
        <f t="shared" si="68"/>
        <v>551.56793622249791</v>
      </c>
      <c r="AF87" s="898">
        <f t="shared" si="69"/>
        <v>367.71195748166525</v>
      </c>
      <c r="AG87" s="1462">
        <f t="shared" si="53"/>
        <v>2.197312110627072E-2</v>
      </c>
      <c r="AH87" s="892">
        <f>'Baseline data (from input)'!AS73*AG87</f>
        <v>1503.8340000000005</v>
      </c>
      <c r="AI87" s="893">
        <f>Parameters!S188</f>
        <v>0.71500000000000008</v>
      </c>
      <c r="AJ87" s="893">
        <f t="shared" si="70"/>
        <v>0.4</v>
      </c>
      <c r="AK87" s="894">
        <f t="shared" si="71"/>
        <v>215.04826200000011</v>
      </c>
      <c r="AL87" s="894">
        <f t="shared" si="72"/>
        <v>215.04826200000011</v>
      </c>
      <c r="AM87" s="895">
        <f t="shared" si="73"/>
        <v>0</v>
      </c>
      <c r="AN87" s="894">
        <f t="shared" si="74"/>
        <v>10972.921122320347</v>
      </c>
      <c r="AO87" s="894">
        <f t="shared" si="75"/>
        <v>551.56793622249791</v>
      </c>
      <c r="AP87" s="898">
        <f t="shared" si="76"/>
        <v>367.71195748166525</v>
      </c>
      <c r="AR87" s="901">
        <v>501</v>
      </c>
      <c r="AS87" s="893">
        <v>1</v>
      </c>
      <c r="AT87" s="893">
        <f t="shared" si="77"/>
        <v>0.05</v>
      </c>
      <c r="AU87" s="894">
        <f t="shared" si="78"/>
        <v>12.525</v>
      </c>
      <c r="AV87" s="894">
        <f t="shared" si="79"/>
        <v>12.525</v>
      </c>
      <c r="AW87" s="895">
        <f t="shared" si="80"/>
        <v>0</v>
      </c>
      <c r="AX87" s="894">
        <f t="shared" si="44"/>
        <v>142.03657239121691</v>
      </c>
      <c r="AY87" s="894">
        <f t="shared" si="49"/>
        <v>8.0085483743321948</v>
      </c>
      <c r="AZ87" s="902">
        <f t="shared" si="47"/>
        <v>5.3390322495547968</v>
      </c>
      <c r="BB87" s="1610">
        <f t="shared" si="81"/>
        <v>466.08505262809604</v>
      </c>
      <c r="BC87" s="1611">
        <f t="shared" si="82"/>
        <v>367.71195748166525</v>
      </c>
      <c r="BD87" s="1612">
        <f t="shared" si="48"/>
        <v>5.3390322495547968</v>
      </c>
      <c r="BE87" s="1611">
        <f t="shared" si="54"/>
        <v>839.13604235931598</v>
      </c>
      <c r="BF87" s="1613">
        <v>0</v>
      </c>
      <c r="BG87" s="1614">
        <f t="shared" si="83"/>
        <v>839.13604235931598</v>
      </c>
      <c r="BI87" s="1610">
        <f t="shared" si="84"/>
        <v>466.08505262809604</v>
      </c>
      <c r="BJ87" s="1611">
        <f t="shared" si="85"/>
        <v>367.71195748166525</v>
      </c>
      <c r="BK87" s="1612">
        <f t="shared" si="86"/>
        <v>5.3390322495547968</v>
      </c>
      <c r="BL87" s="1611">
        <f t="shared" si="55"/>
        <v>839.13604235931598</v>
      </c>
      <c r="BM87" s="1613">
        <v>0</v>
      </c>
      <c r="BN87" s="1614">
        <f t="shared" si="87"/>
        <v>839.13604235931598</v>
      </c>
    </row>
    <row r="88" spans="1:66">
      <c r="A88" s="926">
        <f>'Input data'!A118</f>
        <v>2018</v>
      </c>
      <c r="B88" s="820">
        <f>'Input data'!B118</f>
        <v>57.436000617299655</v>
      </c>
      <c r="C88" s="820">
        <f>'Recycling - Case 2'!AK98/B88</f>
        <v>414.46358774486276</v>
      </c>
      <c r="D88" s="821">
        <f>'Recycling - Case 2'!AM98</f>
        <v>0.44004755299021142</v>
      </c>
      <c r="E88" s="822">
        <f>'Recycling - Case 2'!BE98</f>
        <v>0.23669038763569289</v>
      </c>
      <c r="F88" s="822">
        <f>'Recycling - Case 2'!BF98</f>
        <v>0.30018744493813254</v>
      </c>
      <c r="G88" s="822">
        <f>'Recycling - Case 2'!BG98</f>
        <v>5.9354168810873881E-2</v>
      </c>
      <c r="H88" s="822">
        <f>'Recycling - Case 2'!BH98</f>
        <v>0</v>
      </c>
      <c r="I88" s="822">
        <f>'Recycling - Case 2'!BI98</f>
        <v>0</v>
      </c>
      <c r="J88" s="822">
        <f>'Recycling - Case 2'!BJ98</f>
        <v>0</v>
      </c>
      <c r="K88" s="822">
        <f>'Recycling - Case 2'!BK98</f>
        <v>0.40376799861530049</v>
      </c>
      <c r="L88" s="823">
        <f t="shared" si="89"/>
        <v>0.99999999999999978</v>
      </c>
      <c r="M88" s="4"/>
      <c r="N88" s="838">
        <f>B88*C88*D88</f>
        <v>10475.389593043146</v>
      </c>
      <c r="O88" s="833">
        <f>Parameters!R224</f>
        <v>0.75076923076923086</v>
      </c>
      <c r="P88" s="834">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832">
        <f t="shared" si="57"/>
        <v>469.05542998665317</v>
      </c>
      <c r="R88" s="832">
        <f t="shared" si="58"/>
        <v>469.05542998665317</v>
      </c>
      <c r="S88" s="835">
        <f t="shared" si="59"/>
        <v>0</v>
      </c>
      <c r="T88" s="832">
        <f t="shared" si="60"/>
        <v>13906.091750488869</v>
      </c>
      <c r="U88" s="832">
        <f t="shared" si="61"/>
        <v>688.93158419660449</v>
      </c>
      <c r="V88" s="839">
        <f t="shared" si="62"/>
        <v>459.28772279773631</v>
      </c>
      <c r="X88" s="852">
        <f>'Recycling - Case 2'!AM138</f>
        <v>1226.4449721240894</v>
      </c>
      <c r="Y88" s="853">
        <f>Parameters!S223</f>
        <v>0.71500000000000008</v>
      </c>
      <c r="Z88" s="853">
        <f t="shared" si="63"/>
        <v>0.4</v>
      </c>
      <c r="AA88" s="854">
        <f t="shared" si="64"/>
        <v>175.38163101374482</v>
      </c>
      <c r="AB88" s="854">
        <f t="shared" si="65"/>
        <v>175.38163101374482</v>
      </c>
      <c r="AC88" s="855">
        <f t="shared" si="66"/>
        <v>0</v>
      </c>
      <c r="AD88" s="854">
        <f t="shared" si="67"/>
        <v>10613.147075290257</v>
      </c>
      <c r="AE88" s="854">
        <f t="shared" si="68"/>
        <v>535.15567804383443</v>
      </c>
      <c r="AF88" s="856">
        <f t="shared" si="69"/>
        <v>356.77045202922295</v>
      </c>
      <c r="AH88" s="852">
        <f>'Recycling - Case 2'!AM178</f>
        <v>1226.4449721240894</v>
      </c>
      <c r="AI88" s="853">
        <f>Parameters!S223</f>
        <v>0.71500000000000008</v>
      </c>
      <c r="AJ88" s="853">
        <f t="shared" si="70"/>
        <v>0.4</v>
      </c>
      <c r="AK88" s="854">
        <f t="shared" si="71"/>
        <v>175.38163101374482</v>
      </c>
      <c r="AL88" s="854">
        <f t="shared" si="72"/>
        <v>175.38163101374482</v>
      </c>
      <c r="AM88" s="855">
        <f t="shared" si="73"/>
        <v>0</v>
      </c>
      <c r="AN88" s="854">
        <f t="shared" si="74"/>
        <v>10613.147075290257</v>
      </c>
      <c r="AO88" s="854">
        <f t="shared" si="75"/>
        <v>535.15567804383443</v>
      </c>
      <c r="AP88" s="856">
        <f t="shared" si="76"/>
        <v>356.77045202922295</v>
      </c>
      <c r="AR88" s="1037">
        <f>'Recycling - Case 2'!G98</f>
        <v>519.60235526187978</v>
      </c>
      <c r="AS88" s="1038">
        <v>1</v>
      </c>
      <c r="AT88" s="1038">
        <f t="shared" si="77"/>
        <v>0.05</v>
      </c>
      <c r="AU88" s="1039">
        <f t="shared" si="78"/>
        <v>12.990058881546995</v>
      </c>
      <c r="AV88" s="1039">
        <f t="shared" si="79"/>
        <v>12.990058881546995</v>
      </c>
      <c r="AW88" s="1040">
        <f t="shared" si="80"/>
        <v>0</v>
      </c>
      <c r="AX88" s="1039">
        <f t="shared" si="44"/>
        <v>146.75506523146674</v>
      </c>
      <c r="AY88" s="1039">
        <f t="shared" si="49"/>
        <v>8.2715660412971381</v>
      </c>
      <c r="AZ88" s="1041">
        <f t="shared" si="47"/>
        <v>5.514377360864759</v>
      </c>
      <c r="BA88" s="4"/>
      <c r="BB88" s="1052">
        <f t="shared" si="81"/>
        <v>459.28772279773631</v>
      </c>
      <c r="BC88" s="1053">
        <f t="shared" si="82"/>
        <v>356.77045202922295</v>
      </c>
      <c r="BD88" s="1081">
        <f>AZ88</f>
        <v>5.514377360864759</v>
      </c>
      <c r="BE88" s="1053">
        <f t="shared" si="54"/>
        <v>821.57255218782393</v>
      </c>
      <c r="BF88" s="1054">
        <v>0</v>
      </c>
      <c r="BG88" s="1074">
        <f t="shared" si="83"/>
        <v>821.57255218782393</v>
      </c>
      <c r="BI88" s="1052">
        <f t="shared" si="84"/>
        <v>459.28772279773631</v>
      </c>
      <c r="BJ88" s="1053">
        <f>AP88</f>
        <v>356.77045202922295</v>
      </c>
      <c r="BK88" s="1081">
        <f t="shared" si="86"/>
        <v>5.514377360864759</v>
      </c>
      <c r="BL88" s="1053">
        <f t="shared" si="55"/>
        <v>821.57255218782393</v>
      </c>
      <c r="BM88" s="1054">
        <v>0</v>
      </c>
      <c r="BN88" s="1074">
        <f t="shared" si="87"/>
        <v>821.57255218782393</v>
      </c>
    </row>
    <row r="89" spans="1:66">
      <c r="A89" s="927">
        <f>'Input data'!A119</f>
        <v>2019</v>
      </c>
      <c r="B89" s="824">
        <f>'Input data'!B119</f>
        <v>58.364834921819444</v>
      </c>
      <c r="C89" s="824">
        <f>'Recycling - Case 2'!AK99/B89</f>
        <v>406.33320283022556</v>
      </c>
      <c r="D89" s="825">
        <f>'Recycling - Case 2'!AM99</f>
        <v>0.41821418969847352</v>
      </c>
      <c r="E89" s="826">
        <f>'Recycling - Case 2'!BE99</f>
        <v>0.23330174817357269</v>
      </c>
      <c r="F89" s="826">
        <f>'Recycling - Case 2'!BF99</f>
        <v>0.29588973334911756</v>
      </c>
      <c r="G89" s="826">
        <f>'Recycling - Case 2'!BG99</f>
        <v>5.9682776972246526E-2</v>
      </c>
      <c r="H89" s="826">
        <f>'Recycling - Case 2'!BH99</f>
        <v>0</v>
      </c>
      <c r="I89" s="826">
        <f>'Recycling - Case 2'!BI99</f>
        <v>0</v>
      </c>
      <c r="J89" s="826">
        <f>'Recycling - Case 2'!BJ99</f>
        <v>0</v>
      </c>
      <c r="K89" s="826">
        <f>'Recycling - Case 2'!BK99</f>
        <v>0.41112574150506326</v>
      </c>
      <c r="L89" s="827">
        <f t="shared" si="89"/>
        <v>1</v>
      </c>
      <c r="M89" s="4"/>
      <c r="N89" s="838">
        <f t="shared" si="56"/>
        <v>9918.1880189451058</v>
      </c>
      <c r="O89" s="833">
        <f>Parameters!R225</f>
        <v>0.77153846153846162</v>
      </c>
      <c r="P89" s="834">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832">
        <f t="shared" si="57"/>
        <v>451.66077321487109</v>
      </c>
      <c r="R89" s="832">
        <f t="shared" si="58"/>
        <v>451.66077321487109</v>
      </c>
      <c r="S89" s="835">
        <f t="shared" si="59"/>
        <v>0</v>
      </c>
      <c r="T89" s="832">
        <f t="shared" si="60"/>
        <v>13679.544426086526</v>
      </c>
      <c r="U89" s="832">
        <f t="shared" si="61"/>
        <v>678.20809761721534</v>
      </c>
      <c r="V89" s="839">
        <f t="shared" si="62"/>
        <v>452.13873174481023</v>
      </c>
      <c r="X89" s="852">
        <f>'Recycling - Case 2'!AM139</f>
        <v>1142.168429716658</v>
      </c>
      <c r="Y89" s="853">
        <f>Parameters!S224</f>
        <v>0.71500000000000008</v>
      </c>
      <c r="Z89" s="853">
        <f t="shared" si="63"/>
        <v>0.4</v>
      </c>
      <c r="AA89" s="854">
        <f t="shared" si="64"/>
        <v>163.33008544948214</v>
      </c>
      <c r="AB89" s="854">
        <f t="shared" si="65"/>
        <v>163.33008544948214</v>
      </c>
      <c r="AC89" s="855">
        <f t="shared" si="66"/>
        <v>0</v>
      </c>
      <c r="AD89" s="854">
        <f t="shared" si="67"/>
        <v>10258.86787001927</v>
      </c>
      <c r="AE89" s="854">
        <f t="shared" si="68"/>
        <v>517.60929072046974</v>
      </c>
      <c r="AF89" s="856">
        <f t="shared" si="69"/>
        <v>345.07286048031318</v>
      </c>
      <c r="AH89" s="852">
        <f>'Recycling - Case 2'!AM179</f>
        <v>1142.168429716658</v>
      </c>
      <c r="AI89" s="853">
        <f>Parameters!S224</f>
        <v>0.71500000000000008</v>
      </c>
      <c r="AJ89" s="853">
        <f t="shared" si="70"/>
        <v>0.4</v>
      </c>
      <c r="AK89" s="854">
        <f t="shared" si="71"/>
        <v>163.33008544948214</v>
      </c>
      <c r="AL89" s="854">
        <f t="shared" si="72"/>
        <v>163.33008544948214</v>
      </c>
      <c r="AM89" s="855">
        <f t="shared" si="73"/>
        <v>0</v>
      </c>
      <c r="AN89" s="854">
        <f t="shared" si="74"/>
        <v>10258.86787001927</v>
      </c>
      <c r="AO89" s="854">
        <f t="shared" si="75"/>
        <v>517.60929072046974</v>
      </c>
      <c r="AP89" s="856">
        <f t="shared" si="76"/>
        <v>345.07286048031318</v>
      </c>
      <c r="AR89" s="1042">
        <f>'Recycling - Case 2'!G99</f>
        <v>538.67534920907258</v>
      </c>
      <c r="AS89" s="1043">
        <v>1</v>
      </c>
      <c r="AT89" s="1043">
        <f t="shared" si="77"/>
        <v>0.05</v>
      </c>
      <c r="AU89" s="1044">
        <f t="shared" si="78"/>
        <v>13.466883730226815</v>
      </c>
      <c r="AV89" s="1044">
        <f t="shared" si="79"/>
        <v>13.466883730226815</v>
      </c>
      <c r="AW89" s="1045">
        <f t="shared" si="80"/>
        <v>0</v>
      </c>
      <c r="AX89" s="1044">
        <f t="shared" si="44"/>
        <v>151.67559928906508</v>
      </c>
      <c r="AY89" s="1044">
        <f t="shared" si="49"/>
        <v>8.5463496726284696</v>
      </c>
      <c r="AZ89" s="1046">
        <f t="shared" si="47"/>
        <v>5.6975664484189794</v>
      </c>
      <c r="BA89" s="4"/>
      <c r="BB89" s="1055">
        <f t="shared" si="81"/>
        <v>452.13873174481023</v>
      </c>
      <c r="BC89" s="1056">
        <f t="shared" si="82"/>
        <v>345.07286048031318</v>
      </c>
      <c r="BD89" s="1082">
        <f t="shared" ref="BD89:BD120" si="90">AZ89</f>
        <v>5.6975664484189794</v>
      </c>
      <c r="BE89" s="1056">
        <f t="shared" si="54"/>
        <v>802.90915867354249</v>
      </c>
      <c r="BF89" s="167">
        <v>0</v>
      </c>
      <c r="BG89" s="1075">
        <f t="shared" si="83"/>
        <v>802.90915867354249</v>
      </c>
      <c r="BI89" s="1055">
        <f t="shared" si="84"/>
        <v>452.13873174481023</v>
      </c>
      <c r="BJ89" s="1056">
        <f t="shared" si="85"/>
        <v>345.07286048031318</v>
      </c>
      <c r="BK89" s="1082">
        <f t="shared" si="86"/>
        <v>5.6975664484189794</v>
      </c>
      <c r="BL89" s="1056">
        <f t="shared" si="55"/>
        <v>802.90915867354249</v>
      </c>
      <c r="BM89" s="167">
        <v>0</v>
      </c>
      <c r="BN89" s="1075">
        <f t="shared" si="87"/>
        <v>802.90915867354249</v>
      </c>
    </row>
    <row r="90" spans="1:66">
      <c r="A90" s="927">
        <f>'Input data'!A120</f>
        <v>2020</v>
      </c>
      <c r="B90" s="824">
        <f>'Input data'!B120</f>
        <v>59.308690000000006</v>
      </c>
      <c r="C90" s="824">
        <f>'Recycling - Case 2'!AK100/B90</f>
        <v>397.49323210110077</v>
      </c>
      <c r="D90" s="825">
        <f>'Recycling - Case 2'!AM100</f>
        <v>0.38289463315638228</v>
      </c>
      <c r="E90" s="826">
        <f>'Recycling - Case 2'!BE100</f>
        <v>0.22354491991078579</v>
      </c>
      <c r="F90" s="826">
        <f>'Recycling - Case 2'!BF100</f>
        <v>0.28351543553262054</v>
      </c>
      <c r="G90" s="826">
        <f>'Recycling - Case 2'!BG100</f>
        <v>6.1771817655591317E-2</v>
      </c>
      <c r="H90" s="826">
        <f>'Recycling - Case 2'!BH100</f>
        <v>0</v>
      </c>
      <c r="I90" s="826">
        <f>'Recycling - Case 2'!BI100</f>
        <v>0</v>
      </c>
      <c r="J90" s="826">
        <f>'Recycling - Case 2'!BJ100</f>
        <v>0</v>
      </c>
      <c r="K90" s="826">
        <f>'Recycling - Case 2'!BK100</f>
        <v>0.43116782690100253</v>
      </c>
      <c r="L90" s="827">
        <f t="shared" si="89"/>
        <v>1.0000000000000002</v>
      </c>
      <c r="M90" s="4"/>
      <c r="N90" s="838">
        <f t="shared" si="56"/>
        <v>9026.6655003882443</v>
      </c>
      <c r="O90" s="833">
        <f>Parameters!R226</f>
        <v>0.79230769230769238</v>
      </c>
      <c r="P90" s="834">
        <f>E90*'MSW characteristics'!$B$28+'MSW characteristics'!$B$29*'4A SWD Case 2'!F90+'4A SWD Case 2'!G90*'MSW characteristics'!$B$30+'MSW characteristics'!$B$31*'4A SWD Case 2'!H90+'4A SWD Case 2'!I90*'MSW characteristics'!$B$32+'MSW characteristics'!$B$33*'4A SWD Case 2'!J90+'4A SWD Case 2'!K90*'MSW characteristics'!$B$35</f>
        <v>0.11494355215537852</v>
      </c>
      <c r="Q90" s="832">
        <f t="shared" si="57"/>
        <v>411.03219485962427</v>
      </c>
      <c r="R90" s="832">
        <f t="shared" si="58"/>
        <v>411.03219485962427</v>
      </c>
      <c r="S90" s="835">
        <f t="shared" si="59"/>
        <v>0</v>
      </c>
      <c r="T90" s="832">
        <f t="shared" si="60"/>
        <v>13423.417366717862</v>
      </c>
      <c r="U90" s="832">
        <f t="shared" si="61"/>
        <v>667.15925422828968</v>
      </c>
      <c r="V90" s="839">
        <f t="shared" si="62"/>
        <v>444.77283615219312</v>
      </c>
      <c r="X90" s="852">
        <f>'Recycling - Case 2'!AM140</f>
        <v>910.6889881686584</v>
      </c>
      <c r="Y90" s="853">
        <f>Parameters!S225</f>
        <v>0.71500000000000008</v>
      </c>
      <c r="Z90" s="853">
        <f t="shared" si="63"/>
        <v>0.4</v>
      </c>
      <c r="AA90" s="854">
        <f t="shared" si="64"/>
        <v>130.22852530811818</v>
      </c>
      <c r="AB90" s="854">
        <f t="shared" si="65"/>
        <v>130.22852530811818</v>
      </c>
      <c r="AC90" s="855">
        <f t="shared" si="66"/>
        <v>0</v>
      </c>
      <c r="AD90" s="854">
        <f t="shared" si="67"/>
        <v>9888.7655053354156</v>
      </c>
      <c r="AE90" s="854">
        <f t="shared" si="68"/>
        <v>500.330889991974</v>
      </c>
      <c r="AF90" s="856">
        <f t="shared" si="69"/>
        <v>333.55392666131598</v>
      </c>
      <c r="AH90" s="852">
        <f>'Recycling - Case 2'!AM180</f>
        <v>910.6889881686584</v>
      </c>
      <c r="AI90" s="853">
        <f>Parameters!S225</f>
        <v>0.71500000000000008</v>
      </c>
      <c r="AJ90" s="853">
        <f t="shared" si="70"/>
        <v>0.4</v>
      </c>
      <c r="AK90" s="854">
        <f t="shared" si="71"/>
        <v>130.22852530811818</v>
      </c>
      <c r="AL90" s="854">
        <f t="shared" si="72"/>
        <v>130.22852530811818</v>
      </c>
      <c r="AM90" s="855">
        <f t="shared" si="73"/>
        <v>0</v>
      </c>
      <c r="AN90" s="854">
        <f t="shared" si="74"/>
        <v>9888.7655053354156</v>
      </c>
      <c r="AO90" s="854">
        <f t="shared" si="75"/>
        <v>500.330889991974</v>
      </c>
      <c r="AP90" s="856">
        <f t="shared" si="76"/>
        <v>333.55392666131598</v>
      </c>
      <c r="AR90" s="1042">
        <f>'Recycling - Case 2'!G100</f>
        <v>558.22933891619243</v>
      </c>
      <c r="AS90" s="1043">
        <v>1</v>
      </c>
      <c r="AT90" s="1043">
        <f t="shared" si="77"/>
        <v>0.05</v>
      </c>
      <c r="AU90" s="1044">
        <f t="shared" si="78"/>
        <v>13.955733472904811</v>
      </c>
      <c r="AV90" s="1044">
        <f t="shared" si="79"/>
        <v>13.955733472904811</v>
      </c>
      <c r="AW90" s="1045">
        <f t="shared" si="80"/>
        <v>0</v>
      </c>
      <c r="AX90" s="1044">
        <f t="shared" si="44"/>
        <v>156.79843349348261</v>
      </c>
      <c r="AY90" s="1044">
        <f t="shared" si="49"/>
        <v>8.8328992684872976</v>
      </c>
      <c r="AZ90" s="1046">
        <f t="shared" si="47"/>
        <v>5.8885995123248653</v>
      </c>
      <c r="BA90" s="4"/>
      <c r="BB90" s="1055">
        <f t="shared" si="81"/>
        <v>444.77283615219312</v>
      </c>
      <c r="BC90" s="1056">
        <f t="shared" si="82"/>
        <v>333.55392666131598</v>
      </c>
      <c r="BD90" s="1082">
        <f t="shared" si="90"/>
        <v>5.8885995123248653</v>
      </c>
      <c r="BE90" s="1056">
        <f t="shared" si="54"/>
        <v>784.21536232583389</v>
      </c>
      <c r="BF90" s="167">
        <v>0</v>
      </c>
      <c r="BG90" s="1075">
        <f t="shared" si="83"/>
        <v>784.21536232583389</v>
      </c>
      <c r="BI90" s="1055">
        <f t="shared" si="84"/>
        <v>444.77283615219312</v>
      </c>
      <c r="BJ90" s="1056">
        <f t="shared" si="85"/>
        <v>333.55392666131598</v>
      </c>
      <c r="BK90" s="1082">
        <f t="shared" si="86"/>
        <v>5.8885995123248653</v>
      </c>
      <c r="BL90" s="1056">
        <f t="shared" si="55"/>
        <v>784.21536232583389</v>
      </c>
      <c r="BM90" s="167">
        <v>0</v>
      </c>
      <c r="BN90" s="1075">
        <f t="shared" si="87"/>
        <v>784.21536232583389</v>
      </c>
    </row>
    <row r="91" spans="1:66">
      <c r="A91" s="927">
        <f>'Input data'!A121</f>
        <v>2021</v>
      </c>
      <c r="B91" s="824">
        <f>'Input data'!B121</f>
        <v>59.991580449204264</v>
      </c>
      <c r="C91" s="824">
        <f>'Recycling - Case 2'!AK101/B91</f>
        <v>382.99573336469109</v>
      </c>
      <c r="D91" s="825">
        <f>'Recycling - Case 2'!AM101</f>
        <v>0.31526187030246827</v>
      </c>
      <c r="E91" s="826">
        <f>'Recycling - Case 2'!BE101</f>
        <v>0.19716607376836848</v>
      </c>
      <c r="F91" s="826">
        <f>'Recycling - Case 2'!BF101</f>
        <v>0.2500599221803147</v>
      </c>
      <c r="G91" s="826">
        <f>'Recycling - Case 2'!BG101</f>
        <v>6.8431683110624295E-2</v>
      </c>
      <c r="H91" s="826">
        <f>'Recycling - Case 2'!BH101</f>
        <v>0</v>
      </c>
      <c r="I91" s="826">
        <f>'Recycling - Case 2'!BI101</f>
        <v>0</v>
      </c>
      <c r="J91" s="826">
        <f>'Recycling - Case 2'!BJ101</f>
        <v>0</v>
      </c>
      <c r="K91" s="826">
        <f>'Recycling - Case 2'!BK101</f>
        <v>0.48434232094069229</v>
      </c>
      <c r="L91" s="827">
        <f t="shared" si="89"/>
        <v>0.99999999999999978</v>
      </c>
      <c r="M91" s="4"/>
      <c r="N91" s="838">
        <f t="shared" si="56"/>
        <v>7243.6204632745166</v>
      </c>
      <c r="O91" s="833">
        <f>Parameters!R227</f>
        <v>0.81307692307692303</v>
      </c>
      <c r="P91" s="834">
        <f>E91*'MSW characteristics'!$B$28+'MSW characteristics'!$B$29*'4A SWD Case 2'!F91+'4A SWD Case 2'!G91*'MSW characteristics'!$B$30+'MSW characteristics'!$B$31*'4A SWD Case 2'!H91+'4A SWD Case 2'!I91*'MSW characteristics'!$B$32+'MSW characteristics'!$B$33*'4A SWD Case 2'!J91+'4A SWD Case 2'!K91*'MSW characteristics'!$B$35</f>
        <v>0.10695956874556793</v>
      </c>
      <c r="Q91" s="832">
        <f t="shared" si="57"/>
        <v>314.9756417693049</v>
      </c>
      <c r="R91" s="832">
        <f t="shared" si="58"/>
        <v>314.9756417693049</v>
      </c>
      <c r="S91" s="835">
        <f t="shared" si="59"/>
        <v>0</v>
      </c>
      <c r="T91" s="832">
        <f t="shared" si="60"/>
        <v>13083.725218345226</v>
      </c>
      <c r="U91" s="832">
        <f t="shared" si="61"/>
        <v>654.66779014194015</v>
      </c>
      <c r="V91" s="839">
        <f t="shared" si="62"/>
        <v>436.44519342796008</v>
      </c>
      <c r="W91" s="4"/>
      <c r="X91" s="852">
        <f>'Recycling - Case 2'!AM141</f>
        <v>263.0223496200087</v>
      </c>
      <c r="Y91" s="853">
        <f>Parameters!S226</f>
        <v>0.71500000000000008</v>
      </c>
      <c r="Z91" s="853">
        <f t="shared" si="63"/>
        <v>0.4</v>
      </c>
      <c r="AA91" s="854">
        <f t="shared" si="64"/>
        <v>37.612195995661246</v>
      </c>
      <c r="AB91" s="854">
        <f t="shared" si="65"/>
        <v>37.612195995661246</v>
      </c>
      <c r="AC91" s="855">
        <f t="shared" si="66"/>
        <v>0</v>
      </c>
      <c r="AD91" s="854">
        <f t="shared" si="67"/>
        <v>9444.0969166583818</v>
      </c>
      <c r="AE91" s="854">
        <f t="shared" si="68"/>
        <v>482.2807846726958</v>
      </c>
      <c r="AF91" s="856">
        <f t="shared" si="69"/>
        <v>321.52052311513052</v>
      </c>
      <c r="AG91" s="4"/>
      <c r="AH91" s="852">
        <f>'Recycling - Case 2'!AM181</f>
        <v>263.0223496200087</v>
      </c>
      <c r="AI91" s="853">
        <f>Parameters!S226</f>
        <v>0.71500000000000008</v>
      </c>
      <c r="AJ91" s="853">
        <f t="shared" si="70"/>
        <v>0.4</v>
      </c>
      <c r="AK91" s="854">
        <f t="shared" si="71"/>
        <v>37.612195995661246</v>
      </c>
      <c r="AL91" s="854">
        <f t="shared" si="72"/>
        <v>37.612195995661246</v>
      </c>
      <c r="AM91" s="855">
        <f t="shared" si="73"/>
        <v>0</v>
      </c>
      <c r="AN91" s="854">
        <f t="shared" si="74"/>
        <v>9444.0969166583818</v>
      </c>
      <c r="AO91" s="854">
        <f t="shared" si="75"/>
        <v>482.2807846726958</v>
      </c>
      <c r="AP91" s="856">
        <f t="shared" si="76"/>
        <v>321.52052311513052</v>
      </c>
      <c r="AR91" s="1042">
        <f>'Recycling - Case 2'!G101</f>
        <v>575.62445854598354</v>
      </c>
      <c r="AS91" s="1043">
        <v>1</v>
      </c>
      <c r="AT91" s="1043">
        <f t="shared" si="77"/>
        <v>0.05</v>
      </c>
      <c r="AU91" s="1044">
        <f t="shared" si="78"/>
        <v>14.39061146364959</v>
      </c>
      <c r="AV91" s="1044">
        <f t="shared" si="79"/>
        <v>14.39061146364959</v>
      </c>
      <c r="AW91" s="1045">
        <f t="shared" si="80"/>
        <v>0</v>
      </c>
      <c r="AX91" s="1044">
        <f t="shared" si="44"/>
        <v>162.05781504938005</v>
      </c>
      <c r="AY91" s="1044">
        <f t="shared" si="49"/>
        <v>9.1312299077521164</v>
      </c>
      <c r="AZ91" s="1046">
        <f t="shared" si="47"/>
        <v>6.0874866051680776</v>
      </c>
      <c r="BA91" s="4"/>
      <c r="BB91" s="1055">
        <f t="shared" si="81"/>
        <v>436.44519342796008</v>
      </c>
      <c r="BC91" s="1056">
        <f t="shared" si="82"/>
        <v>321.52052311513052</v>
      </c>
      <c r="BD91" s="1082">
        <f t="shared" si="90"/>
        <v>6.0874866051680776</v>
      </c>
      <c r="BE91" s="1056">
        <f t="shared" si="54"/>
        <v>764.05320314825872</v>
      </c>
      <c r="BF91" s="167">
        <v>0</v>
      </c>
      <c r="BG91" s="1075">
        <f t="shared" si="83"/>
        <v>764.05320314825872</v>
      </c>
      <c r="BI91" s="1055">
        <f t="shared" si="84"/>
        <v>436.44519342796008</v>
      </c>
      <c r="BJ91" s="1056">
        <f t="shared" si="85"/>
        <v>321.52052311513052</v>
      </c>
      <c r="BK91" s="1082">
        <f t="shared" si="86"/>
        <v>6.0874866051680776</v>
      </c>
      <c r="BL91" s="1056">
        <f t="shared" si="55"/>
        <v>764.05320314825872</v>
      </c>
      <c r="BM91" s="167">
        <v>0</v>
      </c>
      <c r="BN91" s="1075">
        <f t="shared" si="87"/>
        <v>764.05320314825872</v>
      </c>
    </row>
    <row r="92" spans="1:66">
      <c r="A92" s="927">
        <f>'Input data'!A122</f>
        <v>2022</v>
      </c>
      <c r="B92" s="824">
        <f>'Input data'!B122</f>
        <v>60.682333816399378</v>
      </c>
      <c r="C92" s="824">
        <f>'Recycling - Case 2'!AK102/B92</f>
        <v>357.3809169014288</v>
      </c>
      <c r="D92" s="825">
        <f>'Recycling - Case 2'!AM102</f>
        <v>0.25693229767920933</v>
      </c>
      <c r="E92" s="826">
        <f>'Recycling - Case 2'!BE102</f>
        <v>0.18290250130037577</v>
      </c>
      <c r="F92" s="826">
        <f>'Recycling - Case 2'!BF102</f>
        <v>0.23196985347229873</v>
      </c>
      <c r="G92" s="826">
        <f>'Recycling - Case 2'!BG102</f>
        <v>7.1510507677601337E-2</v>
      </c>
      <c r="H92" s="826">
        <f>'Recycling - Case 2'!BH102</f>
        <v>0</v>
      </c>
      <c r="I92" s="826">
        <f>'Recycling - Case 2'!BI102</f>
        <v>0</v>
      </c>
      <c r="J92" s="826">
        <f>'Recycling - Case 2'!BJ102</f>
        <v>0</v>
      </c>
      <c r="K92" s="826">
        <f>'Recycling - Case 2'!BK102</f>
        <v>0.51361713754972427</v>
      </c>
      <c r="L92" s="827">
        <f t="shared" si="89"/>
        <v>1</v>
      </c>
      <c r="M92" s="4"/>
      <c r="N92" s="838">
        <f t="shared" si="56"/>
        <v>5572.0157409803969</v>
      </c>
      <c r="O92" s="833">
        <f>Parameters!R228</f>
        <v>0.83384615384615368</v>
      </c>
      <c r="P92" s="834">
        <f>E92*'MSW characteristics'!$B$28+'MSW characteristics'!$B$29*'4A SWD Case 2'!F92+'4A SWD Case 2'!G92*'MSW characteristics'!$B$30+'MSW characteristics'!$B$31*'4A SWD Case 2'!H92+'4A SWD Case 2'!I92*'MSW characteristics'!$B$32+'MSW characteristics'!$B$33*'4A SWD Case 2'!J92+'4A SWD Case 2'!K92*'MSW characteristics'!$B$35</f>
        <v>0.10243354896055665</v>
      </c>
      <c r="Q92" s="832">
        <f t="shared" si="57"/>
        <v>237.96357706868275</v>
      </c>
      <c r="R92" s="832">
        <f t="shared" si="58"/>
        <v>237.96357706868275</v>
      </c>
      <c r="S92" s="835">
        <f t="shared" si="59"/>
        <v>0</v>
      </c>
      <c r="T92" s="832">
        <f t="shared" si="60"/>
        <v>12683.587986840692</v>
      </c>
      <c r="U92" s="832">
        <f t="shared" si="61"/>
        <v>638.10080857321782</v>
      </c>
      <c r="V92" s="839">
        <f t="shared" si="62"/>
        <v>425.40053904881188</v>
      </c>
      <c r="W92" s="4"/>
      <c r="X92" s="852">
        <f>'Recycling - Case 2'!AM142</f>
        <v>0</v>
      </c>
      <c r="Y92" s="853">
        <f>Parameters!S227</f>
        <v>0.71500000000000008</v>
      </c>
      <c r="Z92" s="853">
        <f t="shared" si="63"/>
        <v>0.4</v>
      </c>
      <c r="AA92" s="854">
        <f t="shared" si="64"/>
        <v>0</v>
      </c>
      <c r="AB92" s="854">
        <f t="shared" si="65"/>
        <v>0</v>
      </c>
      <c r="AC92" s="855">
        <f t="shared" si="66"/>
        <v>0</v>
      </c>
      <c r="AD92" s="854">
        <f t="shared" si="67"/>
        <v>8983.5028749619196</v>
      </c>
      <c r="AE92" s="854">
        <f t="shared" si="68"/>
        <v>460.5940416964616</v>
      </c>
      <c r="AF92" s="856">
        <f t="shared" si="69"/>
        <v>307.06269446430775</v>
      </c>
      <c r="AG92" s="4"/>
      <c r="AH92" s="852">
        <f>'Recycling - Case 2'!AM182</f>
        <v>0</v>
      </c>
      <c r="AI92" s="853">
        <f>Parameters!S227</f>
        <v>0.71500000000000008</v>
      </c>
      <c r="AJ92" s="853">
        <f t="shared" si="70"/>
        <v>0.4</v>
      </c>
      <c r="AK92" s="854">
        <f t="shared" si="71"/>
        <v>0</v>
      </c>
      <c r="AL92" s="854">
        <f t="shared" si="72"/>
        <v>0</v>
      </c>
      <c r="AM92" s="855">
        <f t="shared" si="73"/>
        <v>0</v>
      </c>
      <c r="AN92" s="854">
        <f t="shared" si="74"/>
        <v>8983.5028749619196</v>
      </c>
      <c r="AO92" s="854">
        <f t="shared" si="75"/>
        <v>460.5940416964616</v>
      </c>
      <c r="AP92" s="856">
        <f t="shared" si="76"/>
        <v>307.06269446430775</v>
      </c>
      <c r="AR92" s="1042">
        <f>'Recycling - Case 2'!G102</f>
        <v>593.34615107097636</v>
      </c>
      <c r="AS92" s="1043">
        <v>1</v>
      </c>
      <c r="AT92" s="1043">
        <f t="shared" si="77"/>
        <v>0.05</v>
      </c>
      <c r="AU92" s="1044">
        <f t="shared" si="78"/>
        <v>14.83365377677441</v>
      </c>
      <c r="AV92" s="1044">
        <f t="shared" si="79"/>
        <v>14.83365377677441</v>
      </c>
      <c r="AW92" s="1045">
        <f t="shared" si="80"/>
        <v>0</v>
      </c>
      <c r="AX92" s="1044">
        <f t="shared" si="44"/>
        <v>167.45395638043627</v>
      </c>
      <c r="AY92" s="1044">
        <f t="shared" si="49"/>
        <v>9.4375124457182054</v>
      </c>
      <c r="AZ92" s="1046">
        <f t="shared" si="47"/>
        <v>6.2916749638121372</v>
      </c>
      <c r="BA92" s="4"/>
      <c r="BB92" s="1055">
        <f t="shared" si="81"/>
        <v>425.40053904881188</v>
      </c>
      <c r="BC92" s="1056">
        <f t="shared" si="82"/>
        <v>307.06269446430775</v>
      </c>
      <c r="BD92" s="1082">
        <f t="shared" si="90"/>
        <v>6.2916749638121372</v>
      </c>
      <c r="BE92" s="1056">
        <f t="shared" si="54"/>
        <v>738.75490847693175</v>
      </c>
      <c r="BF92" s="167">
        <v>0</v>
      </c>
      <c r="BG92" s="1075">
        <f t="shared" si="83"/>
        <v>738.75490847693175</v>
      </c>
      <c r="BI92" s="1055">
        <f t="shared" si="84"/>
        <v>425.40053904881188</v>
      </c>
      <c r="BJ92" s="1056">
        <f t="shared" si="85"/>
        <v>307.06269446430775</v>
      </c>
      <c r="BK92" s="1082">
        <f t="shared" si="86"/>
        <v>6.2916749638121372</v>
      </c>
      <c r="BL92" s="1056">
        <f t="shared" si="55"/>
        <v>738.75490847693175</v>
      </c>
      <c r="BM92" s="167">
        <v>0</v>
      </c>
      <c r="BN92" s="1075">
        <f t="shared" si="87"/>
        <v>738.75490847693175</v>
      </c>
    </row>
    <row r="93" spans="1:66">
      <c r="A93" s="927">
        <f>'Input data'!A123</f>
        <v>2023</v>
      </c>
      <c r="B93" s="824">
        <f>'Input data'!B123</f>
        <v>61.381040636574369</v>
      </c>
      <c r="C93" s="824">
        <f>'Recycling - Case 2'!AK103/B93</f>
        <v>349.33248261682064</v>
      </c>
      <c r="D93" s="825">
        <f>'Recycling - Case 2'!AM103</f>
        <v>0.24426822179068367</v>
      </c>
      <c r="E93" s="826">
        <f>'Recycling - Case 2'!BE103</f>
        <v>0.18636100272049838</v>
      </c>
      <c r="F93" s="826">
        <f>'Recycling - Case 2'!BF103</f>
        <v>0.23635616892427852</v>
      </c>
      <c r="G93" s="826">
        <f>'Recycling - Case 2'!BG103</f>
        <v>6.9596401833593682E-2</v>
      </c>
      <c r="H93" s="826">
        <f>'Recycling - Case 2'!BH103</f>
        <v>0</v>
      </c>
      <c r="I93" s="826">
        <f>'Recycling - Case 2'!BI103</f>
        <v>0</v>
      </c>
      <c r="J93" s="826">
        <f>'Recycling - Case 2'!BJ103</f>
        <v>0</v>
      </c>
      <c r="K93" s="826">
        <f>'Recycling - Case 2'!BK103</f>
        <v>0.50768642652162943</v>
      </c>
      <c r="L93" s="827">
        <f t="shared" si="89"/>
        <v>1</v>
      </c>
      <c r="M93" s="4"/>
      <c r="N93" s="838">
        <f t="shared" si="56"/>
        <v>5237.6947965215732</v>
      </c>
      <c r="O93" s="833">
        <f>Parameters!R229</f>
        <v>0.85461538461538455</v>
      </c>
      <c r="P93" s="834">
        <f>E93*'MSW characteristics'!$B$28+'MSW characteristics'!$B$29*'4A SWD Case 2'!F93+'4A SWD Case 2'!G93*'MSW characteristics'!$B$30+'MSW characteristics'!$B$31*'4A SWD Case 2'!H93+'4A SWD Case 2'!I93*'MSW characteristics'!$B$32+'MSW characteristics'!$B$33*'4A SWD Case 2'!J93+'4A SWD Case 2'!K93*'MSW characteristics'!$B$35</f>
        <v>0.10306394492636793</v>
      </c>
      <c r="Q93" s="832">
        <f t="shared" si="57"/>
        <v>230.66816508590523</v>
      </c>
      <c r="R93" s="832">
        <f t="shared" si="58"/>
        <v>230.66816508590523</v>
      </c>
      <c r="S93" s="835">
        <f t="shared" si="59"/>
        <v>0</v>
      </c>
      <c r="T93" s="832">
        <f t="shared" si="60"/>
        <v>12295.670266412546</v>
      </c>
      <c r="U93" s="832">
        <f t="shared" si="61"/>
        <v>618.58588551405069</v>
      </c>
      <c r="V93" s="839">
        <f t="shared" si="62"/>
        <v>412.39059034270048</v>
      </c>
      <c r="W93" s="4"/>
      <c r="X93" s="852">
        <f>'Recycling - Case 2'!AM143</f>
        <v>0</v>
      </c>
      <c r="Y93" s="853">
        <f>Parameters!S228</f>
        <v>0.71500000000000008</v>
      </c>
      <c r="Z93" s="853">
        <f t="shared" si="63"/>
        <v>0.4</v>
      </c>
      <c r="AA93" s="854">
        <f t="shared" si="64"/>
        <v>0</v>
      </c>
      <c r="AB93" s="854">
        <f t="shared" si="65"/>
        <v>0</v>
      </c>
      <c r="AC93" s="855">
        <f t="shared" si="66"/>
        <v>0</v>
      </c>
      <c r="AD93" s="854">
        <f t="shared" si="67"/>
        <v>8545.3722697505364</v>
      </c>
      <c r="AE93" s="854">
        <f t="shared" si="68"/>
        <v>438.130605211383</v>
      </c>
      <c r="AF93" s="856">
        <f t="shared" si="69"/>
        <v>292.08707014092198</v>
      </c>
      <c r="AG93" s="4"/>
      <c r="AH93" s="852">
        <f>'Recycling - Case 2'!AM183</f>
        <v>0</v>
      </c>
      <c r="AI93" s="853">
        <f>Parameters!S228</f>
        <v>0.71500000000000008</v>
      </c>
      <c r="AJ93" s="853">
        <f t="shared" si="70"/>
        <v>0.4</v>
      </c>
      <c r="AK93" s="854">
        <f t="shared" si="71"/>
        <v>0</v>
      </c>
      <c r="AL93" s="854">
        <f t="shared" si="72"/>
        <v>0</v>
      </c>
      <c r="AM93" s="855">
        <f t="shared" si="73"/>
        <v>0</v>
      </c>
      <c r="AN93" s="854">
        <f t="shared" si="74"/>
        <v>8545.3722697505364</v>
      </c>
      <c r="AO93" s="854">
        <f t="shared" si="75"/>
        <v>438.130605211383</v>
      </c>
      <c r="AP93" s="856">
        <f t="shared" si="76"/>
        <v>292.08707014092198</v>
      </c>
      <c r="AQ93" s="4"/>
      <c r="AR93" s="1042">
        <f>'Recycling - Case 2'!G103</f>
        <v>611.39963074599768</v>
      </c>
      <c r="AS93" s="1043">
        <v>1</v>
      </c>
      <c r="AT93" s="1043">
        <f t="shared" si="77"/>
        <v>0.05</v>
      </c>
      <c r="AU93" s="1044">
        <f t="shared" si="78"/>
        <v>15.284990768649942</v>
      </c>
      <c r="AV93" s="1044">
        <f t="shared" si="79"/>
        <v>15.284990768649942</v>
      </c>
      <c r="AW93" s="1045">
        <f t="shared" si="80"/>
        <v>0</v>
      </c>
      <c r="AX93" s="1044">
        <f t="shared" si="44"/>
        <v>172.98718789610865</v>
      </c>
      <c r="AY93" s="1044">
        <f t="shared" si="49"/>
        <v>9.7517592529775765</v>
      </c>
      <c r="AZ93" s="1046">
        <f t="shared" si="47"/>
        <v>6.5011728353183846</v>
      </c>
      <c r="BA93" s="4"/>
      <c r="BB93" s="1055">
        <f t="shared" si="81"/>
        <v>412.39059034270048</v>
      </c>
      <c r="BC93" s="1056">
        <f t="shared" si="82"/>
        <v>292.08707014092198</v>
      </c>
      <c r="BD93" s="1082">
        <f t="shared" si="90"/>
        <v>6.5011728353183846</v>
      </c>
      <c r="BE93" s="1056">
        <f t="shared" si="54"/>
        <v>710.97883331894081</v>
      </c>
      <c r="BF93" s="167">
        <v>0</v>
      </c>
      <c r="BG93" s="1075">
        <f t="shared" si="83"/>
        <v>710.97883331894081</v>
      </c>
      <c r="BI93" s="1055">
        <f t="shared" si="84"/>
        <v>412.39059034270048</v>
      </c>
      <c r="BJ93" s="1056">
        <f t="shared" si="85"/>
        <v>292.08707014092198</v>
      </c>
      <c r="BK93" s="1082">
        <f t="shared" si="86"/>
        <v>6.5011728353183846</v>
      </c>
      <c r="BL93" s="1056">
        <f t="shared" si="55"/>
        <v>710.97883331894081</v>
      </c>
      <c r="BM93" s="167">
        <v>0</v>
      </c>
      <c r="BN93" s="1075">
        <f t="shared" si="87"/>
        <v>710.97883331894081</v>
      </c>
    </row>
    <row r="94" spans="1:66">
      <c r="A94" s="927">
        <f>'Input data'!A124</f>
        <v>2024</v>
      </c>
      <c r="B94" s="824">
        <f>'Input data'!B124</f>
        <v>62.087792487153699</v>
      </c>
      <c r="C94" s="824">
        <f>'Recycling - Case 2'!AK104/B94</f>
        <v>341.44831989252719</v>
      </c>
      <c r="D94" s="825">
        <f>'Recycling - Case 2'!AM104</f>
        <v>0.23129370223762682</v>
      </c>
      <c r="E94" s="826">
        <f>'Recycling - Case 2'!BE104</f>
        <v>0.18986963377374971</v>
      </c>
      <c r="F94" s="826">
        <f>'Recycling - Case 2'!BF104</f>
        <v>0.24080606231296667</v>
      </c>
      <c r="G94" s="826">
        <f>'Recycling - Case 2'!BG104</f>
        <v>6.76511525592466E-2</v>
      </c>
      <c r="H94" s="826">
        <f>'Recycling - Case 2'!BH104</f>
        <v>0</v>
      </c>
      <c r="I94" s="826">
        <f>'Recycling - Case 2'!BI104</f>
        <v>0</v>
      </c>
      <c r="J94" s="826">
        <f>'Recycling - Case 2'!BJ104</f>
        <v>0</v>
      </c>
      <c r="K94" s="826">
        <f>'Recycling - Case 2'!BK104</f>
        <v>0.50167315135403667</v>
      </c>
      <c r="L94" s="827">
        <f t="shared" si="89"/>
        <v>0.99999999999999967</v>
      </c>
      <c r="M94" s="4"/>
      <c r="N94" s="838">
        <f t="shared" si="56"/>
        <v>4903.3738520627494</v>
      </c>
      <c r="O94" s="833">
        <f>Parameters!R230</f>
        <v>0.87538461538461509</v>
      </c>
      <c r="P94" s="834">
        <f>E94*'MSW characteristics'!$B$28+'MSW characteristics'!$B$29*'4A SWD Case 2'!F94+'4A SWD Case 2'!G94*'MSW characteristics'!$B$30+'MSW characteristics'!$B$31*'4A SWD Case 2'!H94+'4A SWD Case 2'!I94*'MSW characteristics'!$B$32+'MSW characteristics'!$B$33*'4A SWD Case 2'!J94+'4A SWD Case 2'!K94*'MSW characteristics'!$B$35</f>
        <v>0.10370211855235442</v>
      </c>
      <c r="Q94" s="832">
        <f t="shared" si="57"/>
        <v>222.56227381228354</v>
      </c>
      <c r="R94" s="832">
        <f t="shared" si="58"/>
        <v>222.56227381228354</v>
      </c>
      <c r="S94" s="835">
        <f t="shared" si="59"/>
        <v>0</v>
      </c>
      <c r="T94" s="832">
        <f t="shared" si="60"/>
        <v>11918.565625182431</v>
      </c>
      <c r="U94" s="832">
        <f t="shared" si="61"/>
        <v>599.66691504239884</v>
      </c>
      <c r="V94" s="839">
        <f t="shared" si="62"/>
        <v>399.77794336159923</v>
      </c>
      <c r="W94" s="4"/>
      <c r="X94" s="852">
        <f>'Recycling - Case 2'!AM144</f>
        <v>0</v>
      </c>
      <c r="Y94" s="853">
        <f>Parameters!S229</f>
        <v>0.71500000000000008</v>
      </c>
      <c r="Z94" s="853">
        <f t="shared" si="63"/>
        <v>0.4</v>
      </c>
      <c r="AA94" s="854">
        <f t="shared" si="64"/>
        <v>0</v>
      </c>
      <c r="AB94" s="854">
        <f t="shared" si="65"/>
        <v>0</v>
      </c>
      <c r="AC94" s="855">
        <f t="shared" si="66"/>
        <v>0</v>
      </c>
      <c r="AD94" s="854">
        <f t="shared" si="67"/>
        <v>8128.6095462991634</v>
      </c>
      <c r="AE94" s="854">
        <f t="shared" si="68"/>
        <v>416.76272345137335</v>
      </c>
      <c r="AF94" s="856">
        <f t="shared" si="69"/>
        <v>277.84181563424892</v>
      </c>
      <c r="AG94" s="4"/>
      <c r="AH94" s="852">
        <f>'Recycling - Case 2'!AM184</f>
        <v>0</v>
      </c>
      <c r="AI94" s="853">
        <f>Parameters!S229</f>
        <v>0.71500000000000008</v>
      </c>
      <c r="AJ94" s="853">
        <f t="shared" si="70"/>
        <v>0.4</v>
      </c>
      <c r="AK94" s="854">
        <f t="shared" si="71"/>
        <v>0</v>
      </c>
      <c r="AL94" s="854">
        <f t="shared" si="72"/>
        <v>0</v>
      </c>
      <c r="AM94" s="855">
        <f t="shared" si="73"/>
        <v>0</v>
      </c>
      <c r="AN94" s="854">
        <f t="shared" si="74"/>
        <v>8128.6095462991634</v>
      </c>
      <c r="AO94" s="854">
        <f t="shared" si="75"/>
        <v>416.76272345137335</v>
      </c>
      <c r="AP94" s="856">
        <f t="shared" si="76"/>
        <v>277.84181563424892</v>
      </c>
      <c r="AQ94" s="4"/>
      <c r="AR94" s="1042">
        <f>'Recycling - Case 2'!G104</f>
        <v>629.79018860574899</v>
      </c>
      <c r="AS94" s="1043">
        <v>1</v>
      </c>
      <c r="AT94" s="1043">
        <f t="shared" si="77"/>
        <v>0.05</v>
      </c>
      <c r="AU94" s="1044">
        <f t="shared" si="78"/>
        <v>15.744754715143726</v>
      </c>
      <c r="AV94" s="1044">
        <f t="shared" si="79"/>
        <v>15.744754715143726</v>
      </c>
      <c r="AW94" s="1045">
        <f t="shared" si="80"/>
        <v>0</v>
      </c>
      <c r="AX94" s="1044">
        <f t="shared" si="44"/>
        <v>178.65795304017328</v>
      </c>
      <c r="AY94" s="1044">
        <f t="shared" si="49"/>
        <v>10.073989571079093</v>
      </c>
      <c r="AZ94" s="1046">
        <f t="shared" si="47"/>
        <v>6.7159930473860614</v>
      </c>
      <c r="BA94" s="4"/>
      <c r="BB94" s="1055">
        <f t="shared" si="81"/>
        <v>399.77794336159923</v>
      </c>
      <c r="BC94" s="1056">
        <f t="shared" si="82"/>
        <v>277.84181563424892</v>
      </c>
      <c r="BD94" s="1082">
        <f t="shared" si="90"/>
        <v>6.7159930473860614</v>
      </c>
      <c r="BE94" s="1056">
        <f t="shared" si="54"/>
        <v>684.33575204323415</v>
      </c>
      <c r="BF94" s="167">
        <v>0</v>
      </c>
      <c r="BG94" s="1075">
        <f t="shared" si="83"/>
        <v>684.33575204323415</v>
      </c>
      <c r="BI94" s="1055">
        <f t="shared" si="84"/>
        <v>399.77794336159923</v>
      </c>
      <c r="BJ94" s="1056">
        <f t="shared" si="85"/>
        <v>277.84181563424892</v>
      </c>
      <c r="BK94" s="1082">
        <f t="shared" si="86"/>
        <v>6.7159930473860614</v>
      </c>
      <c r="BL94" s="1056">
        <f t="shared" si="55"/>
        <v>684.33575204323415</v>
      </c>
      <c r="BM94" s="167">
        <v>0</v>
      </c>
      <c r="BN94" s="1075">
        <f t="shared" si="87"/>
        <v>684.33575204323415</v>
      </c>
    </row>
    <row r="95" spans="1:66">
      <c r="A95" s="927">
        <f>'Input data'!A125</f>
        <v>2025</v>
      </c>
      <c r="B95" s="824">
        <f>'Input data'!B125</f>
        <v>62.802682000000026</v>
      </c>
      <c r="C95" s="824">
        <f>'Recycling - Case 2'!AK105/B95</f>
        <v>333.72523472030412</v>
      </c>
      <c r="D95" s="825">
        <f>'Recycling - Case 2'!AM105</f>
        <v>0.21800123256124831</v>
      </c>
      <c r="E95" s="826">
        <f>'Recycling - Case 2'!BE105</f>
        <v>0.19343040664681491</v>
      </c>
      <c r="F95" s="826">
        <f>'Recycling - Case 2'!BF105</f>
        <v>0.24532208563545013</v>
      </c>
      <c r="G95" s="826">
        <f>'Recycling - Case 2'!BG105</f>
        <v>6.5673591883493782E-2</v>
      </c>
      <c r="H95" s="826">
        <f>'Recycling - Case 2'!BH105</f>
        <v>0</v>
      </c>
      <c r="I95" s="826">
        <f>'Recycling - Case 2'!BI105</f>
        <v>0</v>
      </c>
      <c r="J95" s="826">
        <f>'Recycling - Case 2'!BJ105</f>
        <v>0</v>
      </c>
      <c r="K95" s="826">
        <f>'Recycling - Case 2'!BK105</f>
        <v>0.49557391583424132</v>
      </c>
      <c r="L95" s="827">
        <f t="shared" si="89"/>
        <v>1.0000000000000002</v>
      </c>
      <c r="M95" s="4"/>
      <c r="N95" s="838">
        <f t="shared" si="56"/>
        <v>4569.0529076039256</v>
      </c>
      <c r="O95" s="833">
        <f>Parameters!R231</f>
        <v>0.89615384615384586</v>
      </c>
      <c r="P95" s="834">
        <f>E95*'MSW characteristics'!$B$28+'MSW characteristics'!$B$29*'4A SWD Case 2'!F95+'4A SWD Case 2'!G95*'MSW characteristics'!$B$30+'MSW characteristics'!$B$31*'4A SWD Case 2'!H95+'4A SWD Case 2'!I95*'MSW characteristics'!$B$32+'MSW characteristics'!$B$33*'4A SWD Case 2'!J95+'4A SWD Case 2'!K95*'MSW characteristics'!$B$35</f>
        <v>0.10434841487750979</v>
      </c>
      <c r="Q95" s="832">
        <f t="shared" si="57"/>
        <v>213.6311708022838</v>
      </c>
      <c r="R95" s="832">
        <f t="shared" si="58"/>
        <v>213.6311708022838</v>
      </c>
      <c r="S95" s="835">
        <f t="shared" si="59"/>
        <v>0</v>
      </c>
      <c r="T95" s="832">
        <f t="shared" si="60"/>
        <v>11550.921491318561</v>
      </c>
      <c r="U95" s="832">
        <f t="shared" si="61"/>
        <v>581.2753046661544</v>
      </c>
      <c r="V95" s="839">
        <f t="shared" si="62"/>
        <v>387.51686977743628</v>
      </c>
      <c r="W95" s="4"/>
      <c r="X95" s="852">
        <f>'Recycling - Case 2'!AM145</f>
        <v>0</v>
      </c>
      <c r="Y95" s="853">
        <f>Parameters!S230</f>
        <v>0.71500000000000008</v>
      </c>
      <c r="Z95" s="853">
        <f t="shared" si="63"/>
        <v>0.4</v>
      </c>
      <c r="AA95" s="854">
        <f t="shared" si="64"/>
        <v>0</v>
      </c>
      <c r="AB95" s="854">
        <f t="shared" si="65"/>
        <v>0</v>
      </c>
      <c r="AC95" s="855">
        <f t="shared" si="66"/>
        <v>0</v>
      </c>
      <c r="AD95" s="854">
        <f t="shared" si="67"/>
        <v>7732.1725807171633</v>
      </c>
      <c r="AE95" s="854">
        <f t="shared" si="68"/>
        <v>396.43696558200014</v>
      </c>
      <c r="AF95" s="856">
        <f t="shared" si="69"/>
        <v>264.29131038800011</v>
      </c>
      <c r="AG95" s="4"/>
      <c r="AH95" s="852">
        <f>'Recycling - Case 2'!AM185</f>
        <v>0</v>
      </c>
      <c r="AI95" s="853">
        <f>Parameters!S230</f>
        <v>0.71500000000000008</v>
      </c>
      <c r="AJ95" s="853">
        <f t="shared" si="70"/>
        <v>0.4</v>
      </c>
      <c r="AK95" s="854">
        <f t="shared" si="71"/>
        <v>0</v>
      </c>
      <c r="AL95" s="854">
        <f t="shared" si="72"/>
        <v>0</v>
      </c>
      <c r="AM95" s="855">
        <f t="shared" si="73"/>
        <v>0</v>
      </c>
      <c r="AN95" s="854">
        <f t="shared" si="74"/>
        <v>7732.1725807171633</v>
      </c>
      <c r="AO95" s="854">
        <f t="shared" si="75"/>
        <v>396.43696558200014</v>
      </c>
      <c r="AP95" s="856">
        <f t="shared" si="76"/>
        <v>264.29131038800011</v>
      </c>
      <c r="AQ95" s="4"/>
      <c r="AR95" s="1042">
        <f>'Recycling - Case 2'!G105</f>
        <v>648.52319354163239</v>
      </c>
      <c r="AS95" s="1043">
        <v>1</v>
      </c>
      <c r="AT95" s="1043">
        <f t="shared" si="77"/>
        <v>0.05</v>
      </c>
      <c r="AU95" s="1044">
        <f t="shared" si="78"/>
        <v>16.213079838540811</v>
      </c>
      <c r="AV95" s="1044">
        <f t="shared" si="79"/>
        <v>16.213079838540811</v>
      </c>
      <c r="AW95" s="1045">
        <f t="shared" si="80"/>
        <v>0</v>
      </c>
      <c r="AX95" s="1044">
        <f t="shared" si="44"/>
        <v>184.46680365453622</v>
      </c>
      <c r="AY95" s="1044">
        <f t="shared" si="49"/>
        <v>10.404229224177881</v>
      </c>
      <c r="AZ95" s="1046">
        <f t="shared" si="47"/>
        <v>6.9361528161185868</v>
      </c>
      <c r="BA95" s="4"/>
      <c r="BB95" s="1055">
        <f t="shared" si="81"/>
        <v>387.51686977743628</v>
      </c>
      <c r="BC95" s="1056">
        <f t="shared" si="82"/>
        <v>264.29131038800011</v>
      </c>
      <c r="BD95" s="1082">
        <f t="shared" si="90"/>
        <v>6.9361528161185868</v>
      </c>
      <c r="BE95" s="1056">
        <f t="shared" si="54"/>
        <v>658.74433298155498</v>
      </c>
      <c r="BF95" s="167">
        <v>0</v>
      </c>
      <c r="BG95" s="1075">
        <f t="shared" si="83"/>
        <v>658.74433298155498</v>
      </c>
      <c r="BI95" s="1055">
        <f t="shared" si="84"/>
        <v>387.51686977743628</v>
      </c>
      <c r="BJ95" s="1056">
        <f t="shared" si="85"/>
        <v>264.29131038800011</v>
      </c>
      <c r="BK95" s="1082">
        <f t="shared" si="86"/>
        <v>6.9361528161185868</v>
      </c>
      <c r="BL95" s="1056">
        <f t="shared" si="55"/>
        <v>658.74433298155498</v>
      </c>
      <c r="BM95" s="167">
        <v>0</v>
      </c>
      <c r="BN95" s="1075">
        <f t="shared" si="87"/>
        <v>658.74433298155498</v>
      </c>
    </row>
    <row r="96" spans="1:66">
      <c r="A96" s="927">
        <f>'Input data'!A126</f>
        <v>2026</v>
      </c>
      <c r="B96" s="824">
        <f>'Input data'!B126</f>
        <v>63.421065342005143</v>
      </c>
      <c r="C96" s="824">
        <f>'Recycling - Case 2'!AK106/B96</f>
        <v>326.49534137552507</v>
      </c>
      <c r="D96" s="825">
        <f>'Recycling - Case 2'!AM106</f>
        <v>0.20451040324022446</v>
      </c>
      <c r="E96" s="826">
        <f>'Recycling - Case 2'!BE106</f>
        <v>0.19690110218745824</v>
      </c>
      <c r="F96" s="826">
        <f>'Recycling - Case 2'!BF106</f>
        <v>0.24972386653120623</v>
      </c>
      <c r="G96" s="826">
        <f>'Recycling - Case 2'!BG106</f>
        <v>6.3700184645464952E-2</v>
      </c>
      <c r="H96" s="826">
        <f>'Recycling - Case 2'!BH106</f>
        <v>0</v>
      </c>
      <c r="I96" s="826">
        <f>'Recycling - Case 2'!BI106</f>
        <v>0</v>
      </c>
      <c r="J96" s="826">
        <f>'Recycling - Case 2'!BJ106</f>
        <v>0</v>
      </c>
      <c r="K96" s="826">
        <f>'Recycling - Case 2'!BK106</f>
        <v>0.48967484663587058</v>
      </c>
      <c r="L96" s="827">
        <f t="shared" si="89"/>
        <v>1</v>
      </c>
      <c r="M96" s="4"/>
      <c r="N96" s="838">
        <f t="shared" si="56"/>
        <v>4234.7319631451019</v>
      </c>
      <c r="O96" s="833">
        <f>Parameters!R232</f>
        <v>0.91692307692307662</v>
      </c>
      <c r="P96" s="834">
        <f>E96*'MSW characteristics'!$B$28+'MSW characteristics'!$B$29*'4A SWD Case 2'!F96+'4A SWD Case 2'!G96*'MSW characteristics'!$B$30+'MSW characteristics'!$B$31*'4A SWD Case 2'!H96+'4A SWD Case 2'!I96*'MSW characteristics'!$B$32+'MSW characteristics'!$B$33*'4A SWD Case 2'!J96+'4A SWD Case 2'!K96*'MSW characteristics'!$B$35</f>
        <v>0.10496001249254597</v>
      </c>
      <c r="Q96" s="832">
        <f t="shared" si="57"/>
        <v>203.77584751812222</v>
      </c>
      <c r="R96" s="832">
        <f t="shared" si="58"/>
        <v>203.77584751812222</v>
      </c>
      <c r="S96" s="835">
        <f t="shared" si="59"/>
        <v>0</v>
      </c>
      <c r="T96" s="832">
        <f t="shared" si="60"/>
        <v>11191.352250158005</v>
      </c>
      <c r="U96" s="832">
        <f t="shared" si="61"/>
        <v>563.34508867867692</v>
      </c>
      <c r="V96" s="839">
        <f t="shared" si="62"/>
        <v>375.5633924524513</v>
      </c>
      <c r="W96" s="4"/>
      <c r="X96" s="852">
        <f>'Recycling - Case 2'!AM146</f>
        <v>0</v>
      </c>
      <c r="Y96" s="853">
        <f>Parameters!S231</f>
        <v>0.71500000000000008</v>
      </c>
      <c r="Z96" s="853">
        <f t="shared" si="63"/>
        <v>0.4</v>
      </c>
      <c r="AA96" s="854">
        <f t="shared" si="64"/>
        <v>0</v>
      </c>
      <c r="AB96" s="854">
        <f t="shared" si="65"/>
        <v>0</v>
      </c>
      <c r="AC96" s="855">
        <f t="shared" si="66"/>
        <v>0</v>
      </c>
      <c r="AD96" s="854">
        <f t="shared" si="67"/>
        <v>7355.0700740957882</v>
      </c>
      <c r="AE96" s="854">
        <f t="shared" si="68"/>
        <v>377.10250662137537</v>
      </c>
      <c r="AF96" s="856">
        <f t="shared" si="69"/>
        <v>251.40167108091691</v>
      </c>
      <c r="AG96" s="4"/>
      <c r="AH96" s="852">
        <f>'Recycling - Case 2'!AM186</f>
        <v>0</v>
      </c>
      <c r="AI96" s="853">
        <f>Parameters!S231</f>
        <v>0.71500000000000008</v>
      </c>
      <c r="AJ96" s="853">
        <f t="shared" si="70"/>
        <v>0.4</v>
      </c>
      <c r="AK96" s="854">
        <f t="shared" si="71"/>
        <v>0</v>
      </c>
      <c r="AL96" s="854">
        <f t="shared" si="72"/>
        <v>0</v>
      </c>
      <c r="AM96" s="855">
        <f t="shared" si="73"/>
        <v>0</v>
      </c>
      <c r="AN96" s="854">
        <f t="shared" si="74"/>
        <v>7355.0700740957882</v>
      </c>
      <c r="AO96" s="854">
        <f t="shared" si="75"/>
        <v>377.10250662137537</v>
      </c>
      <c r="AP96" s="856">
        <f t="shared" si="76"/>
        <v>251.40167108091691</v>
      </c>
      <c r="AQ96" s="4"/>
      <c r="AR96" s="1042">
        <f>'Recycling - Case 2'!G106</f>
        <v>666.50338782740016</v>
      </c>
      <c r="AS96" s="1043">
        <v>1</v>
      </c>
      <c r="AT96" s="1043">
        <f t="shared" si="77"/>
        <v>0.05</v>
      </c>
      <c r="AU96" s="1044">
        <f t="shared" si="78"/>
        <v>16.662584695685005</v>
      </c>
      <c r="AV96" s="1044">
        <f t="shared" si="79"/>
        <v>16.662584695685005</v>
      </c>
      <c r="AW96" s="1045">
        <f t="shared" si="80"/>
        <v>0</v>
      </c>
      <c r="AX96" s="1044">
        <f t="shared" si="44"/>
        <v>190.38687800117651</v>
      </c>
      <c r="AY96" s="1044">
        <f t="shared" si="49"/>
        <v>10.74251034904473</v>
      </c>
      <c r="AZ96" s="1046">
        <f t="shared" si="47"/>
        <v>7.1616735660298199</v>
      </c>
      <c r="BA96" s="4"/>
      <c r="BB96" s="1055">
        <f t="shared" si="81"/>
        <v>375.5633924524513</v>
      </c>
      <c r="BC96" s="1056">
        <f t="shared" si="82"/>
        <v>251.40167108091691</v>
      </c>
      <c r="BD96" s="1082">
        <f t="shared" si="90"/>
        <v>7.1616735660298199</v>
      </c>
      <c r="BE96" s="1056">
        <f t="shared" si="54"/>
        <v>634.12673709939804</v>
      </c>
      <c r="BF96" s="167">
        <v>0</v>
      </c>
      <c r="BG96" s="1075">
        <f t="shared" si="83"/>
        <v>634.12673709939804</v>
      </c>
      <c r="BI96" s="1055">
        <f t="shared" si="84"/>
        <v>375.5633924524513</v>
      </c>
      <c r="BJ96" s="1056">
        <f t="shared" si="85"/>
        <v>251.40167108091691</v>
      </c>
      <c r="BK96" s="1082">
        <f t="shared" si="86"/>
        <v>7.1616735660298199</v>
      </c>
      <c r="BL96" s="1056">
        <f t="shared" si="55"/>
        <v>634.12673709939804</v>
      </c>
      <c r="BM96" s="167">
        <v>0</v>
      </c>
      <c r="BN96" s="1075">
        <f t="shared" si="87"/>
        <v>634.12673709939804</v>
      </c>
    </row>
    <row r="97" spans="1:66">
      <c r="A97" s="927">
        <f>'Input data'!A127</f>
        <v>2027</v>
      </c>
      <c r="B97" s="824">
        <f>'Input data'!B127</f>
        <v>64.045537563425796</v>
      </c>
      <c r="C97" s="824">
        <f>'Recycling - Case 2'!AK107/B97</f>
        <v>319.38789989359691</v>
      </c>
      <c r="D97" s="825">
        <f>'Recycling - Case 2'!AM107</f>
        <v>0.19067907685240901</v>
      </c>
      <c r="E97" s="826">
        <f>'Recycling - Case 2'!BE107</f>
        <v>0.20043273956918531</v>
      </c>
      <c r="F97" s="826">
        <f>'Recycling - Case 2'!BF107</f>
        <v>0.25420293816845596</v>
      </c>
      <c r="G97" s="826">
        <f>'Recycling - Case 2'!BG107</f>
        <v>6.1689515064928716E-2</v>
      </c>
      <c r="H97" s="826">
        <f>'Recycling - Case 2'!BH107</f>
        <v>0</v>
      </c>
      <c r="I97" s="826">
        <f>'Recycling - Case 2'!BI107</f>
        <v>0</v>
      </c>
      <c r="J97" s="826">
        <f>'Recycling - Case 2'!BJ107</f>
        <v>0</v>
      </c>
      <c r="K97" s="826">
        <f>'Recycling - Case 2'!BK107</f>
        <v>0.48367480719743011</v>
      </c>
      <c r="L97" s="827">
        <f t="shared" si="89"/>
        <v>1</v>
      </c>
      <c r="M97" s="4"/>
      <c r="N97" s="838">
        <f t="shared" si="56"/>
        <v>3900.4110186862781</v>
      </c>
      <c r="O97" s="833">
        <f>Parameters!R233</f>
        <v>0.93769230769230727</v>
      </c>
      <c r="P97" s="834">
        <f>E97*'MSW characteristics'!$B$28+'MSW characteristics'!$B$29*'4A SWD Case 2'!F97+'4A SWD Case 2'!G97*'MSW characteristics'!$B$30+'MSW characteristics'!$B$31*'4A SWD Case 2'!H97+'4A SWD Case 2'!I97*'MSW characteristics'!$B$32+'MSW characteristics'!$B$33*'4A SWD Case 2'!J97+'4A SWD Case 2'!K97*'MSW characteristics'!$B$35</f>
        <v>0.10558130459504048</v>
      </c>
      <c r="Q97" s="832">
        <f t="shared" si="57"/>
        <v>193.07576144773347</v>
      </c>
      <c r="R97" s="832">
        <f t="shared" si="58"/>
        <v>193.07576144773347</v>
      </c>
      <c r="S97" s="835">
        <f t="shared" si="59"/>
        <v>0</v>
      </c>
      <c r="T97" s="832">
        <f t="shared" si="60"/>
        <v>10838.619321750302</v>
      </c>
      <c r="U97" s="832">
        <f t="shared" si="61"/>
        <v>545.80868985543509</v>
      </c>
      <c r="V97" s="839">
        <f t="shared" si="62"/>
        <v>363.87245990362339</v>
      </c>
      <c r="W97" s="4"/>
      <c r="X97" s="852">
        <f>'Recycling - Case 2'!AM147</f>
        <v>0</v>
      </c>
      <c r="Y97" s="853">
        <f>Parameters!S232</f>
        <v>0.71500000000000008</v>
      </c>
      <c r="Z97" s="853">
        <f t="shared" si="63"/>
        <v>0.4</v>
      </c>
      <c r="AA97" s="854">
        <f t="shared" si="64"/>
        <v>0</v>
      </c>
      <c r="AB97" s="854">
        <f t="shared" si="65"/>
        <v>0</v>
      </c>
      <c r="AC97" s="855">
        <f t="shared" si="66"/>
        <v>0</v>
      </c>
      <c r="AD97" s="854">
        <f t="shared" si="67"/>
        <v>6996.3590737445602</v>
      </c>
      <c r="AE97" s="854">
        <f t="shared" si="68"/>
        <v>358.7110003512276</v>
      </c>
      <c r="AF97" s="856">
        <f t="shared" si="69"/>
        <v>239.14066690081839</v>
      </c>
      <c r="AG97" s="4"/>
      <c r="AH97" s="852">
        <f>'Recycling - Case 2'!AM187</f>
        <v>0</v>
      </c>
      <c r="AI97" s="853">
        <f>Parameters!S232</f>
        <v>0.71500000000000008</v>
      </c>
      <c r="AJ97" s="853">
        <f t="shared" si="70"/>
        <v>0.4</v>
      </c>
      <c r="AK97" s="854">
        <f t="shared" si="71"/>
        <v>0</v>
      </c>
      <c r="AL97" s="854">
        <f t="shared" si="72"/>
        <v>0</v>
      </c>
      <c r="AM97" s="855">
        <f t="shared" si="73"/>
        <v>0</v>
      </c>
      <c r="AN97" s="854">
        <f t="shared" si="74"/>
        <v>6996.3590737445602</v>
      </c>
      <c r="AO97" s="854">
        <f t="shared" si="75"/>
        <v>358.7110003512276</v>
      </c>
      <c r="AP97" s="856">
        <f t="shared" si="76"/>
        <v>239.14066690081839</v>
      </c>
      <c r="AQ97" s="4"/>
      <c r="AR97" s="1042">
        <f>'Recycling - Case 2'!G107</f>
        <v>684.77478823938122</v>
      </c>
      <c r="AS97" s="1043">
        <v>1</v>
      </c>
      <c r="AT97" s="1043">
        <f t="shared" si="77"/>
        <v>0.05</v>
      </c>
      <c r="AU97" s="1044">
        <f t="shared" si="78"/>
        <v>17.119369705984532</v>
      </c>
      <c r="AV97" s="1044">
        <f t="shared" si="79"/>
        <v>17.119369705984532</v>
      </c>
      <c r="AW97" s="1045">
        <f t="shared" si="80"/>
        <v>0</v>
      </c>
      <c r="AX97" s="1044">
        <f t="shared" si="44"/>
        <v>196.41897906732379</v>
      </c>
      <c r="AY97" s="1044">
        <f t="shared" si="49"/>
        <v>11.087268639837252</v>
      </c>
      <c r="AZ97" s="1046">
        <f t="shared" si="47"/>
        <v>7.391512426558168</v>
      </c>
      <c r="BA97" s="4"/>
      <c r="BB97" s="1055">
        <f t="shared" si="81"/>
        <v>363.87245990362339</v>
      </c>
      <c r="BC97" s="1056">
        <f t="shared" si="82"/>
        <v>239.14066690081839</v>
      </c>
      <c r="BD97" s="1082">
        <f t="shared" si="90"/>
        <v>7.391512426558168</v>
      </c>
      <c r="BE97" s="1056">
        <f t="shared" si="54"/>
        <v>610.40463923099992</v>
      </c>
      <c r="BF97" s="167">
        <v>0</v>
      </c>
      <c r="BG97" s="1075">
        <f t="shared" si="83"/>
        <v>610.40463923099992</v>
      </c>
      <c r="BI97" s="1055">
        <f t="shared" si="84"/>
        <v>363.87245990362339</v>
      </c>
      <c r="BJ97" s="1056">
        <f t="shared" si="85"/>
        <v>239.14066690081839</v>
      </c>
      <c r="BK97" s="1082">
        <f t="shared" si="86"/>
        <v>7.391512426558168</v>
      </c>
      <c r="BL97" s="1056">
        <f t="shared" si="55"/>
        <v>610.40463923099992</v>
      </c>
      <c r="BM97" s="167">
        <v>0</v>
      </c>
      <c r="BN97" s="1075">
        <f t="shared" si="87"/>
        <v>610.40463923099992</v>
      </c>
    </row>
    <row r="98" spans="1:66">
      <c r="A98" s="927">
        <f>'Input data'!A128</f>
        <v>2028</v>
      </c>
      <c r="B98" s="824">
        <f>'Input data'!B128</f>
        <v>64.676158618096451</v>
      </c>
      <c r="C98" s="824">
        <f>'Recycling - Case 2'!AK108/B98</f>
        <v>312.40049312460883</v>
      </c>
      <c r="D98" s="825">
        <f>'Recycling - Case 2'!AM108</f>
        <v>0.17649661494683172</v>
      </c>
      <c r="E98" s="826">
        <f>'Recycling - Case 2'!BE108</f>
        <v>0.20402762314460737</v>
      </c>
      <c r="F98" s="826">
        <f>'Recycling - Case 2'!BF108</f>
        <v>0.25876222308972174</v>
      </c>
      <c r="G98" s="826">
        <f>'Recycling - Case 2'!BG108</f>
        <v>5.9640219057551069E-2</v>
      </c>
      <c r="H98" s="826">
        <f>'Recycling - Case 2'!BH108</f>
        <v>0</v>
      </c>
      <c r="I98" s="826">
        <f>'Recycling - Case 2'!BI108</f>
        <v>0</v>
      </c>
      <c r="J98" s="826">
        <f>'Recycling - Case 2'!BJ108</f>
        <v>0</v>
      </c>
      <c r="K98" s="826">
        <f>'Recycling - Case 2'!BK108</f>
        <v>0.47756993470811976</v>
      </c>
      <c r="L98" s="827">
        <f t="shared" si="89"/>
        <v>1</v>
      </c>
      <c r="M98" s="4"/>
      <c r="N98" s="838">
        <f t="shared" si="56"/>
        <v>3566.0900742274539</v>
      </c>
      <c r="O98" s="833">
        <f>Parameters!R234</f>
        <v>0.95846153846153803</v>
      </c>
      <c r="P98" s="834">
        <f>E98*'MSW characteristics'!$B$28+'MSW characteristics'!$B$29*'4A SWD Case 2'!F98+'4A SWD Case 2'!G98*'MSW characteristics'!$B$30+'MSW characteristics'!$B$31*'4A SWD Case 2'!H98+'4A SWD Case 2'!I98*'MSW characteristics'!$B$32+'MSW characteristics'!$B$33*'4A SWD Case 2'!J98+'4A SWD Case 2'!K98*'MSW characteristics'!$B$35</f>
        <v>0.10621267571265587</v>
      </c>
      <c r="Q98" s="832">
        <f t="shared" si="57"/>
        <v>181.51534803676438</v>
      </c>
      <c r="R98" s="832">
        <f t="shared" si="58"/>
        <v>181.51534803676438</v>
      </c>
      <c r="S98" s="835">
        <f t="shared" si="59"/>
        <v>0</v>
      </c>
      <c r="T98" s="832">
        <f t="shared" si="60"/>
        <v>10491.528967847624</v>
      </c>
      <c r="U98" s="832">
        <f t="shared" si="61"/>
        <v>528.60570193944295</v>
      </c>
      <c r="V98" s="839">
        <f t="shared" si="62"/>
        <v>352.40380129296199</v>
      </c>
      <c r="W98" s="4"/>
      <c r="X98" s="852">
        <f>'Recycling - Case 2'!AM148</f>
        <v>0</v>
      </c>
      <c r="Y98" s="853">
        <f>Parameters!S233</f>
        <v>0.71500000000000008</v>
      </c>
      <c r="Z98" s="853">
        <f t="shared" si="63"/>
        <v>0.4</v>
      </c>
      <c r="AA98" s="854">
        <f t="shared" si="64"/>
        <v>0</v>
      </c>
      <c r="AB98" s="854">
        <f t="shared" si="65"/>
        <v>0</v>
      </c>
      <c r="AC98" s="855">
        <f t="shared" si="66"/>
        <v>0</v>
      </c>
      <c r="AD98" s="854">
        <f t="shared" si="67"/>
        <v>6655.1426153183866</v>
      </c>
      <c r="AE98" s="854">
        <f t="shared" si="68"/>
        <v>341.21645842617363</v>
      </c>
      <c r="AF98" s="856">
        <f t="shared" si="69"/>
        <v>227.47763895078242</v>
      </c>
      <c r="AG98" s="4"/>
      <c r="AH98" s="852">
        <f>'Recycling - Case 2'!AM188</f>
        <v>0</v>
      </c>
      <c r="AI98" s="853">
        <f>Parameters!S233</f>
        <v>0.71500000000000008</v>
      </c>
      <c r="AJ98" s="853">
        <f t="shared" si="70"/>
        <v>0.4</v>
      </c>
      <c r="AK98" s="854">
        <f t="shared" si="71"/>
        <v>0</v>
      </c>
      <c r="AL98" s="854">
        <f t="shared" si="72"/>
        <v>0</v>
      </c>
      <c r="AM98" s="855">
        <f t="shared" si="73"/>
        <v>0</v>
      </c>
      <c r="AN98" s="854">
        <f t="shared" si="74"/>
        <v>6655.1426153183866</v>
      </c>
      <c r="AO98" s="854">
        <f t="shared" si="75"/>
        <v>341.21645842617363</v>
      </c>
      <c r="AP98" s="856">
        <f t="shared" si="76"/>
        <v>227.47763895078242</v>
      </c>
      <c r="AQ98" s="4"/>
      <c r="AR98" s="1042">
        <f>'Recycling - Case 2'!G108</f>
        <v>703.34138624405773</v>
      </c>
      <c r="AS98" s="1043">
        <v>1</v>
      </c>
      <c r="AT98" s="1043">
        <f t="shared" si="77"/>
        <v>0.05</v>
      </c>
      <c r="AU98" s="1044">
        <f t="shared" si="78"/>
        <v>17.583534656101445</v>
      </c>
      <c r="AV98" s="1044">
        <f t="shared" si="79"/>
        <v>17.583534656101445</v>
      </c>
      <c r="AW98" s="1045">
        <f t="shared" si="80"/>
        <v>0</v>
      </c>
      <c r="AX98" s="1044">
        <f t="shared" si="44"/>
        <v>202.56396286453395</v>
      </c>
      <c r="AY98" s="1044">
        <f t="shared" si="49"/>
        <v>11.438550858891288</v>
      </c>
      <c r="AZ98" s="1046">
        <f t="shared" si="47"/>
        <v>7.6257005725941918</v>
      </c>
      <c r="BA98" s="4"/>
      <c r="BB98" s="1055">
        <f t="shared" si="81"/>
        <v>352.40380129296199</v>
      </c>
      <c r="BC98" s="1056">
        <f t="shared" si="82"/>
        <v>227.47763895078242</v>
      </c>
      <c r="BD98" s="1082">
        <f t="shared" si="90"/>
        <v>7.6257005725941918</v>
      </c>
      <c r="BE98" s="1056">
        <f t="shared" si="54"/>
        <v>587.50714081633862</v>
      </c>
      <c r="BF98" s="167">
        <v>0</v>
      </c>
      <c r="BG98" s="1075">
        <f t="shared" si="83"/>
        <v>587.50714081633862</v>
      </c>
      <c r="BI98" s="1055">
        <f t="shared" si="84"/>
        <v>352.40380129296199</v>
      </c>
      <c r="BJ98" s="1056">
        <f t="shared" si="85"/>
        <v>227.47763895078242</v>
      </c>
      <c r="BK98" s="1082">
        <f t="shared" si="86"/>
        <v>7.6257005725941918</v>
      </c>
      <c r="BL98" s="1056">
        <f t="shared" si="55"/>
        <v>587.50714081633862</v>
      </c>
      <c r="BM98" s="167">
        <v>0</v>
      </c>
      <c r="BN98" s="1075">
        <f t="shared" si="87"/>
        <v>587.50714081633862</v>
      </c>
    </row>
    <row r="99" spans="1:66">
      <c r="A99" s="927">
        <f>'Input data'!A129</f>
        <v>2029</v>
      </c>
      <c r="B99" s="824">
        <f>'Input data'!B129</f>
        <v>65.31298905018393</v>
      </c>
      <c r="C99" s="824">
        <f>'Recycling - Case 2'!AK109/B99</f>
        <v>305.53070568103118</v>
      </c>
      <c r="D99" s="825">
        <f>'Recycling - Case 2'!AM109</f>
        <v>0.161951847001268</v>
      </c>
      <c r="E99" s="826">
        <f>'Recycling - Case 2'!BE109</f>
        <v>0.20768815931261841</v>
      </c>
      <c r="F99" s="826">
        <f>'Recycling - Case 2'!BF109</f>
        <v>0.26340477325982065</v>
      </c>
      <c r="G99" s="826">
        <f>'Recycling - Case 2'!BG109</f>
        <v>5.7550871499356622E-2</v>
      </c>
      <c r="H99" s="826">
        <f>'Recycling - Case 2'!BH109</f>
        <v>0</v>
      </c>
      <c r="I99" s="826">
        <f>'Recycling - Case 2'!BI109</f>
        <v>0</v>
      </c>
      <c r="J99" s="826">
        <f>'Recycling - Case 2'!BJ109</f>
        <v>0</v>
      </c>
      <c r="K99" s="826">
        <f>'Recycling - Case 2'!BK109</f>
        <v>0.47135619592820438</v>
      </c>
      <c r="L99" s="827">
        <f t="shared" si="89"/>
        <v>1</v>
      </c>
      <c r="M99" s="4"/>
      <c r="N99" s="838">
        <f t="shared" si="56"/>
        <v>3231.7691297686301</v>
      </c>
      <c r="O99" s="833">
        <f>Parameters!R235</f>
        <v>0.97923076923076879</v>
      </c>
      <c r="P99" s="834">
        <f>E99*'MSW characteristics'!$B$28+'MSW characteristics'!$B$29*'4A SWD Case 2'!F99+'4A SWD Case 2'!G99*'MSW characteristics'!$B$30+'MSW characteristics'!$B$31*'4A SWD Case 2'!H99+'4A SWD Case 2'!I99*'MSW characteristics'!$B$32+'MSW characteristics'!$B$33*'4A SWD Case 2'!J99+'4A SWD Case 2'!K99*'MSW characteristics'!$B$35</f>
        <v>0.10685452714859954</v>
      </c>
      <c r="Q99" s="832">
        <f t="shared" si="57"/>
        <v>169.07847057674107</v>
      </c>
      <c r="R99" s="832">
        <f t="shared" si="58"/>
        <v>169.07847057674107</v>
      </c>
      <c r="S99" s="835">
        <f t="shared" si="59"/>
        <v>0</v>
      </c>
      <c r="T99" s="832">
        <f t="shared" si="60"/>
        <v>10148.929532795008</v>
      </c>
      <c r="U99" s="832">
        <f t="shared" si="61"/>
        <v>511.67790562935846</v>
      </c>
      <c r="V99" s="839">
        <f t="shared" si="62"/>
        <v>341.11860375290564</v>
      </c>
      <c r="W99" s="4"/>
      <c r="X99" s="852">
        <f>'Recycling - Case 2'!AM149</f>
        <v>0</v>
      </c>
      <c r="Y99" s="853">
        <f>Parameters!S234</f>
        <v>0.71500000000000008</v>
      </c>
      <c r="Z99" s="853">
        <f t="shared" si="63"/>
        <v>0.4</v>
      </c>
      <c r="AA99" s="854">
        <f t="shared" si="64"/>
        <v>0</v>
      </c>
      <c r="AB99" s="854">
        <f t="shared" si="65"/>
        <v>0</v>
      </c>
      <c r="AC99" s="855">
        <f t="shared" si="66"/>
        <v>0</v>
      </c>
      <c r="AD99" s="854">
        <f t="shared" si="67"/>
        <v>6330.5674799394856</v>
      </c>
      <c r="AE99" s="854">
        <f t="shared" si="68"/>
        <v>324.57513537890094</v>
      </c>
      <c r="AF99" s="856">
        <f t="shared" si="69"/>
        <v>216.38342358593397</v>
      </c>
      <c r="AG99" s="4"/>
      <c r="AH99" s="852">
        <f>'Recycling - Case 2'!AM189</f>
        <v>0</v>
      </c>
      <c r="AI99" s="853">
        <f>Parameters!S234</f>
        <v>0.71500000000000008</v>
      </c>
      <c r="AJ99" s="853">
        <f t="shared" si="70"/>
        <v>0.4</v>
      </c>
      <c r="AK99" s="854">
        <f t="shared" si="71"/>
        <v>0</v>
      </c>
      <c r="AL99" s="854">
        <f t="shared" si="72"/>
        <v>0</v>
      </c>
      <c r="AM99" s="855">
        <f t="shared" si="73"/>
        <v>0</v>
      </c>
      <c r="AN99" s="854">
        <f t="shared" si="74"/>
        <v>6330.5674799394856</v>
      </c>
      <c r="AO99" s="854">
        <f t="shared" si="75"/>
        <v>324.57513537890094</v>
      </c>
      <c r="AP99" s="856">
        <f t="shared" si="76"/>
        <v>216.38342358593397</v>
      </c>
      <c r="AQ99" s="4"/>
      <c r="AR99" s="1042">
        <f>'Recycling - Case 2'!G109</f>
        <v>722.20722367827375</v>
      </c>
      <c r="AS99" s="1043">
        <v>1</v>
      </c>
      <c r="AT99" s="1043">
        <f t="shared" si="77"/>
        <v>0.05</v>
      </c>
      <c r="AU99" s="1044">
        <f t="shared" si="78"/>
        <v>18.055180591956844</v>
      </c>
      <c r="AV99" s="1044">
        <f t="shared" si="79"/>
        <v>18.055180591956844</v>
      </c>
      <c r="AW99" s="1045">
        <f t="shared" si="80"/>
        <v>0</v>
      </c>
      <c r="AX99" s="1044">
        <f t="shared" si="44"/>
        <v>208.82273660005174</v>
      </c>
      <c r="AY99" s="1044">
        <f t="shared" si="49"/>
        <v>11.796406856439056</v>
      </c>
      <c r="AZ99" s="1046">
        <f t="shared" si="47"/>
        <v>7.8642712376260375</v>
      </c>
      <c r="BA99" s="4"/>
      <c r="BB99" s="1055">
        <f t="shared" si="81"/>
        <v>341.11860375290564</v>
      </c>
      <c r="BC99" s="1056">
        <f t="shared" si="82"/>
        <v>216.38342358593397</v>
      </c>
      <c r="BD99" s="1082">
        <f t="shared" si="90"/>
        <v>7.8642712376260375</v>
      </c>
      <c r="BE99" s="1056">
        <f t="shared" si="54"/>
        <v>565.36629857646562</v>
      </c>
      <c r="BF99" s="167">
        <v>0</v>
      </c>
      <c r="BG99" s="1075">
        <f t="shared" si="83"/>
        <v>565.36629857646562</v>
      </c>
      <c r="BI99" s="1055">
        <f t="shared" si="84"/>
        <v>341.11860375290564</v>
      </c>
      <c r="BJ99" s="1056">
        <f t="shared" si="85"/>
        <v>216.38342358593397</v>
      </c>
      <c r="BK99" s="1082">
        <f t="shared" si="86"/>
        <v>7.8642712376260375</v>
      </c>
      <c r="BL99" s="1056">
        <f t="shared" si="55"/>
        <v>565.36629857646562</v>
      </c>
      <c r="BM99" s="167">
        <v>0</v>
      </c>
      <c r="BN99" s="1075">
        <f t="shared" si="87"/>
        <v>565.36629857646562</v>
      </c>
    </row>
    <row r="100" spans="1:66">
      <c r="A100" s="927">
        <f>'Input data'!A130</f>
        <v>2030</v>
      </c>
      <c r="B100" s="824">
        <f>'Input data'!B130</f>
        <v>65.956090000000003</v>
      </c>
      <c r="C100" s="824">
        <f>'Recycling - Case 2'!AK110/B100</f>
        <v>298.77612226712506</v>
      </c>
      <c r="D100" s="825">
        <f>'Recycling - Case 2'!AM110</f>
        <v>0.1470330241938301</v>
      </c>
      <c r="E100" s="826">
        <f>'Recycling - Case 2'!BE110</f>
        <v>0.21141686250550593</v>
      </c>
      <c r="F100" s="826">
        <f>'Recycling - Case 2'!BF110</f>
        <v>0.26813377765913904</v>
      </c>
      <c r="G100" s="826">
        <f>'Recycling - Case 2'!BG110</f>
        <v>5.541998265772928E-2</v>
      </c>
      <c r="H100" s="826">
        <f>'Recycling - Case 2'!BH110</f>
        <v>0</v>
      </c>
      <c r="I100" s="826">
        <f>'Recycling - Case 2'!BI110</f>
        <v>0</v>
      </c>
      <c r="J100" s="826">
        <f>'Recycling - Case 2'!BJ110</f>
        <v>0</v>
      </c>
      <c r="K100" s="826">
        <f>'Recycling - Case 2'!BK110</f>
        <v>0.46502937717762582</v>
      </c>
      <c r="L100" s="827">
        <f t="shared" si="89"/>
        <v>1</v>
      </c>
      <c r="M100" s="4"/>
      <c r="N100" s="838">
        <f t="shared" si="56"/>
        <v>2897.4481853098064</v>
      </c>
      <c r="O100" s="833">
        <f>Parameters!R236</f>
        <v>1</v>
      </c>
      <c r="P100" s="834">
        <f>E100*'MSW characteristics'!$B$28+'MSW characteristics'!$B$29*'4A SWD Case 2'!F100+'4A SWD Case 2'!G100*'MSW characteristics'!$B$30+'MSW characteristics'!$B$31*'4A SWD Case 2'!H100+'4A SWD Case 2'!I100*'MSW characteristics'!$B$32+'MSW characteristics'!$B$33*'4A SWD Case 2'!J100+'4A SWD Case 2'!K100*'MSW characteristics'!$B$35</f>
        <v>0.1075072779707454</v>
      </c>
      <c r="Q100" s="832">
        <f t="shared" si="57"/>
        <v>155.74838373196658</v>
      </c>
      <c r="R100" s="832">
        <f t="shared" si="58"/>
        <v>155.74838373196658</v>
      </c>
      <c r="S100" s="835">
        <f t="shared" si="59"/>
        <v>0</v>
      </c>
      <c r="T100" s="832">
        <f t="shared" si="60"/>
        <v>9809.7087825108629</v>
      </c>
      <c r="U100" s="832">
        <f t="shared" si="61"/>
        <v>494.96913401611215</v>
      </c>
      <c r="V100" s="839">
        <f t="shared" si="62"/>
        <v>329.97942267740808</v>
      </c>
      <c r="W100" s="4"/>
      <c r="X100" s="852">
        <f>'Recycling - Case 2'!AM150</f>
        <v>0</v>
      </c>
      <c r="Y100" s="853">
        <f>Parameters!S235</f>
        <v>0.71500000000000008</v>
      </c>
      <c r="Z100" s="853">
        <f t="shared" si="63"/>
        <v>0.4</v>
      </c>
      <c r="AA100" s="854">
        <f t="shared" si="64"/>
        <v>0</v>
      </c>
      <c r="AB100" s="854">
        <f t="shared" si="65"/>
        <v>0</v>
      </c>
      <c r="AC100" s="855">
        <f t="shared" si="66"/>
        <v>0</v>
      </c>
      <c r="AD100" s="854">
        <f t="shared" si="67"/>
        <v>6021.8220607057719</v>
      </c>
      <c r="AE100" s="854">
        <f t="shared" si="68"/>
        <v>308.74541923371328</v>
      </c>
      <c r="AF100" s="856">
        <f t="shared" si="69"/>
        <v>205.83027948914219</v>
      </c>
      <c r="AG100" s="4"/>
      <c r="AH100" s="852">
        <f>'Recycling - Case 2'!AM190</f>
        <v>0</v>
      </c>
      <c r="AI100" s="853">
        <f>Parameters!S235</f>
        <v>0.71500000000000008</v>
      </c>
      <c r="AJ100" s="853">
        <f t="shared" si="70"/>
        <v>0.4</v>
      </c>
      <c r="AK100" s="854">
        <f t="shared" si="71"/>
        <v>0</v>
      </c>
      <c r="AL100" s="854">
        <f t="shared" si="72"/>
        <v>0</v>
      </c>
      <c r="AM100" s="855">
        <f t="shared" si="73"/>
        <v>0</v>
      </c>
      <c r="AN100" s="854">
        <f t="shared" si="74"/>
        <v>6021.8220607057719</v>
      </c>
      <c r="AO100" s="854">
        <f t="shared" si="75"/>
        <v>308.74541923371328</v>
      </c>
      <c r="AP100" s="856">
        <f t="shared" si="76"/>
        <v>205.83027948914219</v>
      </c>
      <c r="AQ100" s="4"/>
      <c r="AR100" s="1042">
        <f>'Recycling - Case 2'!G110</f>
        <v>741.37639335418953</v>
      </c>
      <c r="AS100" s="1043">
        <v>1</v>
      </c>
      <c r="AT100" s="1043">
        <f t="shared" si="77"/>
        <v>0.05</v>
      </c>
      <c r="AU100" s="1044">
        <f t="shared" si="78"/>
        <v>18.534409833854738</v>
      </c>
      <c r="AV100" s="1044">
        <f t="shared" si="79"/>
        <v>18.534409833854738</v>
      </c>
      <c r="AW100" s="1045">
        <f t="shared" si="80"/>
        <v>0</v>
      </c>
      <c r="AX100" s="1044">
        <f t="shared" si="44"/>
        <v>215.19625696978889</v>
      </c>
      <c r="AY100" s="1044">
        <f t="shared" si="49"/>
        <v>12.160889464117588</v>
      </c>
      <c r="AZ100" s="1046">
        <f t="shared" si="47"/>
        <v>8.1072596427450581</v>
      </c>
      <c r="BA100" s="4"/>
      <c r="BB100" s="1055">
        <f t="shared" si="81"/>
        <v>329.97942267740808</v>
      </c>
      <c r="BC100" s="1056">
        <f t="shared" si="82"/>
        <v>205.83027948914219</v>
      </c>
      <c r="BD100" s="1082">
        <f t="shared" si="90"/>
        <v>8.1072596427450581</v>
      </c>
      <c r="BE100" s="1056">
        <f t="shared" si="54"/>
        <v>543.91696180929534</v>
      </c>
      <c r="BF100" s="167">
        <v>0</v>
      </c>
      <c r="BG100" s="1075">
        <f t="shared" si="83"/>
        <v>543.91696180929534</v>
      </c>
      <c r="BI100" s="1055">
        <f t="shared" si="84"/>
        <v>329.97942267740808</v>
      </c>
      <c r="BJ100" s="1056">
        <f t="shared" si="85"/>
        <v>205.83027948914219</v>
      </c>
      <c r="BK100" s="1082">
        <f t="shared" si="86"/>
        <v>8.1072596427450581</v>
      </c>
      <c r="BL100" s="1056">
        <f t="shared" si="55"/>
        <v>543.91696180929534</v>
      </c>
      <c r="BM100" s="167">
        <v>0</v>
      </c>
      <c r="BN100" s="1075">
        <f t="shared" si="87"/>
        <v>543.91696180929534</v>
      </c>
    </row>
    <row r="101" spans="1:66">
      <c r="A101" s="927">
        <f>'Input data'!A131</f>
        <v>2031</v>
      </c>
      <c r="B101" s="824">
        <f>'Input data'!B131</f>
        <v>66.518977190687664</v>
      </c>
      <c r="C101" s="824">
        <f>'Recycling - Case 2'!AK111/B101</f>
        <v>290.33093279482745</v>
      </c>
      <c r="D101" s="825">
        <f>'Recycling - Case 2'!AM111</f>
        <v>0.1327184478933309</v>
      </c>
      <c r="E101" s="826">
        <f>'Recycling - Case 2'!BE111</f>
        <v>0.21211281030749607</v>
      </c>
      <c r="F101" s="826">
        <f>'Recycling - Case 2'!BF111</f>
        <v>0.26901642775142459</v>
      </c>
      <c r="G101" s="826">
        <f>'Recycling - Case 2'!BG111</f>
        <v>5.525188586546504E-2</v>
      </c>
      <c r="H101" s="826">
        <f>'Recycling - Case 2'!BH111</f>
        <v>0</v>
      </c>
      <c r="I101" s="826">
        <f>'Recycling - Case 2'!BI111</f>
        <v>0</v>
      </c>
      <c r="J101" s="826">
        <f>'Recycling - Case 2'!BJ111</f>
        <v>0</v>
      </c>
      <c r="K101" s="826">
        <f>'Recycling - Case 2'!BK111</f>
        <v>0.46361887607561419</v>
      </c>
      <c r="L101" s="827">
        <f t="shared" si="89"/>
        <v>1</v>
      </c>
      <c r="M101" s="4"/>
      <c r="N101" s="838">
        <f t="shared" si="56"/>
        <v>2563.1272408509826</v>
      </c>
      <c r="O101" s="833">
        <f>Parameters!R237</f>
        <v>1</v>
      </c>
      <c r="P101" s="834">
        <f>E101*'MSW characteristics'!$B$28+'MSW characteristics'!$B$29*'4A SWD Case 2'!F101+'4A SWD Case 2'!G101*'MSW characteristics'!$B$30+'MSW characteristics'!$B$31*'4A SWD Case 2'!H101+'4A SWD Case 2'!I101*'MSW characteristics'!$B$32+'MSW characteristics'!$B$33*'4A SWD Case 2'!J101+'4A SWD Case 2'!K101*'MSW characteristics'!$B$35</f>
        <v>0.10772096144259535</v>
      </c>
      <c r="Q101" s="832">
        <f t="shared" si="57"/>
        <v>138.05126534208725</v>
      </c>
      <c r="R101" s="832">
        <f t="shared" si="58"/>
        <v>138.05126534208725</v>
      </c>
      <c r="S101" s="835">
        <f t="shared" si="59"/>
        <v>0</v>
      </c>
      <c r="T101" s="832">
        <f t="shared" si="60"/>
        <v>9469.3349050494944</v>
      </c>
      <c r="U101" s="832">
        <f t="shared" si="61"/>
        <v>478.42514280345483</v>
      </c>
      <c r="V101" s="839">
        <f t="shared" si="62"/>
        <v>318.9500952023032</v>
      </c>
      <c r="W101" s="4"/>
      <c r="X101" s="852">
        <f>'Recycling - Case 2'!AM151</f>
        <v>0</v>
      </c>
      <c r="Y101" s="853">
        <f>Parameters!S236</f>
        <v>0.71500000000000008</v>
      </c>
      <c r="Z101" s="853">
        <f t="shared" si="63"/>
        <v>0.4</v>
      </c>
      <c r="AA101" s="854">
        <f t="shared" si="64"/>
        <v>0</v>
      </c>
      <c r="AB101" s="854">
        <f t="shared" si="65"/>
        <v>0</v>
      </c>
      <c r="AC101" s="855">
        <f t="shared" si="66"/>
        <v>0</v>
      </c>
      <c r="AD101" s="854">
        <f t="shared" si="67"/>
        <v>5728.134333250855</v>
      </c>
      <c r="AE101" s="854">
        <f t="shared" si="68"/>
        <v>293.68772745491674</v>
      </c>
      <c r="AF101" s="856">
        <f t="shared" si="69"/>
        <v>195.79181830327784</v>
      </c>
      <c r="AG101" s="4"/>
      <c r="AH101" s="852">
        <f>'Recycling - Case 2'!AM191</f>
        <v>0</v>
      </c>
      <c r="AI101" s="853">
        <f>Parameters!S236</f>
        <v>0.71500000000000008</v>
      </c>
      <c r="AJ101" s="853">
        <f t="shared" si="70"/>
        <v>0.4</v>
      </c>
      <c r="AK101" s="854">
        <f t="shared" si="71"/>
        <v>0</v>
      </c>
      <c r="AL101" s="854">
        <f t="shared" si="72"/>
        <v>0</v>
      </c>
      <c r="AM101" s="855">
        <f t="shared" si="73"/>
        <v>0</v>
      </c>
      <c r="AN101" s="854">
        <f t="shared" si="74"/>
        <v>5728.134333250855</v>
      </c>
      <c r="AO101" s="854">
        <f t="shared" si="75"/>
        <v>293.68772745491674</v>
      </c>
      <c r="AP101" s="856">
        <f t="shared" si="76"/>
        <v>195.79181830327784</v>
      </c>
      <c r="AQ101" s="4"/>
      <c r="AR101" s="1042">
        <f>'Recycling - Case 2'!G111</f>
        <v>747.70350090858369</v>
      </c>
      <c r="AS101" s="1043">
        <v>1</v>
      </c>
      <c r="AT101" s="1043">
        <f t="shared" si="77"/>
        <v>0.05</v>
      </c>
      <c r="AU101" s="1044">
        <f t="shared" si="78"/>
        <v>18.692587522714593</v>
      </c>
      <c r="AV101" s="1044">
        <f t="shared" si="79"/>
        <v>18.692587522714593</v>
      </c>
      <c r="AW101" s="1045">
        <f t="shared" si="80"/>
        <v>0</v>
      </c>
      <c r="AX101" s="1044">
        <f t="shared" si="44"/>
        <v>221.35679009694397</v>
      </c>
      <c r="AY101" s="1044">
        <f t="shared" si="49"/>
        <v>12.532054395559523</v>
      </c>
      <c r="AZ101" s="1046">
        <f t="shared" si="47"/>
        <v>8.3547029303730156</v>
      </c>
      <c r="BA101" s="4"/>
      <c r="BB101" s="1055">
        <f t="shared" si="81"/>
        <v>318.9500952023032</v>
      </c>
      <c r="BC101" s="1056">
        <f t="shared" si="82"/>
        <v>195.79181830327784</v>
      </c>
      <c r="BD101" s="1082">
        <f t="shared" si="90"/>
        <v>8.3547029303730156</v>
      </c>
      <c r="BE101" s="1056">
        <f t="shared" si="54"/>
        <v>523.09661643595405</v>
      </c>
      <c r="BF101" s="167">
        <v>0</v>
      </c>
      <c r="BG101" s="1075">
        <f t="shared" si="83"/>
        <v>523.09661643595405</v>
      </c>
      <c r="BI101" s="1055">
        <f t="shared" si="84"/>
        <v>318.9500952023032</v>
      </c>
      <c r="BJ101" s="1056">
        <f t="shared" si="85"/>
        <v>195.79181830327784</v>
      </c>
      <c r="BK101" s="1082">
        <f t="shared" si="86"/>
        <v>8.3547029303730156</v>
      </c>
      <c r="BL101" s="1056">
        <f t="shared" si="55"/>
        <v>523.09661643595405</v>
      </c>
      <c r="BM101" s="167">
        <v>0</v>
      </c>
      <c r="BN101" s="1075">
        <f t="shared" si="87"/>
        <v>523.09661643595405</v>
      </c>
    </row>
    <row r="102" spans="1:66">
      <c r="A102" s="927">
        <f>'Input data'!A132</f>
        <v>2032</v>
      </c>
      <c r="B102" s="824">
        <f>'Input data'!B132</f>
        <v>67.08666821358311</v>
      </c>
      <c r="C102" s="824">
        <f>'Recycling - Case 2'!AK112/B102</f>
        <v>282.03003311800558</v>
      </c>
      <c r="D102" s="825">
        <f>'Recycling - Case 2'!AM112</f>
        <v>0.117798766784085</v>
      </c>
      <c r="E102" s="826">
        <f>'Recycling - Case 2'!BE112</f>
        <v>0.21279871307702919</v>
      </c>
      <c r="F102" s="826">
        <f>'Recycling - Case 2'!BF112</f>
        <v>0.26988633802500545</v>
      </c>
      <c r="G102" s="826">
        <f>'Recycling - Case 2'!BG112</f>
        <v>5.5086215315124989E-2</v>
      </c>
      <c r="H102" s="826">
        <f>'Recycling - Case 2'!BH112</f>
        <v>0</v>
      </c>
      <c r="I102" s="826">
        <f>'Recycling - Case 2'!BI112</f>
        <v>0</v>
      </c>
      <c r="J102" s="826">
        <f>'Recycling - Case 2'!BJ112</f>
        <v>0</v>
      </c>
      <c r="K102" s="826">
        <f>'Recycling - Case 2'!BK112</f>
        <v>0.46222873358284033</v>
      </c>
      <c r="L102" s="827">
        <f t="shared" si="89"/>
        <v>1</v>
      </c>
      <c r="M102" s="4"/>
      <c r="N102" s="838">
        <f t="shared" si="56"/>
        <v>2228.8062963921589</v>
      </c>
      <c r="O102" s="833">
        <f>Parameters!R238</f>
        <v>1</v>
      </c>
      <c r="P102" s="834">
        <f>E102*'MSW characteristics'!$B$28+'MSW characteristics'!$B$29*'4A SWD Case 2'!F102+'4A SWD Case 2'!G102*'MSW characteristics'!$B$30+'MSW characteristics'!$B$31*'4A SWD Case 2'!H102+'4A SWD Case 2'!I102*'MSW characteristics'!$B$32+'MSW characteristics'!$B$33*'4A SWD Case 2'!J102+'4A SWD Case 2'!K102*'MSW characteristics'!$B$35</f>
        <v>0.10793156069260547</v>
      </c>
      <c r="Q102" s="832">
        <f t="shared" si="57"/>
        <v>120.27927102555576</v>
      </c>
      <c r="R102" s="832">
        <f t="shared" si="58"/>
        <v>120.27927102555576</v>
      </c>
      <c r="S102" s="835">
        <f t="shared" si="59"/>
        <v>0</v>
      </c>
      <c r="T102" s="832">
        <f t="shared" si="60"/>
        <v>9127.7892631603099</v>
      </c>
      <c r="U102" s="832">
        <f t="shared" si="61"/>
        <v>461.82491291474042</v>
      </c>
      <c r="V102" s="839">
        <f t="shared" si="62"/>
        <v>307.88327527649363</v>
      </c>
      <c r="W102" s="4"/>
      <c r="X102" s="852">
        <f>'Recycling - Case 2'!AM152</f>
        <v>0</v>
      </c>
      <c r="Y102" s="853">
        <f>Parameters!S237</f>
        <v>0.71500000000000008</v>
      </c>
      <c r="Z102" s="853">
        <f t="shared" si="63"/>
        <v>0.4</v>
      </c>
      <c r="AA102" s="854">
        <f t="shared" si="64"/>
        <v>0</v>
      </c>
      <c r="AB102" s="854">
        <f t="shared" si="65"/>
        <v>0</v>
      </c>
      <c r="AC102" s="855">
        <f t="shared" si="66"/>
        <v>0</v>
      </c>
      <c r="AD102" s="854">
        <f t="shared" si="67"/>
        <v>5448.7699252809916</v>
      </c>
      <c r="AE102" s="854">
        <f t="shared" si="68"/>
        <v>279.36440796986301</v>
      </c>
      <c r="AF102" s="856">
        <f t="shared" si="69"/>
        <v>186.24293864657534</v>
      </c>
      <c r="AG102" s="4"/>
      <c r="AH102" s="852">
        <f>'Recycling - Case 2'!AM192</f>
        <v>0</v>
      </c>
      <c r="AI102" s="853">
        <f>Parameters!S237</f>
        <v>0.71500000000000008</v>
      </c>
      <c r="AJ102" s="853">
        <f t="shared" si="70"/>
        <v>0.4</v>
      </c>
      <c r="AK102" s="854">
        <f t="shared" si="71"/>
        <v>0</v>
      </c>
      <c r="AL102" s="854">
        <f t="shared" si="72"/>
        <v>0</v>
      </c>
      <c r="AM102" s="855">
        <f t="shared" si="73"/>
        <v>0</v>
      </c>
      <c r="AN102" s="854">
        <f t="shared" si="74"/>
        <v>5448.7699252809916</v>
      </c>
      <c r="AO102" s="854">
        <f t="shared" si="75"/>
        <v>279.36440796986301</v>
      </c>
      <c r="AP102" s="856">
        <f t="shared" si="76"/>
        <v>186.24293864657534</v>
      </c>
      <c r="AQ102" s="4"/>
      <c r="AR102" s="1042">
        <f>'Recycling - Case 2'!G112</f>
        <v>754.08460571776459</v>
      </c>
      <c r="AS102" s="1043">
        <v>1</v>
      </c>
      <c r="AT102" s="1043">
        <f t="shared" si="77"/>
        <v>0.05</v>
      </c>
      <c r="AU102" s="1044">
        <f t="shared" si="78"/>
        <v>18.852115142944115</v>
      </c>
      <c r="AV102" s="1044">
        <f t="shared" si="79"/>
        <v>18.852115142944115</v>
      </c>
      <c r="AW102" s="1045">
        <f t="shared" si="80"/>
        <v>0</v>
      </c>
      <c r="AX102" s="1044">
        <f t="shared" si="44"/>
        <v>227.318089324299</v>
      </c>
      <c r="AY102" s="1044">
        <f t="shared" si="49"/>
        <v>12.890815915589085</v>
      </c>
      <c r="AZ102" s="1046">
        <f t="shared" si="47"/>
        <v>8.5938772770593896</v>
      </c>
      <c r="BA102" s="4"/>
      <c r="BB102" s="1055">
        <f t="shared" si="81"/>
        <v>307.88327527649363</v>
      </c>
      <c r="BC102" s="1056">
        <f t="shared" si="82"/>
        <v>186.24293864657534</v>
      </c>
      <c r="BD102" s="1082">
        <f t="shared" si="90"/>
        <v>8.5938772770593896</v>
      </c>
      <c r="BE102" s="1056">
        <f t="shared" si="54"/>
        <v>502.72009120012837</v>
      </c>
      <c r="BF102" s="167">
        <v>0</v>
      </c>
      <c r="BG102" s="1075">
        <f t="shared" si="83"/>
        <v>502.72009120012837</v>
      </c>
      <c r="BI102" s="1055">
        <f t="shared" si="84"/>
        <v>307.88327527649363</v>
      </c>
      <c r="BJ102" s="1056">
        <f t="shared" si="85"/>
        <v>186.24293864657534</v>
      </c>
      <c r="BK102" s="1082">
        <f t="shared" si="86"/>
        <v>8.5938772770593896</v>
      </c>
      <c r="BL102" s="1056">
        <f t="shared" si="55"/>
        <v>502.72009120012837</v>
      </c>
      <c r="BM102" s="167">
        <v>0</v>
      </c>
      <c r="BN102" s="1075">
        <f t="shared" si="87"/>
        <v>502.72009120012837</v>
      </c>
    </row>
    <row r="103" spans="1:66">
      <c r="A103" s="927">
        <f>'Input data'!A133</f>
        <v>2033</v>
      </c>
      <c r="B103" s="824">
        <f>'Input data'!B133</f>
        <v>67.659204065895452</v>
      </c>
      <c r="C103" s="824">
        <f>'Recycling - Case 2'!AK113/B103</f>
        <v>280.78520384759781</v>
      </c>
      <c r="D103" s="825">
        <f>'Recycling - Case 2'!AM113</f>
        <v>0.11731977538457024</v>
      </c>
      <c r="E103" s="826">
        <f>'Recycling - Case 2'!BE113</f>
        <v>0.21347476249844466</v>
      </c>
      <c r="F103" s="826">
        <f>'Recycling - Case 2'!BF113</f>
        <v>0.27074375158748171</v>
      </c>
      <c r="G103" s="826">
        <f>'Recycling - Case 2'!BG113</f>
        <v>5.492292470794579E-2</v>
      </c>
      <c r="H103" s="826">
        <f>'Recycling - Case 2'!BH113</f>
        <v>0</v>
      </c>
      <c r="I103" s="826">
        <f>'Recycling - Case 2'!BI113</f>
        <v>0</v>
      </c>
      <c r="J103" s="826">
        <f>'Recycling - Case 2'!BJ113</f>
        <v>0</v>
      </c>
      <c r="K103" s="826">
        <f>'Recycling - Case 2'!BK113</f>
        <v>0.46085856120612789</v>
      </c>
      <c r="L103" s="827">
        <f t="shared" si="89"/>
        <v>1</v>
      </c>
      <c r="M103" s="4"/>
      <c r="N103" s="838">
        <f t="shared" si="56"/>
        <v>2228.8062963921584</v>
      </c>
      <c r="O103" s="833">
        <f>Parameters!R239</f>
        <v>1</v>
      </c>
      <c r="P103" s="834">
        <f>E103*'MSW characteristics'!$B$28+'MSW characteristics'!$B$29*'4A SWD Case 2'!F103+'4A SWD Case 2'!G103*'MSW characteristics'!$B$30+'MSW characteristics'!$B$31*'4A SWD Case 2'!H103+'4A SWD Case 2'!I103*'MSW characteristics'!$B$32+'MSW characteristics'!$B$33*'4A SWD Case 2'!J103+'4A SWD Case 2'!K103*'MSW characteristics'!$B$35</f>
        <v>0.10813913457544136</v>
      </c>
      <c r="Q103" s="832">
        <f t="shared" si="57"/>
        <v>120.51059201407134</v>
      </c>
      <c r="R103" s="832">
        <f t="shared" si="58"/>
        <v>120.51059201407134</v>
      </c>
      <c r="S103" s="835">
        <f t="shared" si="59"/>
        <v>0</v>
      </c>
      <c r="T103" s="832">
        <f t="shared" si="60"/>
        <v>8803.1323197738493</v>
      </c>
      <c r="U103" s="832">
        <f t="shared" si="61"/>
        <v>445.1675354005319</v>
      </c>
      <c r="V103" s="839">
        <f t="shared" si="62"/>
        <v>296.77835693368792</v>
      </c>
      <c r="W103" s="4"/>
      <c r="X103" s="852">
        <f>'Recycling - Case 2'!AM153</f>
        <v>0</v>
      </c>
      <c r="Y103" s="853">
        <f>Parameters!S238</f>
        <v>0.71500000000000008</v>
      </c>
      <c r="Z103" s="853">
        <f t="shared" si="63"/>
        <v>0.4</v>
      </c>
      <c r="AA103" s="854">
        <f t="shared" si="64"/>
        <v>0</v>
      </c>
      <c r="AB103" s="854">
        <f t="shared" si="65"/>
        <v>0</v>
      </c>
      <c r="AC103" s="855">
        <f t="shared" si="66"/>
        <v>0</v>
      </c>
      <c r="AD103" s="854">
        <f t="shared" si="67"/>
        <v>5183.0302802618362</v>
      </c>
      <c r="AE103" s="854">
        <f t="shared" si="68"/>
        <v>265.73964501915543</v>
      </c>
      <c r="AF103" s="856">
        <f t="shared" si="69"/>
        <v>177.15976334610363</v>
      </c>
      <c r="AG103" s="4"/>
      <c r="AH103" s="852">
        <f>'Recycling - Case 2'!AM193</f>
        <v>0</v>
      </c>
      <c r="AI103" s="853">
        <f>Parameters!S238</f>
        <v>0.71500000000000008</v>
      </c>
      <c r="AJ103" s="853">
        <f t="shared" si="70"/>
        <v>0.4</v>
      </c>
      <c r="AK103" s="854">
        <f t="shared" si="71"/>
        <v>0</v>
      </c>
      <c r="AL103" s="854">
        <f t="shared" si="72"/>
        <v>0</v>
      </c>
      <c r="AM103" s="855">
        <f t="shared" si="73"/>
        <v>0</v>
      </c>
      <c r="AN103" s="854">
        <f t="shared" si="74"/>
        <v>5183.0302802618362</v>
      </c>
      <c r="AO103" s="854">
        <f t="shared" si="75"/>
        <v>265.73964501915543</v>
      </c>
      <c r="AP103" s="856">
        <f t="shared" si="76"/>
        <v>177.15976334610363</v>
      </c>
      <c r="AQ103" s="4"/>
      <c r="AR103" s="1042">
        <f>'Recycling - Case 2'!G113</f>
        <v>760.52016860897436</v>
      </c>
      <c r="AS103" s="1043">
        <v>1</v>
      </c>
      <c r="AT103" s="1043">
        <f t="shared" si="77"/>
        <v>0.05</v>
      </c>
      <c r="AU103" s="1044">
        <f t="shared" si="78"/>
        <v>19.01300421522436</v>
      </c>
      <c r="AV103" s="1044">
        <f t="shared" si="79"/>
        <v>19.01300421522436</v>
      </c>
      <c r="AW103" s="1045">
        <f t="shared" si="80"/>
        <v>0</v>
      </c>
      <c r="AX103" s="1044">
        <f t="shared" si="44"/>
        <v>233.0931185829854</v>
      </c>
      <c r="AY103" s="1044">
        <f t="shared" si="49"/>
        <v>13.237974956537963</v>
      </c>
      <c r="AZ103" s="1046">
        <f t="shared" si="47"/>
        <v>8.8253166376919747</v>
      </c>
      <c r="BA103" s="4"/>
      <c r="BB103" s="1055">
        <f t="shared" si="81"/>
        <v>296.77835693368792</v>
      </c>
      <c r="BC103" s="1056">
        <f t="shared" si="82"/>
        <v>177.15976334610363</v>
      </c>
      <c r="BD103" s="1082">
        <f t="shared" si="90"/>
        <v>8.8253166376919747</v>
      </c>
      <c r="BE103" s="1056">
        <f t="shared" si="54"/>
        <v>482.76343691748349</v>
      </c>
      <c r="BF103" s="167">
        <v>0</v>
      </c>
      <c r="BG103" s="1075">
        <f t="shared" si="83"/>
        <v>482.76343691748349</v>
      </c>
      <c r="BI103" s="1055">
        <f t="shared" si="84"/>
        <v>296.77835693368792</v>
      </c>
      <c r="BJ103" s="1056">
        <f t="shared" si="85"/>
        <v>177.15976334610363</v>
      </c>
      <c r="BK103" s="1082">
        <f t="shared" si="86"/>
        <v>8.8253166376919747</v>
      </c>
      <c r="BL103" s="1056">
        <f t="shared" si="55"/>
        <v>482.76343691748349</v>
      </c>
      <c r="BM103" s="167">
        <v>0</v>
      </c>
      <c r="BN103" s="1075">
        <f t="shared" si="87"/>
        <v>482.76343691748349</v>
      </c>
    </row>
    <row r="104" spans="1:66">
      <c r="A104" s="927">
        <f>'Input data'!A134</f>
        <v>2034</v>
      </c>
      <c r="B104" s="824">
        <f>'Input data'!B134</f>
        <v>68.236626094715163</v>
      </c>
      <c r="C104" s="824">
        <f>'Recycling - Case 2'!AK114/B104</f>
        <v>279.5517936159477</v>
      </c>
      <c r="D104" s="825">
        <f>'Recycling - Case 2'!AM114</f>
        <v>0.11684025538406186</v>
      </c>
      <c r="E104" s="826">
        <f>'Recycling - Case 2'!BE114</f>
        <v>0.21414114548957475</v>
      </c>
      <c r="F104" s="826">
        <f>'Recycling - Case 2'!BF114</f>
        <v>0.27158890550123271</v>
      </c>
      <c r="G104" s="826">
        <f>'Recycling - Case 2'!BG114</f>
        <v>5.4761968896449478E-2</v>
      </c>
      <c r="H104" s="826">
        <f>'Recycling - Case 2'!BH114</f>
        <v>0</v>
      </c>
      <c r="I104" s="826">
        <f>'Recycling - Case 2'!BI114</f>
        <v>0</v>
      </c>
      <c r="J104" s="826">
        <f>'Recycling - Case 2'!BJ114</f>
        <v>0</v>
      </c>
      <c r="K104" s="826">
        <f>'Recycling - Case 2'!BK114</f>
        <v>0.45950798011274291</v>
      </c>
      <c r="L104" s="827">
        <f t="shared" si="89"/>
        <v>0.99999999999999978</v>
      </c>
      <c r="M104" s="4"/>
      <c r="N104" s="838">
        <f t="shared" si="56"/>
        <v>2228.8062963921584</v>
      </c>
      <c r="O104" s="833">
        <f>Parameters!R240</f>
        <v>1</v>
      </c>
      <c r="P104" s="834">
        <f>E104*'MSW characteristics'!$B$28+'MSW characteristics'!$B$29*'4A SWD Case 2'!F104+'4A SWD Case 2'!G104*'MSW characteristics'!$B$30+'MSW characteristics'!$B$31*'4A SWD Case 2'!H104+'4A SWD Case 2'!I104*'MSW characteristics'!$B$32+'MSW characteristics'!$B$33*'4A SWD Case 2'!J104+'4A SWD Case 2'!K104*'MSW characteristics'!$B$35</f>
        <v>0.10834374048226254</v>
      </c>
      <c r="Q104" s="832">
        <f t="shared" si="57"/>
        <v>120.73860548077236</v>
      </c>
      <c r="R104" s="832">
        <f t="shared" si="58"/>
        <v>120.73860548077236</v>
      </c>
      <c r="S104" s="835">
        <f t="shared" si="59"/>
        <v>0</v>
      </c>
      <c r="T104" s="832">
        <f t="shared" si="60"/>
        <v>8494.5370958228868</v>
      </c>
      <c r="U104" s="832">
        <f t="shared" si="61"/>
        <v>429.33382943173507</v>
      </c>
      <c r="V104" s="839">
        <f t="shared" si="62"/>
        <v>286.22255295449003</v>
      </c>
      <c r="W104" s="4"/>
      <c r="X104" s="852">
        <f>'Recycling - Case 2'!AM154</f>
        <v>0</v>
      </c>
      <c r="Y104" s="853">
        <f>Parameters!S239</f>
        <v>0.71500000000000008</v>
      </c>
      <c r="Z104" s="853">
        <f t="shared" si="63"/>
        <v>0.4</v>
      </c>
      <c r="AA104" s="854">
        <f t="shared" si="64"/>
        <v>0</v>
      </c>
      <c r="AB104" s="854">
        <f t="shared" si="65"/>
        <v>0</v>
      </c>
      <c r="AC104" s="855">
        <f t="shared" si="66"/>
        <v>0</v>
      </c>
      <c r="AD104" s="854">
        <f t="shared" si="67"/>
        <v>4930.2509106632406</v>
      </c>
      <c r="AE104" s="854">
        <f t="shared" si="68"/>
        <v>252.77936959859528</v>
      </c>
      <c r="AF104" s="856">
        <f t="shared" si="69"/>
        <v>168.51957973239686</v>
      </c>
      <c r="AG104" s="4"/>
      <c r="AH104" s="852">
        <f>'Recycling - Case 2'!AM194</f>
        <v>0</v>
      </c>
      <c r="AI104" s="853">
        <f>Parameters!S239</f>
        <v>0.71500000000000008</v>
      </c>
      <c r="AJ104" s="853">
        <f t="shared" si="70"/>
        <v>0.4</v>
      </c>
      <c r="AK104" s="854">
        <f t="shared" si="71"/>
        <v>0</v>
      </c>
      <c r="AL104" s="854">
        <f t="shared" si="72"/>
        <v>0</v>
      </c>
      <c r="AM104" s="855">
        <f t="shared" si="73"/>
        <v>0</v>
      </c>
      <c r="AN104" s="854">
        <f t="shared" si="74"/>
        <v>4930.2509106632406</v>
      </c>
      <c r="AO104" s="854">
        <f t="shared" si="75"/>
        <v>252.77936959859528</v>
      </c>
      <c r="AP104" s="856">
        <f t="shared" si="76"/>
        <v>168.51957973239686</v>
      </c>
      <c r="AQ104" s="4"/>
      <c r="AR104" s="1042">
        <f>'Recycling - Case 2'!G114</f>
        <v>767.01065434227985</v>
      </c>
      <c r="AS104" s="1043">
        <v>1</v>
      </c>
      <c r="AT104" s="1043">
        <f t="shared" si="77"/>
        <v>0.05</v>
      </c>
      <c r="AU104" s="1044">
        <f t="shared" si="78"/>
        <v>19.175266358556996</v>
      </c>
      <c r="AV104" s="1044">
        <f t="shared" si="79"/>
        <v>19.175266358556996</v>
      </c>
      <c r="AW104" s="1045">
        <f t="shared" si="80"/>
        <v>0</v>
      </c>
      <c r="AX104" s="1044">
        <f t="shared" si="44"/>
        <v>238.69409846256022</v>
      </c>
      <c r="AY104" s="1044">
        <f t="shared" si="49"/>
        <v>13.574286478982177</v>
      </c>
      <c r="AZ104" s="1046">
        <f t="shared" si="47"/>
        <v>9.049524319321451</v>
      </c>
      <c r="BA104" s="4"/>
      <c r="BB104" s="1055">
        <f t="shared" si="81"/>
        <v>286.22255295449003</v>
      </c>
      <c r="BC104" s="1056">
        <f t="shared" si="82"/>
        <v>168.51957973239686</v>
      </c>
      <c r="BD104" s="1082">
        <f t="shared" si="90"/>
        <v>9.049524319321451</v>
      </c>
      <c r="BE104" s="1056">
        <f t="shared" si="54"/>
        <v>463.79165700620831</v>
      </c>
      <c r="BF104" s="167">
        <v>0</v>
      </c>
      <c r="BG104" s="1075">
        <f t="shared" si="83"/>
        <v>463.79165700620831</v>
      </c>
      <c r="BI104" s="1055">
        <f t="shared" si="84"/>
        <v>286.22255295449003</v>
      </c>
      <c r="BJ104" s="1056">
        <f t="shared" si="85"/>
        <v>168.51957973239686</v>
      </c>
      <c r="BK104" s="1082">
        <f t="shared" si="86"/>
        <v>9.049524319321451</v>
      </c>
      <c r="BL104" s="1056">
        <f t="shared" si="55"/>
        <v>463.79165700620831</v>
      </c>
      <c r="BM104" s="167">
        <v>0</v>
      </c>
      <c r="BN104" s="1075">
        <f t="shared" si="87"/>
        <v>463.79165700620831</v>
      </c>
    </row>
    <row r="105" spans="1:66">
      <c r="A105" s="927">
        <f>'Input data'!A135</f>
        <v>2035</v>
      </c>
      <c r="B105" s="824">
        <f>'Input data'!B135</f>
        <v>68.818976000000006</v>
      </c>
      <c r="C105" s="824">
        <f>'Recycling - Case 2'!AK115/B105</f>
        <v>278.32968324673374</v>
      </c>
      <c r="D105" s="825">
        <f>'Recycling - Case 2'!AM115</f>
        <v>0.11636023627094678</v>
      </c>
      <c r="E105" s="826">
        <f>'Recycling - Case 2'!BE115</f>
        <v>0.21479804434918434</v>
      </c>
      <c r="F105" s="826">
        <f>'Recycling - Case 2'!BF115</f>
        <v>0.27242203097041112</v>
      </c>
      <c r="G105" s="826">
        <f>'Recycling - Case 2'!BG115</f>
        <v>5.4603303848831559E-2</v>
      </c>
      <c r="H105" s="826">
        <f>'Recycling - Case 2'!BH115</f>
        <v>0</v>
      </c>
      <c r="I105" s="826">
        <f>'Recycling - Case 2'!BI115</f>
        <v>0</v>
      </c>
      <c r="J105" s="826">
        <f>'Recycling - Case 2'!BJ115</f>
        <v>0</v>
      </c>
      <c r="K105" s="826">
        <f>'Recycling - Case 2'!BK115</f>
        <v>0.45817662083157323</v>
      </c>
      <c r="L105" s="827">
        <f t="shared" si="89"/>
        <v>1.0000000000000002</v>
      </c>
      <c r="M105" s="4"/>
      <c r="N105" s="838">
        <f t="shared" si="56"/>
        <v>2228.8062963921584</v>
      </c>
      <c r="O105" s="833">
        <f>Parameters!R241</f>
        <v>1</v>
      </c>
      <c r="P105" s="834">
        <f>E105*'MSW characteristics'!$B$28+'MSW characteristics'!$B$29*'4A SWD Case 2'!F105+'4A SWD Case 2'!G105*'MSW characteristics'!$B$30+'MSW characteristics'!$B$31*'4A SWD Case 2'!H105+'4A SWD Case 2'!I105*'MSW characteristics'!$B$32+'MSW characteristics'!$B$33*'4A SWD Case 2'!J105+'4A SWD Case 2'!K105*'MSW characteristics'!$B$35</f>
        <v>0.1085454343859925</v>
      </c>
      <c r="Q105" s="832">
        <f t="shared" si="57"/>
        <v>120.96337380206099</v>
      </c>
      <c r="R105" s="832">
        <f t="shared" si="58"/>
        <v>120.96337380206099</v>
      </c>
      <c r="S105" s="835">
        <f t="shared" si="59"/>
        <v>0</v>
      </c>
      <c r="T105" s="832">
        <f t="shared" si="60"/>
        <v>8201.2170068616324</v>
      </c>
      <c r="U105" s="832">
        <f t="shared" si="61"/>
        <v>414.28346276331558</v>
      </c>
      <c r="V105" s="839">
        <f t="shared" si="62"/>
        <v>276.1889751755437</v>
      </c>
      <c r="W105" s="4"/>
      <c r="X105" s="852">
        <f>'Recycling - Case 2'!AM155</f>
        <v>-751.91700000000026</v>
      </c>
      <c r="Y105" s="853">
        <f>Parameters!S240</f>
        <v>0.71500000000000008</v>
      </c>
      <c r="Z105" s="853">
        <f t="shared" si="63"/>
        <v>0.4</v>
      </c>
      <c r="AA105" s="854">
        <f t="shared" si="64"/>
        <v>-107.52413100000005</v>
      </c>
      <c r="AB105" s="854">
        <f t="shared" si="65"/>
        <v>-107.52413100000005</v>
      </c>
      <c r="AC105" s="855">
        <f t="shared" si="66"/>
        <v>0</v>
      </c>
      <c r="AD105" s="854">
        <f t="shared" si="67"/>
        <v>4582.2756053943158</v>
      </c>
      <c r="AE105" s="854">
        <f t="shared" si="68"/>
        <v>240.45117426892506</v>
      </c>
      <c r="AF105" s="856">
        <f t="shared" si="69"/>
        <v>160.30078284595004</v>
      </c>
      <c r="AG105" s="4"/>
      <c r="AH105" s="852">
        <f>'Recycling - Case 2'!AM195</f>
        <v>-751.91700000000026</v>
      </c>
      <c r="AI105" s="853">
        <f>Parameters!S240</f>
        <v>0.71500000000000008</v>
      </c>
      <c r="AJ105" s="853">
        <f t="shared" si="70"/>
        <v>0.4</v>
      </c>
      <c r="AK105" s="854">
        <f t="shared" si="71"/>
        <v>-107.52413100000005</v>
      </c>
      <c r="AL105" s="854">
        <f t="shared" si="72"/>
        <v>-107.52413100000005</v>
      </c>
      <c r="AM105" s="855">
        <f t="shared" si="73"/>
        <v>0</v>
      </c>
      <c r="AN105" s="854">
        <f t="shared" si="74"/>
        <v>4582.2756053943158</v>
      </c>
      <c r="AO105" s="854">
        <f t="shared" si="75"/>
        <v>240.45117426892506</v>
      </c>
      <c r="AP105" s="856">
        <f t="shared" si="76"/>
        <v>160.30078284595004</v>
      </c>
      <c r="AQ105" s="4"/>
      <c r="AR105" s="1042">
        <f>'Recycling - Case 2'!G115</f>
        <v>773.55653164413684</v>
      </c>
      <c r="AS105" s="1043">
        <v>1</v>
      </c>
      <c r="AT105" s="1043">
        <f t="shared" si="77"/>
        <v>0.05</v>
      </c>
      <c r="AU105" s="1044">
        <f t="shared" si="78"/>
        <v>19.338913291103424</v>
      </c>
      <c r="AV105" s="1044">
        <f t="shared" si="79"/>
        <v>19.338913291103424</v>
      </c>
      <c r="AW105" s="1045">
        <f t="shared" si="80"/>
        <v>0</v>
      </c>
      <c r="AX105" s="1044">
        <f t="shared" si="44"/>
        <v>244.13254959900917</v>
      </c>
      <c r="AY105" s="1044">
        <f t="shared" si="49"/>
        <v>13.900462154654456</v>
      </c>
      <c r="AZ105" s="1046">
        <f t="shared" si="47"/>
        <v>9.2669747697696376</v>
      </c>
      <c r="BA105" s="4"/>
      <c r="BB105" s="1055">
        <f t="shared" si="81"/>
        <v>276.1889751755437</v>
      </c>
      <c r="BC105" s="1056">
        <f t="shared" si="82"/>
        <v>160.30078284595004</v>
      </c>
      <c r="BD105" s="1082">
        <f t="shared" si="90"/>
        <v>9.2669747697696376</v>
      </c>
      <c r="BE105" s="1056">
        <f t="shared" si="54"/>
        <v>445.7567327912634</v>
      </c>
      <c r="BF105" s="167">
        <v>0</v>
      </c>
      <c r="BG105" s="1075">
        <f t="shared" si="83"/>
        <v>445.7567327912634</v>
      </c>
      <c r="BI105" s="1055">
        <f t="shared" si="84"/>
        <v>276.1889751755437</v>
      </c>
      <c r="BJ105" s="1056">
        <f t="shared" si="85"/>
        <v>160.30078284595004</v>
      </c>
      <c r="BK105" s="1082">
        <f t="shared" si="86"/>
        <v>9.2669747697696376</v>
      </c>
      <c r="BL105" s="1056">
        <f t="shared" si="55"/>
        <v>445.7567327912634</v>
      </c>
      <c r="BM105" s="167">
        <v>0</v>
      </c>
      <c r="BN105" s="1075">
        <f t="shared" si="87"/>
        <v>445.7567327912634</v>
      </c>
    </row>
    <row r="106" spans="1:66">
      <c r="A106" s="927">
        <f>'Input data'!A136</f>
        <v>2036</v>
      </c>
      <c r="B106" s="824">
        <f>'Input data'!B136</f>
        <v>69.322810489383542</v>
      </c>
      <c r="C106" s="824">
        <f>'Recycling - Case 2'!AK116/B106</f>
        <v>277.28958269275716</v>
      </c>
      <c r="D106" s="825">
        <f>'Recycling - Case 2'!AM116</f>
        <v>0.11594782602683691</v>
      </c>
      <c r="E106" s="826">
        <f>'Recycling - Case 2'!BE116</f>
        <v>0.21535447797222657</v>
      </c>
      <c r="F106" s="826">
        <f>'Recycling - Case 2'!BF116</f>
        <v>0.27312773934009704</v>
      </c>
      <c r="G106" s="826">
        <f>'Recycling - Case 2'!BG116</f>
        <v>5.4468904822246644E-2</v>
      </c>
      <c r="H106" s="826">
        <f>'Recycling - Case 2'!BH116</f>
        <v>0</v>
      </c>
      <c r="I106" s="826">
        <f>'Recycling - Case 2'!BI116</f>
        <v>0</v>
      </c>
      <c r="J106" s="826">
        <f>'Recycling - Case 2'!BJ116</f>
        <v>0</v>
      </c>
      <c r="K106" s="826">
        <f>'Recycling - Case 2'!BK116</f>
        <v>0.45704887786542953</v>
      </c>
      <c r="L106" s="827">
        <f t="shared" si="89"/>
        <v>0.99999999999999978</v>
      </c>
      <c r="M106" s="4"/>
      <c r="N106" s="838">
        <f t="shared" si="56"/>
        <v>2228.8062963921584</v>
      </c>
      <c r="O106" s="833">
        <f>Parameters!R242</f>
        <v>1</v>
      </c>
      <c r="P106" s="834">
        <f>E106*'MSW characteristics'!$B$28+'MSW characteristics'!$B$29*'4A SWD Case 2'!F106+'4A SWD Case 2'!G106*'MSW characteristics'!$B$30+'MSW characteristics'!$B$31*'4A SWD Case 2'!H106+'4A SWD Case 2'!I106*'MSW characteristics'!$B$32+'MSW characteristics'!$B$33*'4A SWD Case 2'!J106+'4A SWD Case 2'!K106*'MSW characteristics'!$B$35</f>
        <v>0.10871628149275206</v>
      </c>
      <c r="Q106" s="832">
        <f t="shared" si="57"/>
        <v>121.15376635569403</v>
      </c>
      <c r="R106" s="832">
        <f t="shared" si="58"/>
        <v>121.15376635569403</v>
      </c>
      <c r="S106" s="835">
        <f t="shared" si="59"/>
        <v>0</v>
      </c>
      <c r="T106" s="832">
        <f t="shared" si="60"/>
        <v>7922.3926999981522</v>
      </c>
      <c r="U106" s="832">
        <f t="shared" si="61"/>
        <v>399.97807321917344</v>
      </c>
      <c r="V106" s="839">
        <f t="shared" si="62"/>
        <v>266.65204881278231</v>
      </c>
      <c r="W106" s="4"/>
      <c r="X106" s="852">
        <f>'Recycling - Case 2'!AM156</f>
        <v>-751.91700000000026</v>
      </c>
      <c r="Y106" s="853">
        <f>Parameters!S241</f>
        <v>0.71500000000000008</v>
      </c>
      <c r="Z106" s="853">
        <f t="shared" si="63"/>
        <v>0.4</v>
      </c>
      <c r="AA106" s="854">
        <f t="shared" si="64"/>
        <v>-107.52413100000005</v>
      </c>
      <c r="AB106" s="854">
        <f t="shared" si="65"/>
        <v>-107.52413100000005</v>
      </c>
      <c r="AC106" s="855">
        <f t="shared" si="66"/>
        <v>0</v>
      </c>
      <c r="AD106" s="854">
        <f t="shared" si="67"/>
        <v>4251.2712560228956</v>
      </c>
      <c r="AE106" s="854">
        <f t="shared" si="68"/>
        <v>223.48021837141988</v>
      </c>
      <c r="AF106" s="856">
        <f t="shared" si="69"/>
        <v>148.98681224761324</v>
      </c>
      <c r="AG106" s="4"/>
      <c r="AH106" s="852">
        <f>'Recycling - Case 2'!AM196</f>
        <v>-751.91700000000026</v>
      </c>
      <c r="AI106" s="853">
        <f>Parameters!S241</f>
        <v>0.71500000000000008</v>
      </c>
      <c r="AJ106" s="853">
        <f t="shared" si="70"/>
        <v>0.4</v>
      </c>
      <c r="AK106" s="854">
        <f t="shared" si="71"/>
        <v>-107.52413100000005</v>
      </c>
      <c r="AL106" s="854">
        <f t="shared" si="72"/>
        <v>-107.52413100000005</v>
      </c>
      <c r="AM106" s="855">
        <f t="shared" si="73"/>
        <v>0</v>
      </c>
      <c r="AN106" s="854">
        <f t="shared" si="74"/>
        <v>4251.2712560228956</v>
      </c>
      <c r="AO106" s="854">
        <f t="shared" si="75"/>
        <v>223.48021837141988</v>
      </c>
      <c r="AP106" s="856">
        <f t="shared" si="76"/>
        <v>148.98681224761324</v>
      </c>
      <c r="AQ106" s="4"/>
      <c r="AR106" s="1042">
        <f>'Recycling - Case 2'!G116</f>
        <v>779.21986002801486</v>
      </c>
      <c r="AS106" s="1043">
        <v>1</v>
      </c>
      <c r="AT106" s="1043">
        <f t="shared" si="77"/>
        <v>0.05</v>
      </c>
      <c r="AU106" s="1044">
        <f t="shared" si="78"/>
        <v>19.480496500700372</v>
      </c>
      <c r="AV106" s="1044">
        <f t="shared" si="79"/>
        <v>19.480496500700372</v>
      </c>
      <c r="AW106" s="1045">
        <f t="shared" si="80"/>
        <v>0</v>
      </c>
      <c r="AX106" s="1044">
        <f t="shared" si="44"/>
        <v>249.39587320654471</v>
      </c>
      <c r="AY106" s="1044">
        <f t="shared" si="49"/>
        <v>14.217172893164832</v>
      </c>
      <c r="AZ106" s="1046">
        <f t="shared" si="47"/>
        <v>9.4781152621098883</v>
      </c>
      <c r="BA106" s="4"/>
      <c r="BB106" s="1055">
        <f t="shared" si="81"/>
        <v>266.65204881278231</v>
      </c>
      <c r="BC106" s="1056">
        <f t="shared" si="82"/>
        <v>148.98681224761324</v>
      </c>
      <c r="BD106" s="1082">
        <f t="shared" si="90"/>
        <v>9.4781152621098883</v>
      </c>
      <c r="BE106" s="1056">
        <f t="shared" si="54"/>
        <v>425.11697632250548</v>
      </c>
      <c r="BF106" s="167">
        <v>0</v>
      </c>
      <c r="BG106" s="1075">
        <f t="shared" si="83"/>
        <v>425.11697632250548</v>
      </c>
      <c r="BI106" s="1055">
        <f t="shared" si="84"/>
        <v>266.65204881278231</v>
      </c>
      <c r="BJ106" s="1056">
        <f t="shared" si="85"/>
        <v>148.98681224761324</v>
      </c>
      <c r="BK106" s="1082">
        <f t="shared" si="86"/>
        <v>9.4781152621098883</v>
      </c>
      <c r="BL106" s="1056">
        <f t="shared" si="55"/>
        <v>425.11697632250548</v>
      </c>
      <c r="BM106" s="167">
        <v>0</v>
      </c>
      <c r="BN106" s="1075">
        <f t="shared" si="87"/>
        <v>425.11697632250548</v>
      </c>
    </row>
    <row r="107" spans="1:66">
      <c r="A107" s="927">
        <f>'Input data'!A137</f>
        <v>2037</v>
      </c>
      <c r="B107" s="824">
        <f>'Input data'!B137</f>
        <v>69.830333629884052</v>
      </c>
      <c r="C107" s="824">
        <f>'Recycling - Case 2'!AK117/B107</f>
        <v>276.25764791535482</v>
      </c>
      <c r="D107" s="825">
        <f>'Recycling - Case 2'!AM117</f>
        <v>0.11553508790560191</v>
      </c>
      <c r="E107" s="826">
        <f>'Recycling - Case 2'!BE117</f>
        <v>0.21590416467961743</v>
      </c>
      <c r="F107" s="826">
        <f>'Recycling - Case 2'!BF117</f>
        <v>0.27382489079544936</v>
      </c>
      <c r="G107" s="826">
        <f>'Recycling - Case 2'!BG117</f>
        <v>5.4336135422015146E-2</v>
      </c>
      <c r="H107" s="826">
        <f>'Recycling - Case 2'!BH117</f>
        <v>0</v>
      </c>
      <c r="I107" s="826">
        <f>'Recycling - Case 2'!BI117</f>
        <v>0</v>
      </c>
      <c r="J107" s="826">
        <f>'Recycling - Case 2'!BJ117</f>
        <v>0</v>
      </c>
      <c r="K107" s="826">
        <f>'Recycling - Case 2'!BK117</f>
        <v>0.45593480910291823</v>
      </c>
      <c r="L107" s="827">
        <f t="shared" si="89"/>
        <v>1.0000000000000002</v>
      </c>
      <c r="M107" s="4"/>
      <c r="N107" s="838">
        <f t="shared" si="56"/>
        <v>2228.8062963921584</v>
      </c>
      <c r="O107" s="833">
        <f>Parameters!R243</f>
        <v>1</v>
      </c>
      <c r="P107" s="834">
        <f>E107*'MSW characteristics'!$B$28+'MSW characteristics'!$B$29*'4A SWD Case 2'!F107+'4A SWD Case 2'!G107*'MSW characteristics'!$B$30+'MSW characteristics'!$B$31*'4A SWD Case 2'!H107+'4A SWD Case 2'!I107*'MSW characteristics'!$B$32+'MSW characteristics'!$B$33*'4A SWD Case 2'!J107+'4A SWD Case 2'!K107*'MSW characteristics'!$B$35</f>
        <v>0.10888505702983856</v>
      </c>
      <c r="Q107" s="832">
        <f t="shared" si="57"/>
        <v>121.34185034556171</v>
      </c>
      <c r="R107" s="832">
        <f t="shared" si="58"/>
        <v>121.34185034556171</v>
      </c>
      <c r="S107" s="835">
        <f t="shared" si="59"/>
        <v>0</v>
      </c>
      <c r="T107" s="832">
        <f t="shared" si="60"/>
        <v>7657.3548990334621</v>
      </c>
      <c r="U107" s="832">
        <f t="shared" si="61"/>
        <v>386.37965131025203</v>
      </c>
      <c r="V107" s="839">
        <f t="shared" si="62"/>
        <v>257.58643420683467</v>
      </c>
      <c r="W107" s="4"/>
      <c r="X107" s="852">
        <f>'Recycling - Case 2'!AM157</f>
        <v>-751.91700000000026</v>
      </c>
      <c r="Y107" s="853">
        <f>Parameters!S242</f>
        <v>0.71500000000000008</v>
      </c>
      <c r="Z107" s="853">
        <f t="shared" si="63"/>
        <v>0.4</v>
      </c>
      <c r="AA107" s="854">
        <f t="shared" si="64"/>
        <v>-107.52413100000005</v>
      </c>
      <c r="AB107" s="854">
        <f t="shared" si="65"/>
        <v>-107.52413100000005</v>
      </c>
      <c r="AC107" s="855">
        <f t="shared" si="66"/>
        <v>0</v>
      </c>
      <c r="AD107" s="854">
        <f t="shared" si="67"/>
        <v>3936.4101792630863</v>
      </c>
      <c r="AE107" s="854">
        <f t="shared" si="68"/>
        <v>207.336945759809</v>
      </c>
      <c r="AF107" s="856">
        <f t="shared" si="69"/>
        <v>138.22463050653934</v>
      </c>
      <c r="AG107" s="4"/>
      <c r="AH107" s="852">
        <f>'Recycling - Case 2'!AM197</f>
        <v>-751.91700000000026</v>
      </c>
      <c r="AI107" s="853">
        <f>Parameters!S242</f>
        <v>0.71500000000000008</v>
      </c>
      <c r="AJ107" s="853">
        <f t="shared" si="70"/>
        <v>0.4</v>
      </c>
      <c r="AK107" s="854">
        <f t="shared" si="71"/>
        <v>-107.52413100000005</v>
      </c>
      <c r="AL107" s="854">
        <f t="shared" si="72"/>
        <v>-107.52413100000005</v>
      </c>
      <c r="AM107" s="855">
        <f t="shared" si="73"/>
        <v>0</v>
      </c>
      <c r="AN107" s="854">
        <f t="shared" si="74"/>
        <v>3936.4101792630863</v>
      </c>
      <c r="AO107" s="854">
        <f t="shared" si="75"/>
        <v>207.336945759809</v>
      </c>
      <c r="AP107" s="856">
        <f t="shared" si="76"/>
        <v>138.22463050653934</v>
      </c>
      <c r="AQ107" s="4"/>
      <c r="AR107" s="1042">
        <f>'Recycling - Case 2'!G117</f>
        <v>784.92465052496607</v>
      </c>
      <c r="AS107" s="1043">
        <v>1</v>
      </c>
      <c r="AT107" s="1043">
        <f t="shared" si="77"/>
        <v>0.05</v>
      </c>
      <c r="AU107" s="1044">
        <f t="shared" si="78"/>
        <v>19.623116263124153</v>
      </c>
      <c r="AV107" s="1044">
        <f t="shared" si="79"/>
        <v>19.623116263124153</v>
      </c>
      <c r="AW107" s="1045">
        <f t="shared" si="80"/>
        <v>0</v>
      </c>
      <c r="AX107" s="1044">
        <f t="shared" si="44"/>
        <v>254.49530447132216</v>
      </c>
      <c r="AY107" s="1044">
        <f t="shared" si="49"/>
        <v>14.523684998346699</v>
      </c>
      <c r="AZ107" s="1046">
        <f t="shared" si="47"/>
        <v>9.6824566655644659</v>
      </c>
      <c r="BA107" s="4"/>
      <c r="BB107" s="1055">
        <f t="shared" si="81"/>
        <v>257.58643420683467</v>
      </c>
      <c r="BC107" s="1056">
        <f t="shared" si="82"/>
        <v>138.22463050653934</v>
      </c>
      <c r="BD107" s="1082">
        <f t="shared" si="90"/>
        <v>9.6824566655644659</v>
      </c>
      <c r="BE107" s="1056">
        <f t="shared" si="54"/>
        <v>405.49352137893845</v>
      </c>
      <c r="BF107" s="167">
        <v>0</v>
      </c>
      <c r="BG107" s="1075">
        <f t="shared" si="83"/>
        <v>405.49352137893845</v>
      </c>
      <c r="BI107" s="1055">
        <f t="shared" si="84"/>
        <v>257.58643420683467</v>
      </c>
      <c r="BJ107" s="1056">
        <f t="shared" si="85"/>
        <v>138.22463050653934</v>
      </c>
      <c r="BK107" s="1082">
        <f t="shared" si="86"/>
        <v>9.6824566655644659</v>
      </c>
      <c r="BL107" s="1056">
        <f t="shared" si="55"/>
        <v>405.49352137893845</v>
      </c>
      <c r="BM107" s="167">
        <v>0</v>
      </c>
      <c r="BN107" s="1075">
        <f t="shared" si="87"/>
        <v>405.49352137893845</v>
      </c>
    </row>
    <row r="108" spans="1:66">
      <c r="A108" s="927">
        <f>'Input data'!A138</f>
        <v>2038</v>
      </c>
      <c r="B108" s="824">
        <f>'Input data'!B138</f>
        <v>70.341572426693446</v>
      </c>
      <c r="C108" s="824">
        <f>'Recycling - Case 2'!AK118/B108</f>
        <v>275.23380642431778</v>
      </c>
      <c r="D108" s="825">
        <f>'Recycling - Case 2'!AM118</f>
        <v>0.11512204010082239</v>
      </c>
      <c r="E108" s="826">
        <f>'Recycling - Case 2'!BE118</f>
        <v>0.21644721208362872</v>
      </c>
      <c r="F108" s="826">
        <f>'Recycling - Case 2'!BF118</f>
        <v>0.27451362181794159</v>
      </c>
      <c r="G108" s="826">
        <f>'Recycling - Case 2'!BG118</f>
        <v>5.4204969655846105E-2</v>
      </c>
      <c r="H108" s="826">
        <f>'Recycling - Case 2'!BH118</f>
        <v>0</v>
      </c>
      <c r="I108" s="826">
        <f>'Recycling - Case 2'!BI118</f>
        <v>0</v>
      </c>
      <c r="J108" s="826">
        <f>'Recycling - Case 2'!BJ118</f>
        <v>0</v>
      </c>
      <c r="K108" s="826">
        <f>'Recycling - Case 2'!BK118</f>
        <v>0.45483419644258377</v>
      </c>
      <c r="L108" s="827">
        <f t="shared" si="89"/>
        <v>1.0000000000000002</v>
      </c>
      <c r="M108" s="4"/>
      <c r="N108" s="838">
        <f t="shared" si="56"/>
        <v>2228.8062963921584</v>
      </c>
      <c r="O108" s="833">
        <f>Parameters!R244</f>
        <v>1</v>
      </c>
      <c r="P108" s="834">
        <f>E108*'MSW characteristics'!$B$28+'MSW characteristics'!$B$29*'4A SWD Case 2'!F108+'4A SWD Case 2'!G108*'MSW characteristics'!$B$30+'MSW characteristics'!$B$31*'4A SWD Case 2'!H108+'4A SWD Case 2'!I108*'MSW characteristics'!$B$32+'MSW characteristics'!$B$33*'4A SWD Case 2'!J108+'4A SWD Case 2'!K108*'MSW characteristics'!$B$35</f>
        <v>0.10905179403847107</v>
      </c>
      <c r="Q108" s="832">
        <f t="shared" si="57"/>
        <v>121.52766259290257</v>
      </c>
      <c r="R108" s="832">
        <f t="shared" si="58"/>
        <v>121.52766259290257</v>
      </c>
      <c r="S108" s="835">
        <f t="shared" si="59"/>
        <v>0</v>
      </c>
      <c r="T108" s="832">
        <f t="shared" si="60"/>
        <v>7405.4289563982256</v>
      </c>
      <c r="U108" s="832">
        <f t="shared" si="61"/>
        <v>373.45360522813888</v>
      </c>
      <c r="V108" s="839">
        <f t="shared" si="62"/>
        <v>248.9690701520926</v>
      </c>
      <c r="W108" s="4"/>
      <c r="X108" s="852">
        <f>'Recycling - Case 2'!AM158</f>
        <v>-751.91700000000026</v>
      </c>
      <c r="Y108" s="853">
        <f>Parameters!S243</f>
        <v>0.71500000000000008</v>
      </c>
      <c r="Z108" s="853">
        <f t="shared" si="63"/>
        <v>0.4</v>
      </c>
      <c r="AA108" s="854">
        <f t="shared" si="64"/>
        <v>-107.52413100000005</v>
      </c>
      <c r="AB108" s="854">
        <f t="shared" si="65"/>
        <v>-107.52413100000005</v>
      </c>
      <c r="AC108" s="855">
        <f t="shared" si="66"/>
        <v>0</v>
      </c>
      <c r="AD108" s="854">
        <f t="shared" si="67"/>
        <v>3636.9050584191777</v>
      </c>
      <c r="AE108" s="854">
        <f t="shared" si="68"/>
        <v>191.98098984390822</v>
      </c>
      <c r="AF108" s="856">
        <f t="shared" si="69"/>
        <v>127.98732656260547</v>
      </c>
      <c r="AG108" s="4"/>
      <c r="AH108" s="852">
        <f>'Recycling - Case 2'!AM198</f>
        <v>-751.91700000000026</v>
      </c>
      <c r="AI108" s="853">
        <f>Parameters!S243</f>
        <v>0.71500000000000008</v>
      </c>
      <c r="AJ108" s="853">
        <f t="shared" si="70"/>
        <v>0.4</v>
      </c>
      <c r="AK108" s="854">
        <f t="shared" si="71"/>
        <v>-107.52413100000005</v>
      </c>
      <c r="AL108" s="854">
        <f t="shared" si="72"/>
        <v>-107.52413100000005</v>
      </c>
      <c r="AM108" s="855">
        <f t="shared" si="73"/>
        <v>0</v>
      </c>
      <c r="AN108" s="854">
        <f t="shared" si="74"/>
        <v>3636.9050584191777</v>
      </c>
      <c r="AO108" s="854">
        <f t="shared" si="75"/>
        <v>191.98098984390822</v>
      </c>
      <c r="AP108" s="856">
        <f t="shared" si="76"/>
        <v>127.98732656260547</v>
      </c>
      <c r="AQ108" s="4"/>
      <c r="AR108" s="1042">
        <f>'Recycling - Case 2'!G118</f>
        <v>790.67120668560699</v>
      </c>
      <c r="AS108" s="1043">
        <v>1</v>
      </c>
      <c r="AT108" s="1043">
        <f t="shared" si="77"/>
        <v>0.05</v>
      </c>
      <c r="AU108" s="1044">
        <f t="shared" si="78"/>
        <v>19.766780167140176</v>
      </c>
      <c r="AV108" s="1044">
        <f t="shared" si="79"/>
        <v>19.766780167140176</v>
      </c>
      <c r="AW108" s="1045">
        <f t="shared" si="80"/>
        <v>0</v>
      </c>
      <c r="AX108" s="1044">
        <f t="shared" si="44"/>
        <v>259.44143188195625</v>
      </c>
      <c r="AY108" s="1044">
        <f t="shared" si="49"/>
        <v>14.820652756506078</v>
      </c>
      <c r="AZ108" s="1046">
        <f t="shared" si="47"/>
        <v>9.8804351710040521</v>
      </c>
      <c r="BA108" s="4"/>
      <c r="BB108" s="1055">
        <f t="shared" si="81"/>
        <v>248.9690701520926</v>
      </c>
      <c r="BC108" s="1056">
        <f t="shared" si="82"/>
        <v>127.98732656260547</v>
      </c>
      <c r="BD108" s="1082">
        <f t="shared" si="90"/>
        <v>9.8804351710040521</v>
      </c>
      <c r="BE108" s="1056">
        <f t="shared" si="54"/>
        <v>386.83683188570217</v>
      </c>
      <c r="BF108" s="167">
        <v>0</v>
      </c>
      <c r="BG108" s="1075">
        <f t="shared" si="83"/>
        <v>386.83683188570217</v>
      </c>
      <c r="BI108" s="1055">
        <f t="shared" si="84"/>
        <v>248.9690701520926</v>
      </c>
      <c r="BJ108" s="1056">
        <f t="shared" si="85"/>
        <v>127.98732656260547</v>
      </c>
      <c r="BK108" s="1082">
        <f t="shared" si="86"/>
        <v>9.8804351710040521</v>
      </c>
      <c r="BL108" s="1056">
        <f t="shared" si="55"/>
        <v>386.83683188570217</v>
      </c>
      <c r="BM108" s="167">
        <v>0</v>
      </c>
      <c r="BN108" s="1075">
        <f t="shared" si="87"/>
        <v>386.83683188570217</v>
      </c>
    </row>
    <row r="109" spans="1:66">
      <c r="A109" s="927">
        <f>'Input data'!A139</f>
        <v>2039</v>
      </c>
      <c r="B109" s="824">
        <f>'Input data'!B139</f>
        <v>70.856554082712819</v>
      </c>
      <c r="C109" s="824">
        <f>'Recycling - Case 2'!AK119/B109</f>
        <v>274.21798658222781</v>
      </c>
      <c r="D109" s="825">
        <f>'Recycling - Case 2'!AM119</f>
        <v>0.11470870066993408</v>
      </c>
      <c r="E109" s="826">
        <f>'Recycling - Case 2'!BE119</f>
        <v>0.21698372556164097</v>
      </c>
      <c r="F109" s="826">
        <f>'Recycling - Case 2'!BF119</f>
        <v>0.27519406605460101</v>
      </c>
      <c r="G109" s="826">
        <f>'Recycling - Case 2'!BG119</f>
        <v>5.4075382071256443E-2</v>
      </c>
      <c r="H109" s="826">
        <f>'Recycling - Case 2'!BH119</f>
        <v>0</v>
      </c>
      <c r="I109" s="826">
        <f>'Recycling - Case 2'!BI119</f>
        <v>0</v>
      </c>
      <c r="J109" s="826">
        <f>'Recycling - Case 2'!BJ119</f>
        <v>0</v>
      </c>
      <c r="K109" s="826">
        <f>'Recycling - Case 2'!BK119</f>
        <v>0.45374682631250146</v>
      </c>
      <c r="L109" s="827">
        <f t="shared" si="89"/>
        <v>0.99999999999999978</v>
      </c>
      <c r="M109" s="4"/>
      <c r="N109" s="838">
        <f t="shared" si="56"/>
        <v>2228.8062963921584</v>
      </c>
      <c r="O109" s="833">
        <f>Parameters!R245</f>
        <v>1</v>
      </c>
      <c r="P109" s="834">
        <f>E109*'MSW characteristics'!$B$28+'MSW characteristics'!$B$29*'4A SWD Case 2'!F109+'4A SWD Case 2'!G109*'MSW characteristics'!$B$30+'MSW characteristics'!$B$31*'4A SWD Case 2'!H109+'4A SWD Case 2'!I109*'MSW characteristics'!$B$32+'MSW characteristics'!$B$33*'4A SWD Case 2'!J109+'4A SWD Case 2'!K109*'MSW characteristics'!$B$35</f>
        <v>0.10921652487366892</v>
      </c>
      <c r="Q109" s="832">
        <f t="shared" si="57"/>
        <v>121.71123915425204</v>
      </c>
      <c r="R109" s="832">
        <f t="shared" si="58"/>
        <v>121.71123915425204</v>
      </c>
      <c r="S109" s="835">
        <f t="shared" si="59"/>
        <v>0</v>
      </c>
      <c r="T109" s="832">
        <f t="shared" si="60"/>
        <v>7165.9731635298594</v>
      </c>
      <c r="U109" s="832">
        <f t="shared" si="61"/>
        <v>361.16703202261829</v>
      </c>
      <c r="V109" s="839">
        <f t="shared" si="62"/>
        <v>240.77802134841218</v>
      </c>
      <c r="W109" s="4"/>
      <c r="X109" s="852">
        <f>'Recycling - Case 2'!AM159</f>
        <v>-617.98908879033206</v>
      </c>
      <c r="Y109" s="853">
        <f>Parameters!S244</f>
        <v>0.71500000000000008</v>
      </c>
      <c r="Z109" s="853">
        <f t="shared" si="63"/>
        <v>0.4</v>
      </c>
      <c r="AA109" s="854">
        <f t="shared" si="64"/>
        <v>-88.372439697017498</v>
      </c>
      <c r="AB109" s="854">
        <f t="shared" si="65"/>
        <v>-88.372439697017498</v>
      </c>
      <c r="AC109" s="855">
        <f t="shared" si="66"/>
        <v>0</v>
      </c>
      <c r="AD109" s="854">
        <f t="shared" si="67"/>
        <v>3371.1586659867926</v>
      </c>
      <c r="AE109" s="854">
        <f t="shared" si="68"/>
        <v>177.37395273536762</v>
      </c>
      <c r="AF109" s="856">
        <f t="shared" si="69"/>
        <v>118.24930182357842</v>
      </c>
      <c r="AG109" s="4"/>
      <c r="AH109" s="852">
        <f>'Recycling - Case 2'!AM199</f>
        <v>-617.98908879033206</v>
      </c>
      <c r="AI109" s="853">
        <f>Parameters!S244</f>
        <v>0.71500000000000008</v>
      </c>
      <c r="AJ109" s="853">
        <f t="shared" si="70"/>
        <v>0.4</v>
      </c>
      <c r="AK109" s="854">
        <f t="shared" si="71"/>
        <v>-88.372439697017498</v>
      </c>
      <c r="AL109" s="854">
        <f t="shared" si="72"/>
        <v>-88.372439697017498</v>
      </c>
      <c r="AM109" s="855">
        <f t="shared" si="73"/>
        <v>0</v>
      </c>
      <c r="AN109" s="854">
        <f t="shared" si="74"/>
        <v>3371.1586659867926</v>
      </c>
      <c r="AO109" s="854">
        <f t="shared" si="75"/>
        <v>177.37395273536762</v>
      </c>
      <c r="AP109" s="856">
        <f t="shared" si="76"/>
        <v>118.24930182357842</v>
      </c>
      <c r="AQ109" s="4"/>
      <c r="AR109" s="1042">
        <f>'Recycling - Case 2'!G119</f>
        <v>796.45983428289492</v>
      </c>
      <c r="AS109" s="1043">
        <v>1</v>
      </c>
      <c r="AT109" s="1043">
        <f t="shared" si="77"/>
        <v>0.05</v>
      </c>
      <c r="AU109" s="1044">
        <f t="shared" si="78"/>
        <v>19.911495857072374</v>
      </c>
      <c r="AV109" s="1044">
        <f t="shared" si="79"/>
        <v>19.911495857072374</v>
      </c>
      <c r="AW109" s="1045">
        <f t="shared" si="80"/>
        <v>0</v>
      </c>
      <c r="AX109" s="1044">
        <f t="shared" si="44"/>
        <v>264.24423494581254</v>
      </c>
      <c r="AY109" s="1044">
        <f t="shared" si="49"/>
        <v>15.108692793216086</v>
      </c>
      <c r="AZ109" s="1046">
        <f t="shared" si="47"/>
        <v>10.072461862144058</v>
      </c>
      <c r="BA109" s="4"/>
      <c r="BB109" s="1055">
        <f t="shared" si="81"/>
        <v>240.77802134841218</v>
      </c>
      <c r="BC109" s="1056">
        <f t="shared" si="82"/>
        <v>118.24930182357842</v>
      </c>
      <c r="BD109" s="1082">
        <f t="shared" si="90"/>
        <v>10.072461862144058</v>
      </c>
      <c r="BE109" s="1056">
        <f t="shared" si="54"/>
        <v>369.09978503413464</v>
      </c>
      <c r="BF109" s="167">
        <v>0</v>
      </c>
      <c r="BG109" s="1075">
        <f t="shared" si="83"/>
        <v>369.09978503413464</v>
      </c>
      <c r="BI109" s="1055">
        <f t="shared" si="84"/>
        <v>240.77802134841218</v>
      </c>
      <c r="BJ109" s="1056">
        <f t="shared" si="85"/>
        <v>118.24930182357842</v>
      </c>
      <c r="BK109" s="1082">
        <f t="shared" si="86"/>
        <v>10.072461862144058</v>
      </c>
      <c r="BL109" s="1056">
        <f t="shared" si="55"/>
        <v>369.09978503413464</v>
      </c>
      <c r="BM109" s="167">
        <v>0</v>
      </c>
      <c r="BN109" s="1075">
        <f t="shared" si="87"/>
        <v>369.09978503413464</v>
      </c>
    </row>
    <row r="110" spans="1:66">
      <c r="A110" s="927">
        <f>'Input data'!A140</f>
        <v>2040</v>
      </c>
      <c r="B110" s="824">
        <f>'Input data'!B140</f>
        <v>71.375305999999995</v>
      </c>
      <c r="C110" s="824">
        <f>'Recycling - Case 2'!AK120/B110</f>
        <v>273.21011758893553</v>
      </c>
      <c r="D110" s="825">
        <f>'Recycling - Case 2'!AM120</f>
        <v>0.11429508753609822</v>
      </c>
      <c r="E110" s="826">
        <f>'Recycling - Case 2'!BE120</f>
        <v>0.21751380831394043</v>
      </c>
      <c r="F110" s="826">
        <f>'Recycling - Case 2'!BF120</f>
        <v>0.27586635439130974</v>
      </c>
      <c r="G110" s="826">
        <f>'Recycling - Case 2'!BG120</f>
        <v>5.3947347741610877E-2</v>
      </c>
      <c r="H110" s="826">
        <f>'Recycling - Case 2'!BH120</f>
        <v>0</v>
      </c>
      <c r="I110" s="826">
        <f>'Recycling - Case 2'!BI120</f>
        <v>0</v>
      </c>
      <c r="J110" s="826">
        <f>'Recycling - Case 2'!BJ120</f>
        <v>0</v>
      </c>
      <c r="K110" s="826">
        <f>'Recycling - Case 2'!BK120</f>
        <v>0.45267248955313899</v>
      </c>
      <c r="L110" s="827">
        <f t="shared" si="89"/>
        <v>1</v>
      </c>
      <c r="M110" s="4"/>
      <c r="N110" s="838">
        <f t="shared" si="56"/>
        <v>2228.8062963921584</v>
      </c>
      <c r="O110" s="833">
        <f>Parameters!R246</f>
        <v>1</v>
      </c>
      <c r="P110" s="834">
        <f>E110*'MSW characteristics'!$B$28+'MSW characteristics'!$B$29*'4A SWD Case 2'!F110+'4A SWD Case 2'!G110*'MSW characteristics'!$B$30+'MSW characteristics'!$B$31*'4A SWD Case 2'!H110+'4A SWD Case 2'!I110*'MSW characteristics'!$B$32+'MSW characteristics'!$B$33*'4A SWD Case 2'!J110+'4A SWD Case 2'!K110*'MSW characteristics'!$B$35</f>
        <v>0.10937928122199736</v>
      </c>
      <c r="Q110" s="832">
        <f t="shared" si="57"/>
        <v>121.89261534121815</v>
      </c>
      <c r="R110" s="832">
        <f t="shared" si="58"/>
        <v>121.89261534121815</v>
      </c>
      <c r="S110" s="835">
        <f t="shared" si="59"/>
        <v>0</v>
      </c>
      <c r="T110" s="832">
        <f t="shared" si="60"/>
        <v>6938.3771436732877</v>
      </c>
      <c r="U110" s="832">
        <f t="shared" si="61"/>
        <v>349.48863519779025</v>
      </c>
      <c r="V110" s="839">
        <f t="shared" si="62"/>
        <v>232.9924234651935</v>
      </c>
      <c r="W110" s="4"/>
      <c r="X110" s="852">
        <f>'Recycling - Case 2'!AM160</f>
        <v>0</v>
      </c>
      <c r="Y110" s="853">
        <f>Parameters!S245</f>
        <v>0.71500000000000008</v>
      </c>
      <c r="Z110" s="853">
        <f t="shared" si="63"/>
        <v>0.4</v>
      </c>
      <c r="AA110" s="854">
        <f t="shared" si="64"/>
        <v>0</v>
      </c>
      <c r="AB110" s="854">
        <f t="shared" si="65"/>
        <v>0</v>
      </c>
      <c r="AC110" s="855">
        <f t="shared" si="66"/>
        <v>0</v>
      </c>
      <c r="AD110" s="854">
        <f t="shared" si="67"/>
        <v>3206.7453177472116</v>
      </c>
      <c r="AE110" s="854">
        <f t="shared" si="68"/>
        <v>164.4133482395811</v>
      </c>
      <c r="AF110" s="856">
        <f t="shared" si="69"/>
        <v>109.6088988263874</v>
      </c>
      <c r="AG110" s="4"/>
      <c r="AH110" s="852">
        <f>'Recycling - Case 2'!AM200</f>
        <v>0</v>
      </c>
      <c r="AI110" s="853">
        <f>Parameters!S245</f>
        <v>0.71500000000000008</v>
      </c>
      <c r="AJ110" s="853">
        <f t="shared" si="70"/>
        <v>0.4</v>
      </c>
      <c r="AK110" s="854">
        <f t="shared" si="71"/>
        <v>0</v>
      </c>
      <c r="AL110" s="854">
        <f t="shared" si="72"/>
        <v>0</v>
      </c>
      <c r="AM110" s="855">
        <f t="shared" si="73"/>
        <v>0</v>
      </c>
      <c r="AN110" s="854">
        <f t="shared" si="74"/>
        <v>3206.7453177472116</v>
      </c>
      <c r="AO110" s="854">
        <f t="shared" si="75"/>
        <v>164.4133482395811</v>
      </c>
      <c r="AP110" s="856">
        <f t="shared" si="76"/>
        <v>109.6088988263874</v>
      </c>
      <c r="AQ110" s="4"/>
      <c r="AR110" s="1042">
        <f>'Recycling - Case 2'!G120</f>
        <v>802.29084132839955</v>
      </c>
      <c r="AS110" s="1043">
        <v>1</v>
      </c>
      <c r="AT110" s="1043">
        <f t="shared" si="77"/>
        <v>0.05</v>
      </c>
      <c r="AU110" s="1044">
        <f t="shared" si="78"/>
        <v>20.057271033209989</v>
      </c>
      <c r="AV110" s="1044">
        <f t="shared" si="79"/>
        <v>20.057271033209989</v>
      </c>
      <c r="AW110" s="1045">
        <f t="shared" si="80"/>
        <v>0</v>
      </c>
      <c r="AX110" s="1044">
        <f t="shared" si="44"/>
        <v>268.91311970927978</v>
      </c>
      <c r="AY110" s="1044">
        <f t="shared" si="49"/>
        <v>15.388386269742757</v>
      </c>
      <c r="AZ110" s="1046">
        <f t="shared" si="47"/>
        <v>10.258924179828504</v>
      </c>
      <c r="BA110" s="4"/>
      <c r="BB110" s="1055">
        <f t="shared" si="81"/>
        <v>232.9924234651935</v>
      </c>
      <c r="BC110" s="1056">
        <f t="shared" si="82"/>
        <v>109.6088988263874</v>
      </c>
      <c r="BD110" s="1082">
        <f t="shared" si="90"/>
        <v>10.258924179828504</v>
      </c>
      <c r="BE110" s="1056">
        <f t="shared" si="54"/>
        <v>352.86024647140943</v>
      </c>
      <c r="BF110" s="167">
        <v>0</v>
      </c>
      <c r="BG110" s="1075">
        <f t="shared" si="83"/>
        <v>352.86024647140943</v>
      </c>
      <c r="BI110" s="1055">
        <f t="shared" si="84"/>
        <v>232.9924234651935</v>
      </c>
      <c r="BJ110" s="1056">
        <f t="shared" si="85"/>
        <v>109.6088988263874</v>
      </c>
      <c r="BK110" s="1082">
        <f t="shared" si="86"/>
        <v>10.258924179828504</v>
      </c>
      <c r="BL110" s="1056">
        <f t="shared" si="55"/>
        <v>352.86024647140943</v>
      </c>
      <c r="BM110" s="167">
        <v>0</v>
      </c>
      <c r="BN110" s="1075">
        <f t="shared" si="87"/>
        <v>352.86024647140943</v>
      </c>
    </row>
    <row r="111" spans="1:66">
      <c r="A111" s="927">
        <f>'Input data'!A141</f>
        <v>2041</v>
      </c>
      <c r="B111" s="824">
        <f>'Input data'!B141</f>
        <v>71.818612994947316</v>
      </c>
      <c r="C111" s="824">
        <f>'Recycling - Case 2'!AK121/B111</f>
        <v>272.36080273005246</v>
      </c>
      <c r="D111" s="825">
        <f>'Recycling - Case 2'!AM121</f>
        <v>0.11394380208981811</v>
      </c>
      <c r="E111" s="826">
        <f>'Recycling - Case 2'!BE121</f>
        <v>0.21795878367338772</v>
      </c>
      <c r="F111" s="826">
        <f>'Recycling - Case 2'!BF121</f>
        <v>0.27643070352921606</v>
      </c>
      <c r="G111" s="826">
        <f>'Recycling - Case 2'!BG121</f>
        <v>5.3839869953268379E-2</v>
      </c>
      <c r="H111" s="826">
        <f>'Recycling - Case 2'!BH121</f>
        <v>0</v>
      </c>
      <c r="I111" s="826">
        <f>'Recycling - Case 2'!BI121</f>
        <v>0</v>
      </c>
      <c r="J111" s="826">
        <f>'Recycling - Case 2'!BJ121</f>
        <v>0</v>
      </c>
      <c r="K111" s="826">
        <f>'Recycling - Case 2'!BK121</f>
        <v>0.45177064284412777</v>
      </c>
      <c r="L111" s="827">
        <f t="shared" si="89"/>
        <v>1</v>
      </c>
      <c r="M111" s="4"/>
      <c r="N111" s="838">
        <f t="shared" si="56"/>
        <v>2228.8062963921584</v>
      </c>
      <c r="O111" s="833">
        <f>Parameters!R247</f>
        <v>1</v>
      </c>
      <c r="P111" s="834">
        <f>E111*'MSW characteristics'!$B$28+'MSW characteristics'!$B$29*'4A SWD Case 2'!F111+'4A SWD Case 2'!G111*'MSW characteristics'!$B$30+'MSW characteristics'!$B$31*'4A SWD Case 2'!H111+'4A SWD Case 2'!I111*'MSW characteristics'!$B$32+'MSW characteristics'!$B$33*'4A SWD Case 2'!J111+'4A SWD Case 2'!K111*'MSW characteristics'!$B$35</f>
        <v>0.10951590623815873</v>
      </c>
      <c r="Q111" s="832">
        <f t="shared" si="57"/>
        <v>122.04487068935072</v>
      </c>
      <c r="R111" s="832">
        <f t="shared" si="58"/>
        <v>122.04487068935072</v>
      </c>
      <c r="S111" s="835">
        <f t="shared" si="59"/>
        <v>0</v>
      </c>
      <c r="T111" s="832">
        <f t="shared" si="60"/>
        <v>6722.0333680345993</v>
      </c>
      <c r="U111" s="832">
        <f t="shared" si="61"/>
        <v>338.38864632803831</v>
      </c>
      <c r="V111" s="839">
        <f t="shared" si="62"/>
        <v>225.59243088535888</v>
      </c>
      <c r="W111" s="4"/>
      <c r="X111" s="852">
        <f>'Recycling - Case 2'!AM161</f>
        <v>0</v>
      </c>
      <c r="Y111" s="853">
        <f>Parameters!S246</f>
        <v>0.71500000000000008</v>
      </c>
      <c r="Z111" s="853">
        <f t="shared" si="63"/>
        <v>0.4</v>
      </c>
      <c r="AA111" s="854">
        <f t="shared" si="64"/>
        <v>0</v>
      </c>
      <c r="AB111" s="854">
        <f t="shared" si="65"/>
        <v>0</v>
      </c>
      <c r="AC111" s="855">
        <f t="shared" si="66"/>
        <v>0</v>
      </c>
      <c r="AD111" s="854">
        <f t="shared" si="67"/>
        <v>3050.3505031210393</v>
      </c>
      <c r="AE111" s="854">
        <f t="shared" si="68"/>
        <v>156.39481462617221</v>
      </c>
      <c r="AF111" s="856">
        <f t="shared" si="69"/>
        <v>104.26320975078147</v>
      </c>
      <c r="AG111" s="4"/>
      <c r="AH111" s="852">
        <f>'Recycling - Case 2'!AM201</f>
        <v>0</v>
      </c>
      <c r="AI111" s="853">
        <f>Parameters!S246</f>
        <v>0.71500000000000008</v>
      </c>
      <c r="AJ111" s="853">
        <f t="shared" si="70"/>
        <v>0.4</v>
      </c>
      <c r="AK111" s="854">
        <f t="shared" si="71"/>
        <v>0</v>
      </c>
      <c r="AL111" s="854">
        <f t="shared" si="72"/>
        <v>0</v>
      </c>
      <c r="AM111" s="855">
        <f t="shared" si="73"/>
        <v>0</v>
      </c>
      <c r="AN111" s="854">
        <f t="shared" si="74"/>
        <v>3050.3505031210393</v>
      </c>
      <c r="AO111" s="854">
        <f t="shared" si="75"/>
        <v>156.39481462617221</v>
      </c>
      <c r="AP111" s="856">
        <f t="shared" si="76"/>
        <v>104.26320975078147</v>
      </c>
      <c r="AQ111" s="4"/>
      <c r="AR111" s="1042">
        <f>'Recycling - Case 2'!G121</f>
        <v>807.27381319745268</v>
      </c>
      <c r="AS111" s="1043">
        <v>1</v>
      </c>
      <c r="AT111" s="1043">
        <f t="shared" si="77"/>
        <v>0.05</v>
      </c>
      <c r="AU111" s="1044">
        <f t="shared" si="78"/>
        <v>20.181845329936319</v>
      </c>
      <c r="AV111" s="1044">
        <f t="shared" si="79"/>
        <v>20.181845329936319</v>
      </c>
      <c r="AW111" s="1045">
        <f t="shared" si="80"/>
        <v>0</v>
      </c>
      <c r="AX111" s="1044">
        <f t="shared" si="44"/>
        <v>273.43468408763141</v>
      </c>
      <c r="AY111" s="1044">
        <f t="shared" si="49"/>
        <v>15.660280951584667</v>
      </c>
      <c r="AZ111" s="1046">
        <f t="shared" si="47"/>
        <v>10.440187301056445</v>
      </c>
      <c r="BA111" s="4"/>
      <c r="BB111" s="1055">
        <f t="shared" si="81"/>
        <v>225.59243088535888</v>
      </c>
      <c r="BC111" s="1056">
        <f t="shared" si="82"/>
        <v>104.26320975078147</v>
      </c>
      <c r="BD111" s="1082">
        <f t="shared" si="90"/>
        <v>10.440187301056445</v>
      </c>
      <c r="BE111" s="1056">
        <f t="shared" si="54"/>
        <v>340.2958279371968</v>
      </c>
      <c r="BF111" s="167">
        <v>0</v>
      </c>
      <c r="BG111" s="1075">
        <f t="shared" si="83"/>
        <v>340.2958279371968</v>
      </c>
      <c r="BI111" s="1055">
        <f t="shared" si="84"/>
        <v>225.59243088535888</v>
      </c>
      <c r="BJ111" s="1056">
        <f t="shared" si="85"/>
        <v>104.26320975078147</v>
      </c>
      <c r="BK111" s="1082">
        <f t="shared" si="86"/>
        <v>10.440187301056445</v>
      </c>
      <c r="BL111" s="1056">
        <f t="shared" si="55"/>
        <v>340.2958279371968</v>
      </c>
      <c r="BM111" s="167">
        <v>0</v>
      </c>
      <c r="BN111" s="1075">
        <f t="shared" si="87"/>
        <v>340.2958279371968</v>
      </c>
    </row>
    <row r="112" spans="1:66">
      <c r="A112" s="927">
        <f>'Input data'!A142</f>
        <v>2042</v>
      </c>
      <c r="B112" s="824">
        <f>'Input data'!B142</f>
        <v>72.264673338395411</v>
      </c>
      <c r="C112" s="824">
        <f>'Recycling - Case 2'!AK122/B112</f>
        <v>271.51712367627835</v>
      </c>
      <c r="D112" s="825">
        <f>'Recycling - Case 2'!AM122</f>
        <v>0.11359234306754344</v>
      </c>
      <c r="E112" s="826">
        <f>'Recycling - Case 2'!BE122</f>
        <v>0.21839925921131742</v>
      </c>
      <c r="F112" s="826">
        <f>'Recycling - Case 2'!BF122</f>
        <v>0.27698934567607153</v>
      </c>
      <c r="G112" s="826">
        <f>'Recycling - Case 2'!BG122</f>
        <v>5.3733479036039984E-2</v>
      </c>
      <c r="H112" s="826">
        <f>'Recycling - Case 2'!BH122</f>
        <v>0</v>
      </c>
      <c r="I112" s="826">
        <f>'Recycling - Case 2'!BI122</f>
        <v>0</v>
      </c>
      <c r="J112" s="826">
        <f>'Recycling - Case 2'!BJ122</f>
        <v>0</v>
      </c>
      <c r="K112" s="826">
        <f>'Recycling - Case 2'!BK122</f>
        <v>0.45087791607657107</v>
      </c>
      <c r="L112" s="827">
        <f t="shared" si="89"/>
        <v>1</v>
      </c>
      <c r="M112" s="4"/>
      <c r="N112" s="838">
        <f t="shared" si="56"/>
        <v>2228.8062963921584</v>
      </c>
      <c r="O112" s="833">
        <f>Parameters!R248</f>
        <v>1</v>
      </c>
      <c r="P112" s="834">
        <f>E112*'MSW characteristics'!$B$28+'MSW characteristics'!$B$29*'4A SWD Case 2'!F112+'4A SWD Case 2'!G112*'MSW characteristics'!$B$30+'MSW characteristics'!$B$31*'4A SWD Case 2'!H112+'4A SWD Case 2'!I112*'MSW characteristics'!$B$32+'MSW characteristics'!$B$33*'4A SWD Case 2'!J112+'4A SWD Case 2'!K112*'MSW characteristics'!$B$35</f>
        <v>0.10965114963132791</v>
      </c>
      <c r="Q112" s="832">
        <f t="shared" si="57"/>
        <v>122.19558635247117</v>
      </c>
      <c r="R112" s="832">
        <f t="shared" si="58"/>
        <v>122.19558635247117</v>
      </c>
      <c r="S112" s="835">
        <f t="shared" si="59"/>
        <v>0</v>
      </c>
      <c r="T112" s="832">
        <f t="shared" si="60"/>
        <v>6516.391518502619</v>
      </c>
      <c r="U112" s="832">
        <f t="shared" si="61"/>
        <v>327.83743588445105</v>
      </c>
      <c r="V112" s="839">
        <f t="shared" si="62"/>
        <v>218.55829058963403</v>
      </c>
      <c r="W112" s="4"/>
      <c r="X112" s="852">
        <f>'Recycling - Case 2'!AM162</f>
        <v>0</v>
      </c>
      <c r="Y112" s="853">
        <f>Parameters!S247</f>
        <v>0.71500000000000008</v>
      </c>
      <c r="Z112" s="853">
        <f t="shared" si="63"/>
        <v>0.4</v>
      </c>
      <c r="AA112" s="854">
        <f t="shared" si="64"/>
        <v>0</v>
      </c>
      <c r="AB112" s="854">
        <f t="shared" si="65"/>
        <v>0</v>
      </c>
      <c r="AC112" s="855">
        <f t="shared" si="66"/>
        <v>0</v>
      </c>
      <c r="AD112" s="854">
        <f t="shared" si="67"/>
        <v>2901.5831536092896</v>
      </c>
      <c r="AE112" s="854">
        <f t="shared" si="68"/>
        <v>148.76734951174964</v>
      </c>
      <c r="AF112" s="856">
        <f t="shared" si="69"/>
        <v>99.1782330078331</v>
      </c>
      <c r="AG112" s="4"/>
      <c r="AH112" s="852">
        <f>'Recycling - Case 2'!AM202</f>
        <v>0</v>
      </c>
      <c r="AI112" s="853">
        <f>Parameters!S247</f>
        <v>0.71500000000000008</v>
      </c>
      <c r="AJ112" s="853">
        <f t="shared" si="70"/>
        <v>0.4</v>
      </c>
      <c r="AK112" s="854">
        <f t="shared" si="71"/>
        <v>0</v>
      </c>
      <c r="AL112" s="854">
        <f t="shared" si="72"/>
        <v>0</v>
      </c>
      <c r="AM112" s="855">
        <f t="shared" si="73"/>
        <v>0</v>
      </c>
      <c r="AN112" s="854">
        <f t="shared" si="74"/>
        <v>2901.5831536092896</v>
      </c>
      <c r="AO112" s="854">
        <f t="shared" si="75"/>
        <v>148.76734951174964</v>
      </c>
      <c r="AP112" s="856">
        <f t="shared" si="76"/>
        <v>99.1782330078331</v>
      </c>
      <c r="AQ112" s="4"/>
      <c r="AR112" s="1042">
        <f>'Recycling - Case 2'!G122</f>
        <v>812.28773395357814</v>
      </c>
      <c r="AS112" s="1043">
        <v>1</v>
      </c>
      <c r="AT112" s="1043">
        <f t="shared" si="77"/>
        <v>0.05</v>
      </c>
      <c r="AU112" s="1044">
        <f t="shared" si="78"/>
        <v>20.307193348839455</v>
      </c>
      <c r="AV112" s="1044">
        <f t="shared" si="79"/>
        <v>20.307193348839455</v>
      </c>
      <c r="AW112" s="1045">
        <f t="shared" si="80"/>
        <v>0</v>
      </c>
      <c r="AX112" s="1044">
        <f t="shared" si="44"/>
        <v>277.81828107438406</v>
      </c>
      <c r="AY112" s="1044">
        <f t="shared" si="49"/>
        <v>15.923596362086821</v>
      </c>
      <c r="AZ112" s="1046">
        <f t="shared" si="47"/>
        <v>10.615730908057881</v>
      </c>
      <c r="BA112" s="4"/>
      <c r="BB112" s="1055">
        <f t="shared" si="81"/>
        <v>218.55829058963403</v>
      </c>
      <c r="BC112" s="1056">
        <f t="shared" si="82"/>
        <v>99.1782330078331</v>
      </c>
      <c r="BD112" s="1082">
        <f t="shared" si="90"/>
        <v>10.615730908057881</v>
      </c>
      <c r="BE112" s="1056">
        <f t="shared" si="54"/>
        <v>328.35225450552497</v>
      </c>
      <c r="BF112" s="167">
        <v>0</v>
      </c>
      <c r="BG112" s="1075">
        <f t="shared" si="83"/>
        <v>328.35225450552497</v>
      </c>
      <c r="BI112" s="1055">
        <f t="shared" si="84"/>
        <v>218.55829058963403</v>
      </c>
      <c r="BJ112" s="1056">
        <f t="shared" si="85"/>
        <v>99.1782330078331</v>
      </c>
      <c r="BK112" s="1082">
        <f t="shared" si="86"/>
        <v>10.615730908057881</v>
      </c>
      <c r="BL112" s="1056">
        <f t="shared" si="55"/>
        <v>328.35225450552497</v>
      </c>
      <c r="BM112" s="167">
        <v>0</v>
      </c>
      <c r="BN112" s="1075">
        <f t="shared" si="87"/>
        <v>328.35225450552497</v>
      </c>
    </row>
    <row r="113" spans="1:66">
      <c r="A113" s="927">
        <f>'Input data'!A143</f>
        <v>2043</v>
      </c>
      <c r="B113" s="824">
        <f>'Input data'!B143</f>
        <v>72.713504131197794</v>
      </c>
      <c r="C113" s="824">
        <f>'Recycling - Case 2'!AK123/B113</f>
        <v>270.67903850077238</v>
      </c>
      <c r="D113" s="825">
        <f>'Recycling - Case 2'!AM123</f>
        <v>0.11324072120840105</v>
      </c>
      <c r="E113" s="826">
        <f>'Recycling - Case 2'!BE123</f>
        <v>0.21883529452492334</v>
      </c>
      <c r="F113" s="826">
        <f>'Recycling - Case 2'!BF123</f>
        <v>0.27754235641724123</v>
      </c>
      <c r="G113" s="826">
        <f>'Recycling - Case 2'!BG123</f>
        <v>5.3628160595028361E-2</v>
      </c>
      <c r="H113" s="826">
        <f>'Recycling - Case 2'!BH123</f>
        <v>0</v>
      </c>
      <c r="I113" s="826">
        <f>'Recycling - Case 2'!BI123</f>
        <v>0</v>
      </c>
      <c r="J113" s="826">
        <f>'Recycling - Case 2'!BJ123</f>
        <v>0</v>
      </c>
      <c r="K113" s="826">
        <f>'Recycling - Case 2'!BK123</f>
        <v>0.44999418846280725</v>
      </c>
      <c r="L113" s="827">
        <f t="shared" si="89"/>
        <v>1.0000000000000002</v>
      </c>
      <c r="M113" s="4"/>
      <c r="N113" s="838">
        <f t="shared" si="56"/>
        <v>2228.8062963921584</v>
      </c>
      <c r="O113" s="833">
        <f>Parameters!R249</f>
        <v>1</v>
      </c>
      <c r="P113" s="834">
        <f>E113*'MSW characteristics'!$B$28+'MSW characteristics'!$B$29*'4A SWD Case 2'!F113+'4A SWD Case 2'!G113*'MSW characteristics'!$B$30+'MSW characteristics'!$B$31*'4A SWD Case 2'!H113+'4A SWD Case 2'!I113*'MSW characteristics'!$B$32+'MSW characteristics'!$B$33*'4A SWD Case 2'!J113+'4A SWD Case 2'!K113*'MSW characteristics'!$B$35</f>
        <v>0.10978502970019809</v>
      </c>
      <c r="Q113" s="832">
        <f t="shared" si="57"/>
        <v>122.3447827227008</v>
      </c>
      <c r="R113" s="832">
        <f t="shared" si="58"/>
        <v>122.3447827227008</v>
      </c>
      <c r="S113" s="835">
        <f t="shared" si="59"/>
        <v>0</v>
      </c>
      <c r="T113" s="832">
        <f t="shared" si="60"/>
        <v>6320.928136689281</v>
      </c>
      <c r="U113" s="832">
        <f t="shared" si="61"/>
        <v>317.80816453603882</v>
      </c>
      <c r="V113" s="839">
        <f t="shared" si="62"/>
        <v>211.87210969069255</v>
      </c>
      <c r="W113" s="4"/>
      <c r="X113" s="852">
        <f>'Recycling - Case 2'!AM163</f>
        <v>0</v>
      </c>
      <c r="Y113" s="853">
        <f>Parameters!S248</f>
        <v>0.71500000000000008</v>
      </c>
      <c r="Z113" s="853">
        <f t="shared" si="63"/>
        <v>0.4</v>
      </c>
      <c r="AA113" s="854">
        <f t="shared" si="64"/>
        <v>0</v>
      </c>
      <c r="AB113" s="854">
        <f t="shared" si="65"/>
        <v>0</v>
      </c>
      <c r="AC113" s="855">
        <f t="shared" si="66"/>
        <v>0</v>
      </c>
      <c r="AD113" s="854">
        <f t="shared" si="67"/>
        <v>2760.0712733487317</v>
      </c>
      <c r="AE113" s="854">
        <f t="shared" si="68"/>
        <v>141.51188026055817</v>
      </c>
      <c r="AF113" s="856">
        <f t="shared" si="69"/>
        <v>94.341253507038786</v>
      </c>
      <c r="AG113" s="4"/>
      <c r="AH113" s="852">
        <f>'Recycling - Case 2'!AM203</f>
        <v>0</v>
      </c>
      <c r="AI113" s="853">
        <f>Parameters!S248</f>
        <v>0.71500000000000008</v>
      </c>
      <c r="AJ113" s="853">
        <f t="shared" si="70"/>
        <v>0.4</v>
      </c>
      <c r="AK113" s="854">
        <f t="shared" si="71"/>
        <v>0</v>
      </c>
      <c r="AL113" s="854">
        <f t="shared" si="72"/>
        <v>0</v>
      </c>
      <c r="AM113" s="855">
        <f t="shared" si="73"/>
        <v>0</v>
      </c>
      <c r="AN113" s="854">
        <f t="shared" si="74"/>
        <v>2760.0712733487317</v>
      </c>
      <c r="AO113" s="854">
        <f t="shared" si="75"/>
        <v>141.51188026055817</v>
      </c>
      <c r="AP113" s="856">
        <f t="shared" si="76"/>
        <v>94.341253507038786</v>
      </c>
      <c r="AQ113" s="4"/>
      <c r="AR113" s="1042">
        <f>'Recycling - Case 2'!G123</f>
        <v>817.33279581813269</v>
      </c>
      <c r="AS113" s="1043">
        <v>1</v>
      </c>
      <c r="AT113" s="1043">
        <f t="shared" si="77"/>
        <v>0.05</v>
      </c>
      <c r="AU113" s="1044">
        <f t="shared" si="78"/>
        <v>20.43331989545332</v>
      </c>
      <c r="AV113" s="1044">
        <f t="shared" si="79"/>
        <v>20.43331989545332</v>
      </c>
      <c r="AW113" s="1045">
        <f t="shared" si="80"/>
        <v>0</v>
      </c>
      <c r="AX113" s="1044">
        <f t="shared" si="44"/>
        <v>282.07272379264833</v>
      </c>
      <c r="AY113" s="1044">
        <f t="shared" si="49"/>
        <v>16.178877177189044</v>
      </c>
      <c r="AZ113" s="1046">
        <f t="shared" si="47"/>
        <v>10.785918118126029</v>
      </c>
      <c r="BA113" s="4"/>
      <c r="BB113" s="1055">
        <f t="shared" si="81"/>
        <v>211.87210969069255</v>
      </c>
      <c r="BC113" s="1056">
        <f t="shared" si="82"/>
        <v>94.341253507038786</v>
      </c>
      <c r="BD113" s="1082">
        <f t="shared" si="90"/>
        <v>10.785918118126029</v>
      </c>
      <c r="BE113" s="1056">
        <f t="shared" si="54"/>
        <v>316.99928131585733</v>
      </c>
      <c r="BF113" s="167">
        <v>0</v>
      </c>
      <c r="BG113" s="1075">
        <f t="shared" si="83"/>
        <v>316.99928131585733</v>
      </c>
      <c r="BI113" s="1055">
        <f t="shared" si="84"/>
        <v>211.87210969069255</v>
      </c>
      <c r="BJ113" s="1056">
        <f t="shared" si="85"/>
        <v>94.341253507038786</v>
      </c>
      <c r="BK113" s="1082">
        <f t="shared" si="86"/>
        <v>10.785918118126029</v>
      </c>
      <c r="BL113" s="1056">
        <f t="shared" si="55"/>
        <v>316.99928131585733</v>
      </c>
      <c r="BM113" s="167">
        <v>0</v>
      </c>
      <c r="BN113" s="1075">
        <f t="shared" si="87"/>
        <v>316.99928131585733</v>
      </c>
    </row>
    <row r="114" spans="1:66">
      <c r="A114" s="927">
        <f>'Input data'!A144</f>
        <v>2044</v>
      </c>
      <c r="B114" s="824">
        <f>'Input data'!B144</f>
        <v>73.165122580420132</v>
      </c>
      <c r="C114" s="824">
        <f>'Recycling - Case 2'!AK124/B114</f>
        <v>269.84650568336718</v>
      </c>
      <c r="D114" s="825">
        <f>'Recycling - Case 2'!AM124</f>
        <v>0.11288894718501212</v>
      </c>
      <c r="E114" s="826">
        <f>'Recycling - Case 2'!BE124</f>
        <v>0.21926694818441095</v>
      </c>
      <c r="F114" s="826">
        <f>'Recycling - Case 2'!BF124</f>
        <v>0.27808981003559108</v>
      </c>
      <c r="G114" s="826">
        <f>'Recycling - Case 2'!BG124</f>
        <v>5.3523900483391409E-2</v>
      </c>
      <c r="H114" s="826">
        <f>'Recycling - Case 2'!BH124</f>
        <v>0</v>
      </c>
      <c r="I114" s="826">
        <f>'Recycling - Case 2'!BI124</f>
        <v>0</v>
      </c>
      <c r="J114" s="826">
        <f>'Recycling - Case 2'!BJ124</f>
        <v>0</v>
      </c>
      <c r="K114" s="826">
        <f>'Recycling - Case 2'!BK124</f>
        <v>0.44911934129660647</v>
      </c>
      <c r="L114" s="827">
        <f t="shared" si="89"/>
        <v>0.99999999999999989</v>
      </c>
      <c r="M114" s="4"/>
      <c r="N114" s="838">
        <f t="shared" si="56"/>
        <v>2228.8062963921584</v>
      </c>
      <c r="O114" s="833">
        <f>Parameters!R250</f>
        <v>1</v>
      </c>
      <c r="P114" s="834">
        <f>E114*'MSW characteristics'!$B$28+'MSW characteristics'!$B$29*'4A SWD Case 2'!F114+'4A SWD Case 2'!G114*'MSW characteristics'!$B$30+'MSW characteristics'!$B$31*'4A SWD Case 2'!H114+'4A SWD Case 2'!I114*'MSW characteristics'!$B$32+'MSW characteristics'!$B$33*'4A SWD Case 2'!J114+'4A SWD Case 2'!K114*'MSW characteristics'!$B$35</f>
        <v>0.10991756442813642</v>
      </c>
      <c r="Q114" s="832">
        <f t="shared" si="57"/>
        <v>122.49247984076059</v>
      </c>
      <c r="R114" s="832">
        <f t="shared" si="58"/>
        <v>122.49247984076059</v>
      </c>
      <c r="S114" s="835">
        <f t="shared" si="59"/>
        <v>0</v>
      </c>
      <c r="T114" s="832">
        <f t="shared" si="60"/>
        <v>6135.1453136140763</v>
      </c>
      <c r="U114" s="832">
        <f t="shared" si="61"/>
        <v>308.27530291596565</v>
      </c>
      <c r="V114" s="839">
        <f t="shared" si="62"/>
        <v>205.51686861064377</v>
      </c>
      <c r="W114" s="4"/>
      <c r="X114" s="852">
        <f>'Recycling - Case 2'!AM164</f>
        <v>0</v>
      </c>
      <c r="Y114" s="853">
        <f>Parameters!S249</f>
        <v>0.71500000000000008</v>
      </c>
      <c r="Z114" s="853">
        <f t="shared" si="63"/>
        <v>0.4</v>
      </c>
      <c r="AA114" s="854">
        <f t="shared" si="64"/>
        <v>0</v>
      </c>
      <c r="AB114" s="854">
        <f t="shared" si="65"/>
        <v>0</v>
      </c>
      <c r="AC114" s="855">
        <f t="shared" si="66"/>
        <v>0</v>
      </c>
      <c r="AD114" s="854">
        <f t="shared" si="67"/>
        <v>2625.461008928467</v>
      </c>
      <c r="AE114" s="854">
        <f t="shared" si="68"/>
        <v>134.61026442026471</v>
      </c>
      <c r="AF114" s="856">
        <f t="shared" si="69"/>
        <v>89.74017628017647</v>
      </c>
      <c r="AG114" s="4"/>
      <c r="AH114" s="852">
        <f>'Recycling - Case 2'!AM204</f>
        <v>0</v>
      </c>
      <c r="AI114" s="853">
        <f>Parameters!S249</f>
        <v>0.71500000000000008</v>
      </c>
      <c r="AJ114" s="853">
        <f t="shared" si="70"/>
        <v>0.4</v>
      </c>
      <c r="AK114" s="854">
        <f t="shared" si="71"/>
        <v>0</v>
      </c>
      <c r="AL114" s="854">
        <f t="shared" si="72"/>
        <v>0</v>
      </c>
      <c r="AM114" s="855">
        <f t="shared" si="73"/>
        <v>0</v>
      </c>
      <c r="AN114" s="854">
        <f t="shared" si="74"/>
        <v>2625.461008928467</v>
      </c>
      <c r="AO114" s="854">
        <f t="shared" si="75"/>
        <v>134.61026442026471</v>
      </c>
      <c r="AP114" s="856">
        <f t="shared" si="76"/>
        <v>89.74017628017647</v>
      </c>
      <c r="AQ114" s="4"/>
      <c r="AR114" s="1042">
        <f>'Recycling - Case 2'!G124</f>
        <v>822.40919220634601</v>
      </c>
      <c r="AS114" s="1043">
        <v>1</v>
      </c>
      <c r="AT114" s="1043">
        <f t="shared" si="77"/>
        <v>0.05</v>
      </c>
      <c r="AU114" s="1044">
        <f t="shared" si="78"/>
        <v>20.560229805158652</v>
      </c>
      <c r="AV114" s="1044">
        <f t="shared" si="79"/>
        <v>20.560229805158652</v>
      </c>
      <c r="AW114" s="1045">
        <f t="shared" si="80"/>
        <v>0</v>
      </c>
      <c r="AX114" s="1044">
        <f t="shared" ref="AX114:AX120" si="91">AV114+(AX113*$E$8)</f>
        <v>286.20631696458071</v>
      </c>
      <c r="AY114" s="1044">
        <f t="shared" si="49"/>
        <v>16.426636633226259</v>
      </c>
      <c r="AZ114" s="1046">
        <f t="shared" si="47"/>
        <v>10.951091088817506</v>
      </c>
      <c r="BA114" s="4"/>
      <c r="BB114" s="1055">
        <f t="shared" si="81"/>
        <v>205.51686861064377</v>
      </c>
      <c r="BC114" s="1056">
        <f t="shared" si="82"/>
        <v>89.74017628017647</v>
      </c>
      <c r="BD114" s="1082">
        <f t="shared" si="90"/>
        <v>10.951091088817506</v>
      </c>
      <c r="BE114" s="1056">
        <f t="shared" si="54"/>
        <v>306.20813597963775</v>
      </c>
      <c r="BF114" s="167">
        <v>0</v>
      </c>
      <c r="BG114" s="1075">
        <f t="shared" si="83"/>
        <v>306.20813597963775</v>
      </c>
      <c r="BI114" s="1055">
        <f t="shared" si="84"/>
        <v>205.51686861064377</v>
      </c>
      <c r="BJ114" s="1056">
        <f t="shared" si="85"/>
        <v>89.74017628017647</v>
      </c>
      <c r="BK114" s="1082">
        <f t="shared" si="86"/>
        <v>10.951091088817506</v>
      </c>
      <c r="BL114" s="1056">
        <f t="shared" si="55"/>
        <v>306.20813597963775</v>
      </c>
      <c r="BM114" s="167">
        <v>0</v>
      </c>
      <c r="BN114" s="1075">
        <f t="shared" si="87"/>
        <v>306.20813597963775</v>
      </c>
    </row>
    <row r="115" spans="1:66">
      <c r="A115" s="927">
        <f>'Input data'!A145</f>
        <v>2045</v>
      </c>
      <c r="B115" s="824">
        <f>'Input data'!B145</f>
        <v>73.619545999999971</v>
      </c>
      <c r="C115" s="824">
        <f>'Recycling - Case 2'!AK125/B115</f>
        <v>269.0194841045323</v>
      </c>
      <c r="D115" s="825">
        <f>'Recycling - Case 2'!AM125</f>
        <v>0.11253703160414483</v>
      </c>
      <c r="E115" s="826">
        <f>'Recycling - Case 2'!BE125</f>
        <v>0.21969427775505454</v>
      </c>
      <c r="F115" s="826">
        <f>'Recycling - Case 2'!BF125</f>
        <v>0.27863177953946222</v>
      </c>
      <c r="G115" s="826">
        <f>'Recycling - Case 2'!BG125</f>
        <v>5.3420684797014596E-2</v>
      </c>
      <c r="H115" s="826">
        <f>'Recycling - Case 2'!BH125</f>
        <v>0</v>
      </c>
      <c r="I115" s="826">
        <f>'Recycling - Case 2'!BI125</f>
        <v>0</v>
      </c>
      <c r="J115" s="826">
        <f>'Recycling - Case 2'!BJ125</f>
        <v>0</v>
      </c>
      <c r="K115" s="826">
        <f>'Recycling - Case 2'!BK125</f>
        <v>0.44825325790846843</v>
      </c>
      <c r="L115" s="827">
        <f t="shared" si="89"/>
        <v>0.99999999999999978</v>
      </c>
      <c r="M115" s="4"/>
      <c r="N115" s="838">
        <f t="shared" si="56"/>
        <v>2228.8062963921584</v>
      </c>
      <c r="O115" s="833">
        <f>Parameters!R251</f>
        <v>1</v>
      </c>
      <c r="P115" s="834">
        <f>E115*'MSW characteristics'!$B$28+'MSW characteristics'!$B$29*'4A SWD Case 2'!F115+'4A SWD Case 2'!G115*'MSW characteristics'!$B$30+'MSW characteristics'!$B$31*'4A SWD Case 2'!H115+'4A SWD Case 2'!I115*'MSW characteristics'!$B$32+'MSW characteristics'!$B$33*'4A SWD Case 2'!J115+'4A SWD Case 2'!K115*'MSW characteristics'!$B$35</f>
        <v>0.11004877148995647</v>
      </c>
      <c r="Q115" s="832">
        <f t="shared" si="57"/>
        <v>122.63869740351841</v>
      </c>
      <c r="R115" s="832">
        <f t="shared" si="58"/>
        <v>122.63869740351841</v>
      </c>
      <c r="S115" s="835">
        <f t="shared" si="59"/>
        <v>0</v>
      </c>
      <c r="T115" s="832">
        <f t="shared" si="60"/>
        <v>5958.5694433008894</v>
      </c>
      <c r="U115" s="832">
        <f t="shared" si="61"/>
        <v>299.21456771670591</v>
      </c>
      <c r="V115" s="839">
        <f t="shared" si="62"/>
        <v>199.47637847780393</v>
      </c>
      <c r="W115" s="4"/>
      <c r="X115" s="852">
        <f>'Recycling - Case 2'!AM165</f>
        <v>0</v>
      </c>
      <c r="Y115" s="853">
        <f>Parameters!S250</f>
        <v>0.71500000000000008</v>
      </c>
      <c r="Z115" s="853">
        <f t="shared" si="63"/>
        <v>0.4</v>
      </c>
      <c r="AA115" s="854">
        <f t="shared" si="64"/>
        <v>0</v>
      </c>
      <c r="AB115" s="854">
        <f t="shared" si="65"/>
        <v>0</v>
      </c>
      <c r="AC115" s="855">
        <f t="shared" si="66"/>
        <v>0</v>
      </c>
      <c r="AD115" s="854">
        <f t="shared" si="67"/>
        <v>2497.4157645720898</v>
      </c>
      <c r="AE115" s="854">
        <f t="shared" si="68"/>
        <v>128.04524435637734</v>
      </c>
      <c r="AF115" s="856">
        <f t="shared" si="69"/>
        <v>85.363496237584897</v>
      </c>
      <c r="AG115" s="4"/>
      <c r="AH115" s="852">
        <f>'Recycling - Case 2'!AM205</f>
        <v>0</v>
      </c>
      <c r="AI115" s="853">
        <f>Parameters!S250</f>
        <v>0.71500000000000008</v>
      </c>
      <c r="AJ115" s="853">
        <f t="shared" si="70"/>
        <v>0.4</v>
      </c>
      <c r="AK115" s="854">
        <f t="shared" si="71"/>
        <v>0</v>
      </c>
      <c r="AL115" s="854">
        <f t="shared" si="72"/>
        <v>0</v>
      </c>
      <c r="AM115" s="855">
        <f t="shared" si="73"/>
        <v>0</v>
      </c>
      <c r="AN115" s="854">
        <f t="shared" si="74"/>
        <v>2497.4157645720898</v>
      </c>
      <c r="AO115" s="854">
        <f t="shared" si="75"/>
        <v>128.04524435637734</v>
      </c>
      <c r="AP115" s="856">
        <f t="shared" si="76"/>
        <v>85.363496237584897</v>
      </c>
      <c r="AQ115" s="4"/>
      <c r="AR115" s="1042">
        <f>'Recycling - Case 2'!G125</f>
        <v>827.51711773473585</v>
      </c>
      <c r="AS115" s="1043">
        <v>1</v>
      </c>
      <c r="AT115" s="1043">
        <f t="shared" si="77"/>
        <v>0.05</v>
      </c>
      <c r="AU115" s="1044">
        <f t="shared" si="78"/>
        <v>20.687927943368397</v>
      </c>
      <c r="AV115" s="1044">
        <f t="shared" si="79"/>
        <v>20.687927943368397</v>
      </c>
      <c r="AW115" s="1045">
        <f t="shared" si="80"/>
        <v>0</v>
      </c>
      <c r="AX115" s="1044">
        <f t="shared" si="91"/>
        <v>290.22688654838237</v>
      </c>
      <c r="AY115" s="1044">
        <f t="shared" si="49"/>
        <v>16.667358359566705</v>
      </c>
      <c r="AZ115" s="1046">
        <f t="shared" si="47"/>
        <v>11.111572239711137</v>
      </c>
      <c r="BA115" s="4"/>
      <c r="BB115" s="1055">
        <f t="shared" si="81"/>
        <v>199.47637847780393</v>
      </c>
      <c r="BC115" s="1056">
        <f t="shared" si="82"/>
        <v>85.363496237584897</v>
      </c>
      <c r="BD115" s="1082">
        <f t="shared" si="90"/>
        <v>11.111572239711137</v>
      </c>
      <c r="BE115" s="1056">
        <f t="shared" si="54"/>
        <v>295.95144695509998</v>
      </c>
      <c r="BF115" s="167">
        <v>0</v>
      </c>
      <c r="BG115" s="1075">
        <f t="shared" si="83"/>
        <v>295.95144695509998</v>
      </c>
      <c r="BI115" s="1055">
        <f t="shared" si="84"/>
        <v>199.47637847780393</v>
      </c>
      <c r="BJ115" s="1056">
        <f t="shared" si="85"/>
        <v>85.363496237584897</v>
      </c>
      <c r="BK115" s="1082">
        <f t="shared" si="86"/>
        <v>11.111572239711137</v>
      </c>
      <c r="BL115" s="1056">
        <f t="shared" si="55"/>
        <v>295.95144695509998</v>
      </c>
      <c r="BM115" s="167">
        <v>0</v>
      </c>
      <c r="BN115" s="1075">
        <f t="shared" si="87"/>
        <v>295.95144695509998</v>
      </c>
    </row>
    <row r="116" spans="1:66">
      <c r="A116" s="927">
        <f>'Input data'!A146</f>
        <v>2046</v>
      </c>
      <c r="B116" s="824">
        <f>'Input data'!B146</f>
        <v>73.995362001779526</v>
      </c>
      <c r="C116" s="824">
        <f>'Recycling - Case 2'!AK126/B116</f>
        <v>268.34347153368111</v>
      </c>
      <c r="D116" s="825">
        <f>'Recycling - Case 2'!AM126</f>
        <v>0.11224752992749164</v>
      </c>
      <c r="E116" s="826">
        <f>'Recycling - Case 2'!BE126</f>
        <v>0.22004249838631784</v>
      </c>
      <c r="F116" s="826">
        <f>'Recycling - Case 2'!BF126</f>
        <v>0.27907341750633474</v>
      </c>
      <c r="G116" s="826">
        <f>'Recycling - Case 2'!BG126</f>
        <v>5.3336576806518536E-2</v>
      </c>
      <c r="H116" s="826">
        <f>'Recycling - Case 2'!BH126</f>
        <v>0</v>
      </c>
      <c r="I116" s="826">
        <f>'Recycling - Case 2'!BI126</f>
        <v>0</v>
      </c>
      <c r="J116" s="826">
        <f>'Recycling - Case 2'!BJ126</f>
        <v>0</v>
      </c>
      <c r="K116" s="826">
        <f>'Recycling - Case 2'!BK126</f>
        <v>0.44754750730082893</v>
      </c>
      <c r="L116" s="827">
        <f t="shared" si="89"/>
        <v>1</v>
      </c>
      <c r="M116" s="4"/>
      <c r="N116" s="838">
        <f t="shared" si="56"/>
        <v>2228.8062963921584</v>
      </c>
      <c r="O116" s="833">
        <f>Parameters!R252</f>
        <v>1</v>
      </c>
      <c r="P116" s="834">
        <f>E116*'MSW characteristics'!$B$28+'MSW characteristics'!$B$29*'4A SWD Case 2'!F116+'4A SWD Case 2'!G116*'MSW characteristics'!$B$30+'MSW characteristics'!$B$31*'4A SWD Case 2'!H116+'4A SWD Case 2'!I116*'MSW characteristics'!$B$32+'MSW characteristics'!$B$33*'4A SWD Case 2'!J116+'4A SWD Case 2'!K116*'MSW characteristics'!$B$35</f>
        <v>0.11015568898182204</v>
      </c>
      <c r="Q116" s="832">
        <f t="shared" si="57"/>
        <v>122.75784659305064</v>
      </c>
      <c r="R116" s="832">
        <f t="shared" si="58"/>
        <v>122.75784659305064</v>
      </c>
      <c r="S116" s="835">
        <f t="shared" si="59"/>
        <v>0</v>
      </c>
      <c r="T116" s="832">
        <f>R116+(T115*$C$8)</f>
        <v>5790.7244289916962</v>
      </c>
      <c r="U116" s="832">
        <f t="shared" si="61"/>
        <v>290.60286090224446</v>
      </c>
      <c r="V116" s="839">
        <f t="shared" si="62"/>
        <v>193.73524060149632</v>
      </c>
      <c r="W116" s="4"/>
      <c r="X116" s="852">
        <f>'Recycling - Case 2'!AM166</f>
        <v>0</v>
      </c>
      <c r="Y116" s="853">
        <f>Parameters!S251</f>
        <v>0.71500000000000008</v>
      </c>
      <c r="Z116" s="853">
        <f t="shared" si="63"/>
        <v>0.4</v>
      </c>
      <c r="AA116" s="854">
        <f t="shared" si="64"/>
        <v>0</v>
      </c>
      <c r="AB116" s="854">
        <f t="shared" si="65"/>
        <v>0</v>
      </c>
      <c r="AC116" s="855">
        <f t="shared" si="66"/>
        <v>0</v>
      </c>
      <c r="AD116" s="854">
        <f t="shared" si="67"/>
        <v>2375.6153604729197</v>
      </c>
      <c r="AE116" s="854">
        <f t="shared" si="68"/>
        <v>121.80040409917014</v>
      </c>
      <c r="AF116" s="856">
        <f t="shared" si="69"/>
        <v>81.200269399446753</v>
      </c>
      <c r="AG116" s="4"/>
      <c r="AH116" s="852">
        <f>'Recycling - Case 2'!AM206</f>
        <v>0</v>
      </c>
      <c r="AI116" s="853">
        <f>Parameters!S251</f>
        <v>0.71500000000000008</v>
      </c>
      <c r="AJ116" s="853">
        <f t="shared" si="70"/>
        <v>0.4</v>
      </c>
      <c r="AK116" s="854">
        <f t="shared" si="71"/>
        <v>0</v>
      </c>
      <c r="AL116" s="854">
        <f t="shared" si="72"/>
        <v>0</v>
      </c>
      <c r="AM116" s="855">
        <f t="shared" si="73"/>
        <v>0</v>
      </c>
      <c r="AN116" s="854">
        <f t="shared" si="74"/>
        <v>2375.6153604729197</v>
      </c>
      <c r="AO116" s="854">
        <f t="shared" si="75"/>
        <v>121.80040409917014</v>
      </c>
      <c r="AP116" s="856">
        <f t="shared" si="76"/>
        <v>81.200269399446753</v>
      </c>
      <c r="AQ116" s="4"/>
      <c r="AR116" s="1042">
        <f>'Recycling - Case 2'!G126</f>
        <v>831.74146020203671</v>
      </c>
      <c r="AS116" s="1043">
        <v>1</v>
      </c>
      <c r="AT116" s="1043">
        <f t="shared" si="77"/>
        <v>0.05</v>
      </c>
      <c r="AU116" s="1044">
        <f t="shared" si="78"/>
        <v>20.79353650505092</v>
      </c>
      <c r="AV116" s="1044">
        <f t="shared" si="79"/>
        <v>20.79353650505092</v>
      </c>
      <c r="AW116" s="1045">
        <f t="shared" si="80"/>
        <v>0</v>
      </c>
      <c r="AX116" s="1044">
        <f t="shared" si="91"/>
        <v>294.1189249488969</v>
      </c>
      <c r="AY116" s="1044">
        <f t="shared" si="49"/>
        <v>16.90149810453638</v>
      </c>
      <c r="AZ116" s="1046">
        <f t="shared" si="47"/>
        <v>11.267665403024253</v>
      </c>
      <c r="BA116" s="4"/>
      <c r="BB116" s="1055">
        <f t="shared" si="81"/>
        <v>193.73524060149632</v>
      </c>
      <c r="BC116" s="1056">
        <f t="shared" si="82"/>
        <v>81.200269399446753</v>
      </c>
      <c r="BD116" s="1082">
        <f t="shared" si="90"/>
        <v>11.267665403024253</v>
      </c>
      <c r="BE116" s="1056">
        <f t="shared" si="54"/>
        <v>286.20317540396729</v>
      </c>
      <c r="BF116" s="167">
        <v>0</v>
      </c>
      <c r="BG116" s="1075">
        <f t="shared" si="83"/>
        <v>286.20317540396729</v>
      </c>
      <c r="BI116" s="1055">
        <f t="shared" si="84"/>
        <v>193.73524060149632</v>
      </c>
      <c r="BJ116" s="1056">
        <f t="shared" si="85"/>
        <v>81.200269399446753</v>
      </c>
      <c r="BK116" s="1082">
        <f t="shared" si="86"/>
        <v>11.267665403024253</v>
      </c>
      <c r="BL116" s="1056">
        <f t="shared" si="55"/>
        <v>286.20317540396729</v>
      </c>
      <c r="BM116" s="167">
        <v>0</v>
      </c>
      <c r="BN116" s="1075">
        <f t="shared" si="87"/>
        <v>286.20317540396729</v>
      </c>
    </row>
    <row r="117" spans="1:66">
      <c r="A117" s="927">
        <f>'Input data'!A147</f>
        <v>2047</v>
      </c>
      <c r="B117" s="824">
        <f>'Input data'!B147</f>
        <v>74.373096484110363</v>
      </c>
      <c r="C117" s="824">
        <f>'Recycling - Case 2'!AK127/B117</f>
        <v>267.67113612541198</v>
      </c>
      <c r="D117" s="825">
        <f>'Recycling - Case 2'!AM127</f>
        <v>0.11195794547794445</v>
      </c>
      <c r="E117" s="826">
        <f>'Recycling - Case 2'!BE127</f>
        <v>0.22038786396742607</v>
      </c>
      <c r="F117" s="826">
        <f>'Recycling - Case 2'!BF127</f>
        <v>0.27951143449721488</v>
      </c>
      <c r="G117" s="826">
        <f>'Recycling - Case 2'!BG127</f>
        <v>5.3253158414827681E-2</v>
      </c>
      <c r="H117" s="826">
        <f>'Recycling - Case 2'!BH127</f>
        <v>0</v>
      </c>
      <c r="I117" s="826">
        <f>'Recycling - Case 2'!BI127</f>
        <v>0</v>
      </c>
      <c r="J117" s="826">
        <f>'Recycling - Case 2'!BJ127</f>
        <v>0</v>
      </c>
      <c r="K117" s="826">
        <f>'Recycling - Case 2'!BK127</f>
        <v>0.44684754312053121</v>
      </c>
      <c r="L117" s="827">
        <f t="shared" si="89"/>
        <v>0.99999999999999989</v>
      </c>
      <c r="M117" s="4"/>
      <c r="N117" s="838">
        <f t="shared" si="56"/>
        <v>2228.8062963921584</v>
      </c>
      <c r="O117" s="833">
        <f>Parameters!R253</f>
        <v>1</v>
      </c>
      <c r="P117" s="834">
        <f>E117*'MSW characteristics'!$B$28+'MSW characteristics'!$B$29*'4A SWD Case 2'!F117+'4A SWD Case 2'!G117*'MSW characteristics'!$B$30+'MSW characteristics'!$B$31*'4A SWD Case 2'!H117+'4A SWD Case 2'!I117*'MSW characteristics'!$B$32+'MSW characteristics'!$B$33*'4A SWD Case 2'!J117+'4A SWD Case 2'!K117*'MSW characteristics'!$B$35</f>
        <v>0.11026172986048796</v>
      </c>
      <c r="Q117" s="832">
        <f t="shared" si="57"/>
        <v>122.87601888207341</v>
      </c>
      <c r="R117" s="832">
        <f t="shared" si="58"/>
        <v>122.87601888207341</v>
      </c>
      <c r="S117" s="835">
        <f t="shared" si="59"/>
        <v>0</v>
      </c>
      <c r="T117" s="832">
        <f t="shared" ref="T117:T120" si="92">R117+(T116*$C$8)</f>
        <v>5631.1834849140705</v>
      </c>
      <c r="U117" s="832">
        <f t="shared" si="61"/>
        <v>282.41696295969922</v>
      </c>
      <c r="V117" s="839">
        <f t="shared" si="62"/>
        <v>188.27797530646615</v>
      </c>
      <c r="W117" s="4"/>
      <c r="X117" s="852">
        <f>'Recycling - Case 2'!AM167</f>
        <v>0</v>
      </c>
      <c r="Y117" s="853">
        <f>Parameters!S252</f>
        <v>0.71500000000000008</v>
      </c>
      <c r="Z117" s="853">
        <f t="shared" si="63"/>
        <v>0.4</v>
      </c>
      <c r="AA117" s="854">
        <f t="shared" si="64"/>
        <v>0</v>
      </c>
      <c r="AB117" s="854">
        <f t="shared" si="65"/>
        <v>0</v>
      </c>
      <c r="AC117" s="855">
        <f t="shared" si="66"/>
        <v>0</v>
      </c>
      <c r="AD117" s="854">
        <f t="shared" si="67"/>
        <v>2259.7552321777116</v>
      </c>
      <c r="AE117" s="854">
        <f t="shared" si="68"/>
        <v>115.86012829520801</v>
      </c>
      <c r="AF117" s="856">
        <f t="shared" si="69"/>
        <v>77.240085530138671</v>
      </c>
      <c r="AG117" s="4"/>
      <c r="AH117" s="852">
        <f>'Recycling - Case 2'!AM207</f>
        <v>0</v>
      </c>
      <c r="AI117" s="853">
        <f>Parameters!S252</f>
        <v>0.71500000000000008</v>
      </c>
      <c r="AJ117" s="853">
        <f t="shared" si="70"/>
        <v>0.4</v>
      </c>
      <c r="AK117" s="854">
        <f t="shared" si="71"/>
        <v>0</v>
      </c>
      <c r="AL117" s="854">
        <f t="shared" si="72"/>
        <v>0</v>
      </c>
      <c r="AM117" s="855">
        <f t="shared" si="73"/>
        <v>0</v>
      </c>
      <c r="AN117" s="854">
        <f t="shared" si="74"/>
        <v>2259.7552321777116</v>
      </c>
      <c r="AO117" s="854">
        <f t="shared" si="75"/>
        <v>115.86012829520801</v>
      </c>
      <c r="AP117" s="856">
        <f t="shared" si="76"/>
        <v>77.240085530138671</v>
      </c>
      <c r="AQ117" s="4"/>
      <c r="AR117" s="1042">
        <f>'Recycling - Case 2'!G127</f>
        <v>835.98736726165691</v>
      </c>
      <c r="AS117" s="1043">
        <v>1</v>
      </c>
      <c r="AT117" s="1043">
        <f t="shared" si="77"/>
        <v>0.05</v>
      </c>
      <c r="AU117" s="1044">
        <f t="shared" si="78"/>
        <v>20.899684181541424</v>
      </c>
      <c r="AV117" s="1044">
        <f t="shared" si="79"/>
        <v>20.899684181541424</v>
      </c>
      <c r="AW117" s="1045">
        <f t="shared" si="80"/>
        <v>0</v>
      </c>
      <c r="AX117" s="1044">
        <f t="shared" si="91"/>
        <v>297.89045635433996</v>
      </c>
      <c r="AY117" s="1044">
        <f t="shared" si="49"/>
        <v>17.128152776098357</v>
      </c>
      <c r="AZ117" s="1046">
        <f t="shared" si="47"/>
        <v>11.418768517398904</v>
      </c>
      <c r="BA117" s="4"/>
      <c r="BB117" s="1055">
        <f t="shared" si="81"/>
        <v>188.27797530646615</v>
      </c>
      <c r="BC117" s="1056">
        <f t="shared" si="82"/>
        <v>77.240085530138671</v>
      </c>
      <c r="BD117" s="1082">
        <f t="shared" si="90"/>
        <v>11.418768517398904</v>
      </c>
      <c r="BE117" s="1056">
        <f t="shared" si="54"/>
        <v>276.93682935400375</v>
      </c>
      <c r="BF117" s="167">
        <v>0</v>
      </c>
      <c r="BG117" s="1075">
        <f t="shared" si="83"/>
        <v>276.93682935400375</v>
      </c>
      <c r="BI117" s="1055">
        <f t="shared" si="84"/>
        <v>188.27797530646615</v>
      </c>
      <c r="BJ117" s="1056">
        <f t="shared" si="85"/>
        <v>77.240085530138671</v>
      </c>
      <c r="BK117" s="1082">
        <f t="shared" si="86"/>
        <v>11.418768517398904</v>
      </c>
      <c r="BL117" s="1056">
        <f t="shared" si="55"/>
        <v>276.93682935400375</v>
      </c>
      <c r="BM117" s="167">
        <v>0</v>
      </c>
      <c r="BN117" s="1075">
        <f t="shared" si="87"/>
        <v>276.93682935400375</v>
      </c>
    </row>
    <row r="118" spans="1:66">
      <c r="A118" s="927">
        <f>'Input data'!A148</f>
        <v>2048</v>
      </c>
      <c r="B118" s="824">
        <f>'Input data'!B148</f>
        <v>74.752759240528661</v>
      </c>
      <c r="C118" s="824">
        <f>'Recycling - Case 2'!AK128/B118</f>
        <v>267.00245560366284</v>
      </c>
      <c r="D118" s="825">
        <f>'Recycling - Case 2'!AM128</f>
        <v>0.11166828405608349</v>
      </c>
      <c r="E118" s="826">
        <f>'Recycling - Case 2'!BE128</f>
        <v>0.22073040504531644</v>
      </c>
      <c r="F118" s="826">
        <f>'Recycling - Case 2'!BF128</f>
        <v>0.27994586925388332</v>
      </c>
      <c r="G118" s="826">
        <f>'Recycling - Case 2'!BG128</f>
        <v>5.3170422243742146E-2</v>
      </c>
      <c r="H118" s="826">
        <f>'Recycling - Case 2'!BH128</f>
        <v>0</v>
      </c>
      <c r="I118" s="826">
        <f>'Recycling - Case 2'!BI128</f>
        <v>0</v>
      </c>
      <c r="J118" s="826">
        <f>'Recycling - Case 2'!BJ128</f>
        <v>0</v>
      </c>
      <c r="K118" s="826">
        <f>'Recycling - Case 2'!BK128</f>
        <v>0.44615330345705817</v>
      </c>
      <c r="L118" s="827">
        <f t="shared" si="89"/>
        <v>1</v>
      </c>
      <c r="M118" s="4"/>
      <c r="N118" s="838">
        <f t="shared" si="56"/>
        <v>2228.8062963921584</v>
      </c>
      <c r="O118" s="833">
        <f>Parameters!R254</f>
        <v>1</v>
      </c>
      <c r="P118" s="834">
        <f>E118*'MSW characteristics'!$B$28+'MSW characteristics'!$B$29*'4A SWD Case 2'!F118+'4A SWD Case 2'!G118*'MSW characteristics'!$B$30+'MSW characteristics'!$B$31*'4A SWD Case 2'!H118+'4A SWD Case 2'!I118*'MSW characteristics'!$B$32+'MSW characteristics'!$B$33*'4A SWD Case 2'!J118+'4A SWD Case 2'!K118*'MSW characteristics'!$B$35</f>
        <v>0.11036690350507099</v>
      </c>
      <c r="Q118" s="832">
        <f t="shared" si="57"/>
        <v>122.993224722704</v>
      </c>
      <c r="R118" s="832">
        <f t="shared" si="58"/>
        <v>122.993224722704</v>
      </c>
      <c r="S118" s="835">
        <f t="shared" si="59"/>
        <v>0</v>
      </c>
      <c r="T118" s="832">
        <f t="shared" si="92"/>
        <v>5479.5406503354407</v>
      </c>
      <c r="U118" s="832">
        <f t="shared" si="61"/>
        <v>274.63605930133406</v>
      </c>
      <c r="V118" s="839">
        <f t="shared" si="62"/>
        <v>183.09070620088937</v>
      </c>
      <c r="W118" s="4"/>
      <c r="X118" s="852">
        <f>'Recycling - Case 2'!AM168</f>
        <v>0</v>
      </c>
      <c r="Y118" s="853">
        <f>Parameters!S253</f>
        <v>0.71500000000000008</v>
      </c>
      <c r="Z118" s="853">
        <f t="shared" si="63"/>
        <v>0.4</v>
      </c>
      <c r="AA118" s="854">
        <f t="shared" si="64"/>
        <v>0</v>
      </c>
      <c r="AB118" s="854">
        <f t="shared" si="65"/>
        <v>0</v>
      </c>
      <c r="AC118" s="855">
        <f t="shared" si="66"/>
        <v>0</v>
      </c>
      <c r="AD118" s="854">
        <f t="shared" si="67"/>
        <v>2149.5456690168821</v>
      </c>
      <c r="AE118" s="854">
        <f t="shared" si="68"/>
        <v>110.20956316082962</v>
      </c>
      <c r="AF118" s="856">
        <f t="shared" si="69"/>
        <v>73.47304210721974</v>
      </c>
      <c r="AG118" s="4"/>
      <c r="AH118" s="852">
        <f>'Recycling - Case 2'!AM208</f>
        <v>0</v>
      </c>
      <c r="AI118" s="853">
        <f>Parameters!S253</f>
        <v>0.71500000000000008</v>
      </c>
      <c r="AJ118" s="853">
        <f t="shared" si="70"/>
        <v>0.4</v>
      </c>
      <c r="AK118" s="854">
        <f t="shared" si="71"/>
        <v>0</v>
      </c>
      <c r="AL118" s="854">
        <f t="shared" si="72"/>
        <v>0</v>
      </c>
      <c r="AM118" s="855">
        <f t="shared" si="73"/>
        <v>0</v>
      </c>
      <c r="AN118" s="854">
        <f t="shared" si="74"/>
        <v>2149.5456690168821</v>
      </c>
      <c r="AO118" s="854">
        <f t="shared" si="75"/>
        <v>110.20956316082962</v>
      </c>
      <c r="AP118" s="856">
        <f t="shared" si="76"/>
        <v>73.47304210721974</v>
      </c>
      <c r="AQ118" s="4"/>
      <c r="AR118" s="1042">
        <f>'Recycling - Case 2'!G128</f>
        <v>840.25494899738908</v>
      </c>
      <c r="AS118" s="1043">
        <v>1</v>
      </c>
      <c r="AT118" s="1043">
        <f t="shared" si="77"/>
        <v>0.05</v>
      </c>
      <c r="AU118" s="1044">
        <f t="shared" si="78"/>
        <v>21.006373724934729</v>
      </c>
      <c r="AV118" s="1044">
        <f t="shared" si="79"/>
        <v>21.006373724934729</v>
      </c>
      <c r="AW118" s="1045">
        <f t="shared" si="80"/>
        <v>0</v>
      </c>
      <c r="AX118" s="1044">
        <f t="shared" si="91"/>
        <v>301.54904041267872</v>
      </c>
      <c r="AY118" s="1044">
        <f t="shared" si="49"/>
        <v>17.347789666595986</v>
      </c>
      <c r="AZ118" s="1046">
        <f t="shared" si="47"/>
        <v>11.565193111063991</v>
      </c>
      <c r="BA118" s="4"/>
      <c r="BB118" s="1055">
        <f t="shared" si="81"/>
        <v>183.09070620088937</v>
      </c>
      <c r="BC118" s="1056">
        <f t="shared" si="82"/>
        <v>73.47304210721974</v>
      </c>
      <c r="BD118" s="1082">
        <f t="shared" si="90"/>
        <v>11.565193111063991</v>
      </c>
      <c r="BE118" s="1056">
        <f t="shared" si="54"/>
        <v>268.12894141917309</v>
      </c>
      <c r="BF118" s="167">
        <v>0</v>
      </c>
      <c r="BG118" s="1075">
        <f t="shared" si="83"/>
        <v>268.12894141917309</v>
      </c>
      <c r="BI118" s="1055">
        <f t="shared" si="84"/>
        <v>183.09070620088937</v>
      </c>
      <c r="BJ118" s="1056">
        <f t="shared" si="85"/>
        <v>73.47304210721974</v>
      </c>
      <c r="BK118" s="1082">
        <f t="shared" si="86"/>
        <v>11.565193111063991</v>
      </c>
      <c r="BL118" s="1056">
        <f t="shared" si="55"/>
        <v>268.12894141917309</v>
      </c>
      <c r="BM118" s="167">
        <v>0</v>
      </c>
      <c r="BN118" s="1075">
        <f t="shared" si="87"/>
        <v>268.12894141917309</v>
      </c>
    </row>
    <row r="119" spans="1:66">
      <c r="A119" s="927">
        <f>'Input data'!A149</f>
        <v>2049</v>
      </c>
      <c r="B119" s="824">
        <f>'Input data'!B149</f>
        <v>75.134360114565098</v>
      </c>
      <c r="C119" s="824">
        <f>'Recycling - Case 2'!AK129/B119</f>
        <v>266.33740786604682</v>
      </c>
      <c r="D119" s="825">
        <f>'Recycling - Case 2'!AM129</f>
        <v>0.11137855143335285</v>
      </c>
      <c r="E119" s="826">
        <f>'Recycling - Case 2'!BE129</f>
        <v>0.22107015174195349</v>
      </c>
      <c r="F119" s="826">
        <f>'Recycling - Case 2'!BF129</f>
        <v>0.28037675997914002</v>
      </c>
      <c r="G119" s="826">
        <f>'Recycling - Case 2'!BG129</f>
        <v>5.3088361017708037E-2</v>
      </c>
      <c r="H119" s="826">
        <f>'Recycling - Case 2'!BH129</f>
        <v>0</v>
      </c>
      <c r="I119" s="826">
        <f>'Recycling - Case 2'!BI129</f>
        <v>0</v>
      </c>
      <c r="J119" s="826">
        <f>'Recycling - Case 2'!BJ129</f>
        <v>0</v>
      </c>
      <c r="K119" s="826">
        <f>'Recycling - Case 2'!BK129</f>
        <v>0.44546472726119851</v>
      </c>
      <c r="L119" s="827">
        <f t="shared" si="89"/>
        <v>1.0000000000000002</v>
      </c>
      <c r="M119" s="4"/>
      <c r="N119" s="838">
        <f t="shared" si="56"/>
        <v>2228.8062963921584</v>
      </c>
      <c r="O119" s="833">
        <f>Parameters!R255</f>
        <v>1</v>
      </c>
      <c r="P119" s="834">
        <f>E119*'MSW characteristics'!$B$28+'MSW characteristics'!$B$29*'4A SWD Case 2'!F119+'4A SWD Case 2'!G119*'MSW characteristics'!$B$30+'MSW characteristics'!$B$31*'4A SWD Case 2'!H119+'4A SWD Case 2'!I119*'MSW characteristics'!$B$32+'MSW characteristics'!$B$33*'4A SWD Case 2'!J119+'4A SWD Case 2'!K119*'MSW characteristics'!$B$35</f>
        <v>0.11047121916420424</v>
      </c>
      <c r="Q119" s="832">
        <f t="shared" si="57"/>
        <v>123.10947442164824</v>
      </c>
      <c r="R119" s="832">
        <f t="shared" si="58"/>
        <v>123.10947442164824</v>
      </c>
      <c r="S119" s="835">
        <f t="shared" si="59"/>
        <v>0</v>
      </c>
      <c r="T119" s="832">
        <f t="shared" si="92"/>
        <v>5335.409773768497</v>
      </c>
      <c r="U119" s="832">
        <f t="shared" si="61"/>
        <v>267.24035098859122</v>
      </c>
      <c r="V119" s="839">
        <f t="shared" si="62"/>
        <v>178.16023399239415</v>
      </c>
      <c r="W119" s="4"/>
      <c r="X119" s="852">
        <f>'Recycling - Case 2'!AM169</f>
        <v>0</v>
      </c>
      <c r="Y119" s="853">
        <f>Parameters!S254</f>
        <v>0.71500000000000008</v>
      </c>
      <c r="Z119" s="853">
        <f t="shared" si="63"/>
        <v>0.4</v>
      </c>
      <c r="AA119" s="854">
        <f t="shared" si="64"/>
        <v>0</v>
      </c>
      <c r="AB119" s="854">
        <f t="shared" si="65"/>
        <v>0</v>
      </c>
      <c r="AC119" s="855">
        <f t="shared" si="66"/>
        <v>0</v>
      </c>
      <c r="AD119" s="854">
        <f t="shared" si="67"/>
        <v>2044.7110896769311</v>
      </c>
      <c r="AE119" s="854">
        <f t="shared" si="68"/>
        <v>104.83457933995105</v>
      </c>
      <c r="AF119" s="856">
        <f t="shared" si="69"/>
        <v>69.889719559967361</v>
      </c>
      <c r="AG119" s="4"/>
      <c r="AH119" s="852">
        <f>'Recycling - Case 2'!AM209</f>
        <v>0</v>
      </c>
      <c r="AI119" s="853">
        <f>Parameters!S254</f>
        <v>0.71500000000000008</v>
      </c>
      <c r="AJ119" s="853">
        <f t="shared" si="70"/>
        <v>0.4</v>
      </c>
      <c r="AK119" s="854">
        <f t="shared" si="71"/>
        <v>0</v>
      </c>
      <c r="AL119" s="854">
        <f t="shared" si="72"/>
        <v>0</v>
      </c>
      <c r="AM119" s="855">
        <f t="shared" si="73"/>
        <v>0</v>
      </c>
      <c r="AN119" s="854">
        <f t="shared" si="74"/>
        <v>2044.7110896769311</v>
      </c>
      <c r="AO119" s="854">
        <f t="shared" si="75"/>
        <v>104.83457933995105</v>
      </c>
      <c r="AP119" s="856">
        <f t="shared" si="76"/>
        <v>69.889719559967361</v>
      </c>
      <c r="AQ119" s="4"/>
      <c r="AR119" s="1042">
        <f>'Recycling - Case 2'!G129</f>
        <v>844.54431605498667</v>
      </c>
      <c r="AS119" s="1043">
        <v>1</v>
      </c>
      <c r="AT119" s="1043">
        <f t="shared" si="77"/>
        <v>0.05</v>
      </c>
      <c r="AU119" s="1044">
        <f t="shared" si="78"/>
        <v>21.113607901374667</v>
      </c>
      <c r="AV119" s="1044">
        <f t="shared" si="79"/>
        <v>21.113607901374667</v>
      </c>
      <c r="AW119" s="1045">
        <f t="shared" si="80"/>
        <v>0</v>
      </c>
      <c r="AX119" s="1044">
        <f t="shared" si="91"/>
        <v>305.10179929839882</v>
      </c>
      <c r="AY119" s="1044">
        <f t="shared" si="49"/>
        <v>17.560849015654576</v>
      </c>
      <c r="AZ119" s="1046">
        <f t="shared" si="47"/>
        <v>11.70723267710305</v>
      </c>
      <c r="BA119" s="4"/>
      <c r="BB119" s="1055">
        <f t="shared" si="81"/>
        <v>178.16023399239415</v>
      </c>
      <c r="BC119" s="1056">
        <f t="shared" si="82"/>
        <v>69.889719559967361</v>
      </c>
      <c r="BD119" s="1082">
        <f t="shared" si="90"/>
        <v>11.70723267710305</v>
      </c>
      <c r="BE119" s="1056">
        <f t="shared" si="54"/>
        <v>259.75718622946454</v>
      </c>
      <c r="BF119" s="167">
        <v>0</v>
      </c>
      <c r="BG119" s="1075">
        <f t="shared" si="83"/>
        <v>259.75718622946454</v>
      </c>
      <c r="BI119" s="1055">
        <f t="shared" si="84"/>
        <v>178.16023399239415</v>
      </c>
      <c r="BJ119" s="1056">
        <f t="shared" si="85"/>
        <v>69.889719559967361</v>
      </c>
      <c r="BK119" s="1082">
        <f t="shared" si="86"/>
        <v>11.70723267710305</v>
      </c>
      <c r="BL119" s="1056">
        <f t="shared" si="55"/>
        <v>259.75718622946454</v>
      </c>
      <c r="BM119" s="167">
        <v>0</v>
      </c>
      <c r="BN119" s="1075">
        <f t="shared" si="87"/>
        <v>259.75718622946454</v>
      </c>
    </row>
    <row r="120" spans="1:66" ht="15.75" thickBot="1">
      <c r="A120" s="928">
        <f>'Input data'!A150</f>
        <v>2050</v>
      </c>
      <c r="B120" s="828">
        <f>'Input data'!B150</f>
        <v>75.517908999999989</v>
      </c>
      <c r="C120" s="828">
        <f>'Recycling - Case 2'!AK130/B120</f>
        <v>265.67597098179937</v>
      </c>
      <c r="D120" s="829">
        <f>'Recycling - Case 2'!AM130</f>
        <v>0.11108875335226075</v>
      </c>
      <c r="E120" s="830">
        <f>'Recycling - Case 2'!BE130</f>
        <v>0.22140713376170404</v>
      </c>
      <c r="F120" s="830">
        <f>'Recycling - Case 2'!BF130</f>
        <v>0.28080414434615841</v>
      </c>
      <c r="G120" s="830">
        <f>'Recycling - Case 2'!BG130</f>
        <v>5.3006967562036801E-2</v>
      </c>
      <c r="H120" s="830">
        <f>'Recycling - Case 2'!BH130</f>
        <v>0</v>
      </c>
      <c r="I120" s="830">
        <f>'Recycling - Case 2'!BI130</f>
        <v>0</v>
      </c>
      <c r="J120" s="830">
        <f>'Recycling - Case 2'!BJ130</f>
        <v>0</v>
      </c>
      <c r="K120" s="830">
        <f>'Recycling - Case 2'!BK130</f>
        <v>0.44478175433010064</v>
      </c>
      <c r="L120" s="831">
        <f t="shared" si="89"/>
        <v>1</v>
      </c>
      <c r="M120" s="4"/>
      <c r="N120" s="840">
        <f t="shared" si="56"/>
        <v>2228.8062963921584</v>
      </c>
      <c r="O120" s="841">
        <f>Parameters!R256</f>
        <v>1</v>
      </c>
      <c r="P120" s="842">
        <f>E120*'MSW characteristics'!$B$28+'MSW characteristics'!$B$29*'4A SWD Case 2'!F120+'4A SWD Case 2'!G120*'MSW characteristics'!$B$30+'MSW characteristics'!$B$31*'4A SWD Case 2'!H120+'4A SWD Case 2'!I120*'MSW characteristics'!$B$32+'MSW characteristics'!$B$33*'4A SWD Case 2'!J120+'4A SWD Case 2'!K120*'MSW characteristics'!$B$35</f>
        <v>0.11057468595830201</v>
      </c>
      <c r="Q120" s="843">
        <f t="shared" si="57"/>
        <v>123.22477814272456</v>
      </c>
      <c r="R120" s="843">
        <f t="shared" si="58"/>
        <v>123.22477814272456</v>
      </c>
      <c r="S120" s="844">
        <f t="shared" si="59"/>
        <v>0</v>
      </c>
      <c r="T120" s="843">
        <f t="shared" si="92"/>
        <v>5198.4235467200169</v>
      </c>
      <c r="U120" s="843">
        <f t="shared" si="61"/>
        <v>260.21100519120483</v>
      </c>
      <c r="V120" s="845">
        <f t="shared" si="62"/>
        <v>173.47400346080323</v>
      </c>
      <c r="W120" s="4"/>
      <c r="X120" s="852">
        <f>'Recycling - Case 2'!AM170</f>
        <v>0</v>
      </c>
      <c r="Y120" s="858">
        <f>Parameters!S255</f>
        <v>0.71500000000000008</v>
      </c>
      <c r="Z120" s="858">
        <f t="shared" si="63"/>
        <v>0.4</v>
      </c>
      <c r="AA120" s="859">
        <f t="shared" si="64"/>
        <v>0</v>
      </c>
      <c r="AB120" s="859">
        <f t="shared" si="65"/>
        <v>0</v>
      </c>
      <c r="AC120" s="860">
        <f t="shared" si="66"/>
        <v>0</v>
      </c>
      <c r="AD120" s="859">
        <f t="shared" si="67"/>
        <v>1944.989353103615</v>
      </c>
      <c r="AE120" s="859">
        <f t="shared" si="68"/>
        <v>99.721736573316079</v>
      </c>
      <c r="AF120" s="861">
        <f t="shared" si="69"/>
        <v>66.481157715544057</v>
      </c>
      <c r="AG120" s="4"/>
      <c r="AH120" s="852">
        <f>'Recycling - Case 2'!AM210</f>
        <v>0</v>
      </c>
      <c r="AI120" s="858">
        <f>Parameters!S255</f>
        <v>0.71500000000000008</v>
      </c>
      <c r="AJ120" s="858">
        <f t="shared" si="70"/>
        <v>0.4</v>
      </c>
      <c r="AK120" s="859">
        <f t="shared" si="71"/>
        <v>0</v>
      </c>
      <c r="AL120" s="859">
        <f t="shared" si="72"/>
        <v>0</v>
      </c>
      <c r="AM120" s="860">
        <f t="shared" si="73"/>
        <v>0</v>
      </c>
      <c r="AN120" s="859">
        <f t="shared" si="74"/>
        <v>1944.989353103615</v>
      </c>
      <c r="AO120" s="859">
        <f t="shared" si="75"/>
        <v>99.721736573316079</v>
      </c>
      <c r="AP120" s="861">
        <f t="shared" si="76"/>
        <v>66.481157715544057</v>
      </c>
      <c r="AQ120" s="4"/>
      <c r="AR120" s="1047">
        <f>'Recycling - Case 2'!G130</f>
        <v>848.85557964503187</v>
      </c>
      <c r="AS120" s="1048">
        <f>Parameters!R221</f>
        <v>1</v>
      </c>
      <c r="AT120" s="1048">
        <f t="shared" si="77"/>
        <v>0.05</v>
      </c>
      <c r="AU120" s="1049">
        <f t="shared" si="78"/>
        <v>21.221389491125798</v>
      </c>
      <c r="AV120" s="1049">
        <f t="shared" si="79"/>
        <v>21.221389491125798</v>
      </c>
      <c r="AW120" s="1050">
        <f t="shared" si="80"/>
        <v>0</v>
      </c>
      <c r="AX120" s="1049">
        <f t="shared" si="91"/>
        <v>308.55544320309747</v>
      </c>
      <c r="AY120" s="1049">
        <f t="shared" si="49"/>
        <v>17.767745586427193</v>
      </c>
      <c r="AZ120" s="1051">
        <f t="shared" si="47"/>
        <v>11.845163724284795</v>
      </c>
      <c r="BA120" s="4"/>
      <c r="BB120" s="1057">
        <f t="shared" si="81"/>
        <v>173.47400346080323</v>
      </c>
      <c r="BC120" s="1058">
        <f t="shared" si="82"/>
        <v>66.481157715544057</v>
      </c>
      <c r="BD120" s="1083">
        <f t="shared" si="90"/>
        <v>11.845163724284795</v>
      </c>
      <c r="BE120" s="1058">
        <f t="shared" si="54"/>
        <v>251.80032490063209</v>
      </c>
      <c r="BF120" s="1059">
        <v>0</v>
      </c>
      <c r="BG120" s="1076">
        <f t="shared" si="83"/>
        <v>251.80032490063209</v>
      </c>
      <c r="BI120" s="1057">
        <f t="shared" si="84"/>
        <v>173.47400346080323</v>
      </c>
      <c r="BJ120" s="1058">
        <f t="shared" si="85"/>
        <v>66.481157715544057</v>
      </c>
      <c r="BK120" s="1083">
        <f t="shared" si="86"/>
        <v>11.845163724284795</v>
      </c>
      <c r="BL120" s="1058">
        <f t="shared" si="55"/>
        <v>251.80032490063209</v>
      </c>
      <c r="BM120" s="1059">
        <v>0</v>
      </c>
      <c r="BN120" s="1076">
        <f t="shared" si="87"/>
        <v>251.80032490063209</v>
      </c>
    </row>
    <row r="121" spans="1:66">
      <c r="A121" s="100"/>
      <c r="B121" s="4"/>
      <c r="C121" s="4"/>
      <c r="D121" s="4"/>
      <c r="E121" s="4"/>
      <c r="F121" s="4"/>
      <c r="G121" s="4"/>
      <c r="H121" s="4"/>
      <c r="I121" s="4"/>
      <c r="J121" s="4"/>
      <c r="K121" s="4"/>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row r="207" spans="1:1">
      <c r="A207" s="100"/>
    </row>
    <row r="208" spans="1:1">
      <c r="A208" s="100"/>
    </row>
  </sheetData>
  <mergeCells count="28">
    <mergeCell ref="BB13:BG13"/>
    <mergeCell ref="BF16:BF17"/>
    <mergeCell ref="BG16:BG17"/>
    <mergeCell ref="BI13:BN13"/>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6.5703125" customWidth="1"/>
    <col min="24" max="24" width="16.7109375"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4.28515625" customWidth="1"/>
    <col min="34" max="34" width="16.7109375"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314"/>
    <col min="55" max="55" width="11.140625" customWidth="1"/>
    <col min="56" max="56" width="8.28515625" style="1078" customWidth="1"/>
    <col min="57" max="57" width="14.42578125" customWidth="1"/>
    <col min="59" max="59" width="12.28515625" customWidth="1"/>
    <col min="61" max="62" width="11.28515625" customWidth="1"/>
    <col min="63" max="63" width="11.28515625" style="1078" customWidth="1"/>
    <col min="64" max="64" width="11.28515625" customWidth="1"/>
    <col min="65" max="65" width="10.7109375" customWidth="1"/>
    <col min="66" max="66" width="12.28515625" customWidth="1"/>
  </cols>
  <sheetData>
    <row r="1" spans="1:66">
      <c r="A1" s="141" t="s">
        <v>198</v>
      </c>
      <c r="B1" s="115"/>
      <c r="C1" s="115" t="s">
        <v>267</v>
      </c>
      <c r="D1" s="1172" t="s">
        <v>315</v>
      </c>
      <c r="E1" s="1174" t="s">
        <v>320</v>
      </c>
      <c r="F1" s="104"/>
      <c r="G1" s="104"/>
    </row>
    <row r="2" spans="1:66">
      <c r="A2" s="150"/>
      <c r="B2" s="99"/>
      <c r="C2" s="99"/>
      <c r="D2" s="104"/>
      <c r="E2" s="130"/>
      <c r="F2" s="104"/>
      <c r="G2" s="104"/>
    </row>
    <row r="3" spans="1:66">
      <c r="A3" s="150" t="s">
        <v>316</v>
      </c>
      <c r="B3" s="99"/>
      <c r="C3" s="99" t="str">
        <f>Parameters!D94</f>
        <v>varies</v>
      </c>
      <c r="D3" s="941">
        <v>0.4</v>
      </c>
      <c r="E3" s="1175">
        <f>Parameters!F94</f>
        <v>0.05</v>
      </c>
      <c r="F3" s="104"/>
      <c r="G3" s="104"/>
    </row>
    <row r="4" spans="1:66">
      <c r="A4" s="150" t="s">
        <v>260</v>
      </c>
      <c r="B4" s="99"/>
      <c r="C4" s="99">
        <f>Parameters!D95</f>
        <v>0.5</v>
      </c>
      <c r="D4" s="99">
        <f>Parameters!E95</f>
        <v>0.5</v>
      </c>
      <c r="E4" s="1175">
        <f>Parameters!F95</f>
        <v>0.5</v>
      </c>
      <c r="F4" s="104"/>
      <c r="G4" s="104"/>
    </row>
    <row r="5" spans="1:66">
      <c r="A5" s="174" t="s">
        <v>257</v>
      </c>
      <c r="B5" s="175"/>
      <c r="C5" s="175">
        <f>Parameters!D96</f>
        <v>0.05</v>
      </c>
      <c r="D5" s="99">
        <f>Parameters!E96</f>
        <v>0.05</v>
      </c>
      <c r="E5" s="1175">
        <f>Parameters!F96</f>
        <v>0.06</v>
      </c>
      <c r="F5" s="104"/>
      <c r="G5" s="104"/>
    </row>
    <row r="6" spans="1:66">
      <c r="A6" s="150" t="s">
        <v>258</v>
      </c>
      <c r="B6" s="107" t="s">
        <v>211</v>
      </c>
      <c r="C6" s="107">
        <f>Parameters!D97</f>
        <v>13.862943611198904</v>
      </c>
      <c r="D6" s="106">
        <f>Parameters!E97</f>
        <v>13.862943611198904</v>
      </c>
      <c r="E6" s="1176">
        <f>Parameters!F97</f>
        <v>11.552453009332423</v>
      </c>
      <c r="F6" s="104"/>
      <c r="G6" s="104"/>
    </row>
    <row r="7" spans="1:66">
      <c r="A7" s="150" t="s">
        <v>255</v>
      </c>
      <c r="B7" s="107" t="s">
        <v>256</v>
      </c>
      <c r="C7" s="107">
        <f>Parameters!D98</f>
        <v>6</v>
      </c>
      <c r="D7" s="99">
        <f>Parameters!E98</f>
        <v>6</v>
      </c>
      <c r="E7" s="1175">
        <f>Parameters!F98</f>
        <v>6</v>
      </c>
      <c r="F7" s="104"/>
      <c r="G7" s="104"/>
    </row>
    <row r="8" spans="1:66">
      <c r="A8" s="151" t="s">
        <v>248</v>
      </c>
      <c r="B8" s="108" t="s">
        <v>249</v>
      </c>
      <c r="C8" s="108">
        <f>Parameters!D99</f>
        <v>0.95122942450071402</v>
      </c>
      <c r="D8" s="158">
        <f>Parameters!E99</f>
        <v>0.95122942450071402</v>
      </c>
      <c r="E8" s="1177">
        <f>Parameters!F99</f>
        <v>0.94176453358424872</v>
      </c>
      <c r="F8" s="104"/>
      <c r="G8" s="104"/>
    </row>
    <row r="9" spans="1:66">
      <c r="A9" s="151" t="s">
        <v>250</v>
      </c>
      <c r="B9" s="108" t="s">
        <v>251</v>
      </c>
      <c r="C9" s="108">
        <f>Parameters!D100</f>
        <v>13</v>
      </c>
      <c r="D9" s="99">
        <f>Parameters!E100</f>
        <v>13</v>
      </c>
      <c r="E9" s="1175">
        <f>Parameters!F100</f>
        <v>13</v>
      </c>
      <c r="F9" s="104"/>
      <c r="G9" s="104"/>
      <c r="H9" s="561"/>
    </row>
    <row r="10" spans="1:66">
      <c r="A10" s="151" t="s">
        <v>252</v>
      </c>
      <c r="B10" s="108" t="s">
        <v>253</v>
      </c>
      <c r="C10" s="108">
        <f>Parameters!D101</f>
        <v>1</v>
      </c>
      <c r="D10" s="99">
        <f>Parameters!E101</f>
        <v>1</v>
      </c>
      <c r="E10" s="1175">
        <f>Parameters!F101</f>
        <v>1</v>
      </c>
      <c r="F10" s="104"/>
      <c r="G10" s="104"/>
    </row>
    <row r="11" spans="1:66">
      <c r="A11" s="151" t="s">
        <v>259</v>
      </c>
      <c r="B11" s="108" t="s">
        <v>254</v>
      </c>
      <c r="C11" s="108">
        <f>Parameters!D102</f>
        <v>0.5</v>
      </c>
      <c r="D11" s="99">
        <f>Parameters!E102</f>
        <v>0.5</v>
      </c>
      <c r="E11" s="1175">
        <f>Parameters!F102</f>
        <v>0.5</v>
      </c>
      <c r="F11" s="104"/>
      <c r="G11" s="104"/>
    </row>
    <row r="12" spans="1:66">
      <c r="A12" s="151" t="s">
        <v>729</v>
      </c>
      <c r="B12" s="108">
        <v>2002</v>
      </c>
      <c r="C12" s="108"/>
      <c r="D12" s="1446">
        <f>'Waste Summary 2017 SASOW'!L29</f>
        <v>0.13527885904981399</v>
      </c>
      <c r="E12" s="1175"/>
      <c r="F12" s="104"/>
      <c r="G12" s="104"/>
      <c r="BB12" s="314" t="s">
        <v>659</v>
      </c>
      <c r="BI12" t="s">
        <v>655</v>
      </c>
    </row>
    <row r="13" spans="1:66">
      <c r="A13" s="151" t="s">
        <v>729</v>
      </c>
      <c r="B13" s="108">
        <v>2017</v>
      </c>
      <c r="C13" s="108"/>
      <c r="D13" s="1446">
        <f>'Waste Summary 2017 SASOW'!$L$25</f>
        <v>2.197312110627072E-2</v>
      </c>
      <c r="E13" s="130"/>
      <c r="F13" s="104"/>
      <c r="G13" s="104"/>
      <c r="X13" s="1" t="s">
        <v>659</v>
      </c>
      <c r="AH13" s="1" t="s">
        <v>655</v>
      </c>
    </row>
    <row r="14" spans="1:66" ht="15.75" thickBot="1">
      <c r="A14" s="152" t="s">
        <v>728</v>
      </c>
      <c r="B14" s="163"/>
      <c r="C14" s="163"/>
      <c r="D14" s="683">
        <f>'Waste Summary 2017 SASOW'!$L$26</f>
        <v>6.9875113374971584E-2</v>
      </c>
      <c r="E14" s="1447"/>
      <c r="F14" s="104"/>
      <c r="G14" s="104"/>
      <c r="X14" s="1"/>
      <c r="AH14" s="1"/>
    </row>
    <row r="15" spans="1:66" ht="15.75" thickBot="1">
      <c r="A15" s="10"/>
      <c r="B15" s="10"/>
      <c r="C15" s="10"/>
      <c r="D15" s="10"/>
      <c r="E15" s="10"/>
      <c r="F15" s="10"/>
      <c r="G15" s="10"/>
      <c r="H15" s="10"/>
      <c r="I15" s="10"/>
      <c r="J15" s="10"/>
      <c r="K15" s="10"/>
      <c r="L15" s="10"/>
      <c r="M15" s="10"/>
      <c r="N15" s="231" t="s">
        <v>267</v>
      </c>
      <c r="O15" s="10"/>
      <c r="P15" s="10"/>
      <c r="Q15" s="10"/>
      <c r="R15" s="10"/>
      <c r="S15" s="10"/>
      <c r="T15" s="10"/>
      <c r="U15" s="10"/>
      <c r="V15" s="10"/>
      <c r="W15" s="10"/>
      <c r="X15" s="2" t="s">
        <v>318</v>
      </c>
      <c r="AG15" s="10"/>
      <c r="AH15" s="2" t="s">
        <v>318</v>
      </c>
      <c r="AR15" s="2" t="s">
        <v>320</v>
      </c>
      <c r="BB15" s="1749" t="s">
        <v>319</v>
      </c>
      <c r="BC15" s="1750"/>
      <c r="BD15" s="1750"/>
      <c r="BE15" s="1750"/>
      <c r="BF15" s="1750"/>
      <c r="BG15" s="1751"/>
      <c r="BI15" s="1749" t="s">
        <v>319</v>
      </c>
      <c r="BJ15" s="1750"/>
      <c r="BK15" s="1750"/>
      <c r="BL15" s="1750"/>
      <c r="BM15" s="1750"/>
      <c r="BN15" s="1751"/>
    </row>
    <row r="16" spans="1:66" ht="60">
      <c r="A16" s="1957" t="s">
        <v>217</v>
      </c>
      <c r="B16" s="1960" t="s">
        <v>218</v>
      </c>
      <c r="C16" s="1960" t="s">
        <v>219</v>
      </c>
      <c r="D16" s="1960" t="s">
        <v>220</v>
      </c>
      <c r="E16" s="1957" t="s">
        <v>221</v>
      </c>
      <c r="F16" s="1962" t="s">
        <v>85</v>
      </c>
      <c r="G16" s="1962" t="s">
        <v>87</v>
      </c>
      <c r="H16" s="1962" t="s">
        <v>222</v>
      </c>
      <c r="I16" s="1962" t="s">
        <v>115</v>
      </c>
      <c r="J16" s="1962" t="s">
        <v>223</v>
      </c>
      <c r="K16" s="1962" t="s">
        <v>224</v>
      </c>
      <c r="L16" s="1955" t="s">
        <v>225</v>
      </c>
      <c r="M16" s="294"/>
      <c r="N16" s="213" t="s">
        <v>235</v>
      </c>
      <c r="O16" s="214" t="s">
        <v>22</v>
      </c>
      <c r="P16" s="214" t="s">
        <v>236</v>
      </c>
      <c r="Q16" s="215" t="s">
        <v>237</v>
      </c>
      <c r="R16" s="215" t="s">
        <v>238</v>
      </c>
      <c r="S16" s="215" t="s">
        <v>239</v>
      </c>
      <c r="T16" s="215" t="s">
        <v>240</v>
      </c>
      <c r="U16" s="215" t="s">
        <v>241</v>
      </c>
      <c r="V16" s="221" t="s">
        <v>300</v>
      </c>
      <c r="W16" s="1763" t="s">
        <v>729</v>
      </c>
      <c r="X16" s="213" t="s">
        <v>726</v>
      </c>
      <c r="Y16" s="214" t="s">
        <v>22</v>
      </c>
      <c r="Z16" s="214" t="s">
        <v>236</v>
      </c>
      <c r="AA16" s="215" t="s">
        <v>237</v>
      </c>
      <c r="AB16" s="215" t="s">
        <v>238</v>
      </c>
      <c r="AC16" s="215" t="s">
        <v>239</v>
      </c>
      <c r="AD16" s="215" t="s">
        <v>240</v>
      </c>
      <c r="AE16" s="215" t="s">
        <v>241</v>
      </c>
      <c r="AF16" s="221" t="s">
        <v>300</v>
      </c>
      <c r="AG16" s="1763" t="s">
        <v>729</v>
      </c>
      <c r="AH16" s="213" t="s">
        <v>726</v>
      </c>
      <c r="AI16" s="214" t="s">
        <v>22</v>
      </c>
      <c r="AJ16" s="214" t="s">
        <v>236</v>
      </c>
      <c r="AK16" s="215" t="s">
        <v>237</v>
      </c>
      <c r="AL16" s="215" t="s">
        <v>238</v>
      </c>
      <c r="AM16" s="215" t="s">
        <v>239</v>
      </c>
      <c r="AN16" s="215" t="s">
        <v>240</v>
      </c>
      <c r="AO16" s="215" t="s">
        <v>241</v>
      </c>
      <c r="AP16" s="221" t="s">
        <v>300</v>
      </c>
      <c r="AR16" s="303" t="s">
        <v>235</v>
      </c>
      <c r="AS16" s="214" t="s">
        <v>22</v>
      </c>
      <c r="AT16" s="214" t="s">
        <v>236</v>
      </c>
      <c r="AU16" s="215" t="s">
        <v>237</v>
      </c>
      <c r="AV16" s="215" t="s">
        <v>238</v>
      </c>
      <c r="AW16" s="215" t="s">
        <v>239</v>
      </c>
      <c r="AX16" s="215" t="s">
        <v>240</v>
      </c>
      <c r="AY16" s="215" t="s">
        <v>241</v>
      </c>
      <c r="AZ16" s="221" t="s">
        <v>300</v>
      </c>
      <c r="BB16" s="1966" t="s">
        <v>267</v>
      </c>
      <c r="BC16" s="1968" t="s">
        <v>315</v>
      </c>
      <c r="BD16" s="1970" t="s">
        <v>320</v>
      </c>
      <c r="BE16" s="1968" t="s">
        <v>225</v>
      </c>
      <c r="BF16" s="1968" t="s">
        <v>321</v>
      </c>
      <c r="BG16" s="1972" t="s">
        <v>322</v>
      </c>
      <c r="BI16" s="1966" t="s">
        <v>267</v>
      </c>
      <c r="BJ16" s="1968" t="s">
        <v>315</v>
      </c>
      <c r="BK16" s="1970" t="s">
        <v>320</v>
      </c>
      <c r="BL16" s="1968" t="s">
        <v>225</v>
      </c>
      <c r="BM16" s="1968" t="s">
        <v>321</v>
      </c>
      <c r="BN16" s="1972" t="s">
        <v>322</v>
      </c>
    </row>
    <row r="17" spans="1:66" ht="24.75">
      <c r="A17" s="1958"/>
      <c r="B17" s="1961"/>
      <c r="C17" s="1961"/>
      <c r="D17" s="1961"/>
      <c r="E17" s="1958"/>
      <c r="F17" s="1963"/>
      <c r="G17" s="1963"/>
      <c r="H17" s="1963"/>
      <c r="I17" s="1963"/>
      <c r="J17" s="1963"/>
      <c r="K17" s="1963"/>
      <c r="L17" s="1956"/>
      <c r="M17" s="295"/>
      <c r="N17" s="222" t="s">
        <v>242</v>
      </c>
      <c r="O17" s="223" t="s">
        <v>22</v>
      </c>
      <c r="P17" s="223" t="s">
        <v>236</v>
      </c>
      <c r="Q17" s="224" t="s">
        <v>243</v>
      </c>
      <c r="R17" s="224" t="s">
        <v>244</v>
      </c>
      <c r="S17" s="224" t="s">
        <v>245</v>
      </c>
      <c r="T17" s="224" t="s">
        <v>301</v>
      </c>
      <c r="U17" s="224" t="s">
        <v>302</v>
      </c>
      <c r="V17" s="225" t="s">
        <v>246</v>
      </c>
      <c r="W17" s="1964"/>
      <c r="X17" s="222" t="s">
        <v>242</v>
      </c>
      <c r="Y17" s="223" t="s">
        <v>22</v>
      </c>
      <c r="Z17" s="223" t="s">
        <v>236</v>
      </c>
      <c r="AA17" s="224" t="s">
        <v>243</v>
      </c>
      <c r="AB17" s="224" t="s">
        <v>244</v>
      </c>
      <c r="AC17" s="224" t="s">
        <v>245</v>
      </c>
      <c r="AD17" s="224" t="s">
        <v>301</v>
      </c>
      <c r="AE17" s="224" t="s">
        <v>302</v>
      </c>
      <c r="AF17" s="225" t="s">
        <v>246</v>
      </c>
      <c r="AG17" s="1964"/>
      <c r="AH17" s="222" t="s">
        <v>242</v>
      </c>
      <c r="AI17" s="223" t="s">
        <v>22</v>
      </c>
      <c r="AJ17" s="223" t="s">
        <v>236</v>
      </c>
      <c r="AK17" s="224" t="s">
        <v>243</v>
      </c>
      <c r="AL17" s="224" t="s">
        <v>244</v>
      </c>
      <c r="AM17" s="224" t="s">
        <v>245</v>
      </c>
      <c r="AN17" s="224" t="s">
        <v>301</v>
      </c>
      <c r="AO17" s="224" t="s">
        <v>302</v>
      </c>
      <c r="AP17" s="225" t="s">
        <v>246</v>
      </c>
      <c r="AR17" s="304" t="s">
        <v>242</v>
      </c>
      <c r="AS17" s="223" t="s">
        <v>22</v>
      </c>
      <c r="AT17" s="223" t="s">
        <v>236</v>
      </c>
      <c r="AU17" s="224" t="s">
        <v>243</v>
      </c>
      <c r="AV17" s="224" t="s">
        <v>244</v>
      </c>
      <c r="AW17" s="224" t="s">
        <v>245</v>
      </c>
      <c r="AX17" s="224" t="s">
        <v>301</v>
      </c>
      <c r="AY17" s="224" t="s">
        <v>302</v>
      </c>
      <c r="AZ17" s="225" t="s">
        <v>246</v>
      </c>
      <c r="BB17" s="1967"/>
      <c r="BC17" s="1969"/>
      <c r="BD17" s="1971"/>
      <c r="BE17" s="1969"/>
      <c r="BF17" s="1969"/>
      <c r="BG17" s="1973"/>
      <c r="BI17" s="1967"/>
      <c r="BJ17" s="1969"/>
      <c r="BK17" s="1971"/>
      <c r="BL17" s="1969"/>
      <c r="BM17" s="1969"/>
      <c r="BN17" s="1973"/>
    </row>
    <row r="18" spans="1:66" ht="15.75" thickBot="1">
      <c r="A18" s="1959"/>
      <c r="B18" s="468" t="s">
        <v>226</v>
      </c>
      <c r="C18" s="468" t="s">
        <v>227</v>
      </c>
      <c r="D18" s="468" t="s">
        <v>229</v>
      </c>
      <c r="E18" s="216" t="s">
        <v>229</v>
      </c>
      <c r="F18" s="217" t="s">
        <v>229</v>
      </c>
      <c r="G18" s="217" t="s">
        <v>229</v>
      </c>
      <c r="H18" s="217" t="s">
        <v>229</v>
      </c>
      <c r="I18" s="217" t="s">
        <v>229</v>
      </c>
      <c r="J18" s="217" t="s">
        <v>229</v>
      </c>
      <c r="K18" s="217" t="s">
        <v>229</v>
      </c>
      <c r="L18" s="468" t="s">
        <v>230</v>
      </c>
      <c r="M18" s="296"/>
      <c r="N18" s="217" t="s">
        <v>228</v>
      </c>
      <c r="O18" s="218" t="s">
        <v>41</v>
      </c>
      <c r="P18" s="218" t="s">
        <v>41</v>
      </c>
      <c r="Q18" s="219" t="s">
        <v>228</v>
      </c>
      <c r="R18" s="219" t="s">
        <v>228</v>
      </c>
      <c r="S18" s="219" t="s">
        <v>228</v>
      </c>
      <c r="T18" s="219" t="s">
        <v>228</v>
      </c>
      <c r="U18" s="219" t="s">
        <v>228</v>
      </c>
      <c r="V18" s="220" t="s">
        <v>228</v>
      </c>
      <c r="W18" s="1965"/>
      <c r="X18" s="217" t="s">
        <v>228</v>
      </c>
      <c r="Y18" s="218" t="s">
        <v>41</v>
      </c>
      <c r="Z18" s="218" t="s">
        <v>41</v>
      </c>
      <c r="AA18" s="219" t="s">
        <v>228</v>
      </c>
      <c r="AB18" s="219" t="s">
        <v>228</v>
      </c>
      <c r="AC18" s="219" t="s">
        <v>228</v>
      </c>
      <c r="AD18" s="219" t="s">
        <v>228</v>
      </c>
      <c r="AE18" s="219" t="s">
        <v>228</v>
      </c>
      <c r="AF18" s="220" t="s">
        <v>228</v>
      </c>
      <c r="AG18" s="1965"/>
      <c r="AH18" s="217" t="s">
        <v>228</v>
      </c>
      <c r="AI18" s="218" t="s">
        <v>41</v>
      </c>
      <c r="AJ18" s="218" t="s">
        <v>41</v>
      </c>
      <c r="AK18" s="219" t="s">
        <v>228</v>
      </c>
      <c r="AL18" s="219" t="s">
        <v>228</v>
      </c>
      <c r="AM18" s="219" t="s">
        <v>228</v>
      </c>
      <c r="AN18" s="219" t="s">
        <v>228</v>
      </c>
      <c r="AO18" s="219" t="s">
        <v>228</v>
      </c>
      <c r="AP18" s="220" t="s">
        <v>228</v>
      </c>
      <c r="AR18" s="216" t="s">
        <v>228</v>
      </c>
      <c r="AS18" s="218" t="s">
        <v>41</v>
      </c>
      <c r="AT18" s="218" t="s">
        <v>41</v>
      </c>
      <c r="AU18" s="219" t="s">
        <v>228</v>
      </c>
      <c r="AV18" s="219" t="s">
        <v>228</v>
      </c>
      <c r="AW18" s="219" t="s">
        <v>228</v>
      </c>
      <c r="AX18" s="219" t="s">
        <v>228</v>
      </c>
      <c r="AY18" s="219" t="s">
        <v>228</v>
      </c>
      <c r="AZ18" s="220" t="s">
        <v>228</v>
      </c>
      <c r="BB18" s="298" t="s">
        <v>228</v>
      </c>
      <c r="BC18" s="297" t="s">
        <v>228</v>
      </c>
      <c r="BD18" s="1079" t="s">
        <v>228</v>
      </c>
      <c r="BE18" s="297" t="s">
        <v>228</v>
      </c>
      <c r="BF18" s="297" t="s">
        <v>228</v>
      </c>
      <c r="BG18" s="299" t="s">
        <v>228</v>
      </c>
      <c r="BI18" s="298" t="s">
        <v>228</v>
      </c>
      <c r="BJ18" s="297" t="s">
        <v>228</v>
      </c>
      <c r="BK18" s="1079" t="s">
        <v>228</v>
      </c>
      <c r="BL18" s="297" t="s">
        <v>228</v>
      </c>
      <c r="BM18" s="297" t="s">
        <v>228</v>
      </c>
      <c r="BN18" s="299" t="s">
        <v>228</v>
      </c>
    </row>
    <row r="19" spans="1:66" ht="15.75" thickBot="1">
      <c r="A19" s="226"/>
      <c r="B19" s="862"/>
      <c r="C19" s="862"/>
      <c r="D19" s="862"/>
      <c r="E19" s="863"/>
      <c r="F19" s="864"/>
      <c r="G19" s="864"/>
      <c r="H19" s="864"/>
      <c r="I19" s="864"/>
      <c r="J19" s="864"/>
      <c r="K19" s="864"/>
      <c r="L19" s="862"/>
      <c r="M19" s="228"/>
      <c r="N19" s="864"/>
      <c r="O19" s="903"/>
      <c r="P19" s="903"/>
      <c r="Q19" s="904"/>
      <c r="R19" s="904"/>
      <c r="S19" s="904"/>
      <c r="T19" s="904"/>
      <c r="U19" s="904"/>
      <c r="V19" s="905"/>
      <c r="W19" s="10"/>
      <c r="X19" s="227"/>
      <c r="Y19" s="229"/>
      <c r="Z19" s="229"/>
      <c r="AA19" s="230"/>
      <c r="AB19" s="230"/>
      <c r="AC19" s="230"/>
      <c r="AD19" s="230"/>
      <c r="AE19" s="230"/>
      <c r="AF19" s="179"/>
      <c r="AG19" s="10"/>
      <c r="AH19" s="227"/>
      <c r="AI19" s="229"/>
      <c r="AJ19" s="229"/>
      <c r="AK19" s="230"/>
      <c r="AL19" s="230"/>
      <c r="AM19" s="230"/>
      <c r="AN19" s="230"/>
      <c r="AO19" s="230"/>
      <c r="AP19" s="179"/>
      <c r="AR19" s="863"/>
      <c r="AS19" s="903"/>
      <c r="AT19" s="903"/>
      <c r="AU19" s="904"/>
      <c r="AV19" s="904"/>
      <c r="AW19" s="904"/>
      <c r="AX19" s="904"/>
      <c r="AY19" s="904"/>
      <c r="AZ19" s="921"/>
      <c r="BB19" s="300"/>
      <c r="BC19" s="301"/>
      <c r="BD19" s="1080"/>
      <c r="BE19" s="301"/>
      <c r="BF19" s="104"/>
      <c r="BG19" s="130"/>
      <c r="BI19" s="300"/>
      <c r="BJ19" s="301"/>
      <c r="BK19" s="1080"/>
      <c r="BL19" s="301"/>
      <c r="BM19" s="104"/>
      <c r="BN19" s="130"/>
    </row>
    <row r="20" spans="1:66">
      <c r="A20" s="869">
        <f>'Input data'!A50</f>
        <v>1950</v>
      </c>
      <c r="B20" s="870">
        <f>'Input data'!B50</f>
        <v>5.3541578999999997</v>
      </c>
      <c r="C20" s="870">
        <f>'Baseline data (from input)'!B6</f>
        <v>578.73</v>
      </c>
      <c r="D20" s="871">
        <f>'Baseline data (from input)'!T6</f>
        <v>0.8</v>
      </c>
      <c r="E20" s="871">
        <f>'Input data'!C30</f>
        <v>0.24001298204245269</v>
      </c>
      <c r="F20" s="871">
        <f>'Input data'!D30</f>
        <v>0.30440139352934503</v>
      </c>
      <c r="G20" s="871">
        <f>'Input data'!E30</f>
        <v>5.8998240613430578E-2</v>
      </c>
      <c r="H20" s="871">
        <f>'Input data'!F30</f>
        <v>0</v>
      </c>
      <c r="I20" s="871">
        <f>'Input data'!G30</f>
        <v>0</v>
      </c>
      <c r="J20" s="871">
        <f>'Input data'!H30</f>
        <v>0</v>
      </c>
      <c r="K20" s="871">
        <f>SUM('Input data'!I30:M30)</f>
        <v>0.39658738381477154</v>
      </c>
      <c r="L20" s="872">
        <f>SUM(E20:K20)</f>
        <v>0.99999999999999989</v>
      </c>
      <c r="M20" s="102"/>
      <c r="N20" s="909">
        <f>B20*C20*D20</f>
        <v>2478.8894411736001</v>
      </c>
      <c r="O20" s="910">
        <f>Parameters!R121</f>
        <v>0.73</v>
      </c>
      <c r="P20" s="910">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911">
        <f>N20*P20*O20*$C$4</f>
        <v>109.01103628403193</v>
      </c>
      <c r="R20" s="911">
        <f>Q20*$C$10</f>
        <v>109.01103628403193</v>
      </c>
      <c r="S20" s="912">
        <f>Q20*(1-$C$10)</f>
        <v>0</v>
      </c>
      <c r="T20" s="911">
        <f>R20+(T19*$C$8)</f>
        <v>109.01103628403193</v>
      </c>
      <c r="U20" s="911">
        <f>S20+T19*(1-$C$8)</f>
        <v>0</v>
      </c>
      <c r="V20" s="1073">
        <f>U20*16/12*$C$11</f>
        <v>0</v>
      </c>
      <c r="W20" s="1450">
        <f>$D$12</f>
        <v>0.13527885904981399</v>
      </c>
      <c r="X20" s="909">
        <f>'Baseline data (from input)'!AS6*W20</f>
        <v>0</v>
      </c>
      <c r="Y20" s="910">
        <f>Parameters!S121</f>
        <v>0.71500000000000008</v>
      </c>
      <c r="Z20" s="910">
        <f>$D$3</f>
        <v>0.4</v>
      </c>
      <c r="AA20" s="911">
        <f>X20*Z20*Y20*$D$4</f>
        <v>0</v>
      </c>
      <c r="AB20" s="911">
        <f>AA20*$D$10</f>
        <v>0</v>
      </c>
      <c r="AC20" s="912">
        <f>AA20*(1-$D$10)</f>
        <v>0</v>
      </c>
      <c r="AD20" s="911">
        <f>AB20+(AD19*$D$8)</f>
        <v>0</v>
      </c>
      <c r="AE20" s="911">
        <f>AC20+AD19*(1-$D$8)</f>
        <v>0</v>
      </c>
      <c r="AF20" s="1073">
        <f>AE20*16/12*$D$11</f>
        <v>0</v>
      </c>
      <c r="AG20" s="1450">
        <f>$D$12</f>
        <v>0.13527885904981399</v>
      </c>
      <c r="AH20" s="909">
        <f>'Baseline data (from input)'!AS6*AG20</f>
        <v>0</v>
      </c>
      <c r="AI20" s="910">
        <f>Parameters!S121</f>
        <v>0.71500000000000008</v>
      </c>
      <c r="AJ20" s="910">
        <f>$D$3</f>
        <v>0.4</v>
      </c>
      <c r="AK20" s="911">
        <f>AH20*AJ20*AI20*$D$4</f>
        <v>0</v>
      </c>
      <c r="AL20" s="911">
        <f>AK20*$D$10</f>
        <v>0</v>
      </c>
      <c r="AM20" s="912">
        <f>AK20*(1-$D$10)</f>
        <v>0</v>
      </c>
      <c r="AN20" s="911">
        <f>AL20+(AN19*$D$8)</f>
        <v>0</v>
      </c>
      <c r="AO20" s="911">
        <f>AM20+AN19*(1-$D$8)</f>
        <v>0</v>
      </c>
      <c r="AP20" s="1073">
        <f>AO20*16/12*$D$11</f>
        <v>0</v>
      </c>
      <c r="AR20" s="909">
        <v>0</v>
      </c>
      <c r="AS20" s="910">
        <v>1</v>
      </c>
      <c r="AT20" s="910">
        <f>$E$3</f>
        <v>0.05</v>
      </c>
      <c r="AU20" s="911">
        <f>AR20*AT20*AS20*$E$4</f>
        <v>0</v>
      </c>
      <c r="AV20" s="911">
        <f>AU20*$E$10</f>
        <v>0</v>
      </c>
      <c r="AW20" s="912">
        <f>AU20*(1-$E$10)</f>
        <v>0</v>
      </c>
      <c r="AX20" s="911">
        <f>AV20+(AX19*$E$8)</f>
        <v>0</v>
      </c>
      <c r="AY20" s="911">
        <f>AW20+AX19*(1-$E$8)</f>
        <v>0</v>
      </c>
      <c r="AZ20" s="1073">
        <f>AY20*16/12*$E$11</f>
        <v>0</v>
      </c>
      <c r="BB20" s="300">
        <f>V20</f>
        <v>0</v>
      </c>
      <c r="BC20" s="301">
        <f>AF20</f>
        <v>0</v>
      </c>
      <c r="BD20" s="1080">
        <f>AZ20</f>
        <v>0</v>
      </c>
      <c r="BE20" s="301">
        <f>SUM(BB20:BD20)</f>
        <v>0</v>
      </c>
      <c r="BF20" s="104">
        <v>0</v>
      </c>
      <c r="BG20" s="302">
        <f>BE20-BF20</f>
        <v>0</v>
      </c>
      <c r="BI20" s="300">
        <f>V20</f>
        <v>0</v>
      </c>
      <c r="BJ20" s="301">
        <f>AP20</f>
        <v>0</v>
      </c>
      <c r="BK20" s="1080">
        <f>AZ20</f>
        <v>0</v>
      </c>
      <c r="BL20" s="301">
        <f>SUM(BI20:BK20)</f>
        <v>0</v>
      </c>
      <c r="BM20" s="104">
        <v>0</v>
      </c>
      <c r="BN20" s="302">
        <f>BL20-BM20</f>
        <v>0</v>
      </c>
    </row>
    <row r="21" spans="1:66">
      <c r="A21" s="873">
        <f>'Input data'!A51</f>
        <v>1951</v>
      </c>
      <c r="B21" s="865">
        <f>'Input data'!B51</f>
        <v>5.53942844</v>
      </c>
      <c r="C21" s="865">
        <f>'Baseline data (from input)'!B7</f>
        <v>578.73</v>
      </c>
      <c r="D21" s="777">
        <f>'Baseline data (from input)'!T7</f>
        <v>0.8</v>
      </c>
      <c r="E21" s="777">
        <f>E20</f>
        <v>0.24001298204245269</v>
      </c>
      <c r="F21" s="777">
        <f t="shared" ref="F21:K36" si="0">F20</f>
        <v>0.30440139352934503</v>
      </c>
      <c r="G21" s="777">
        <f t="shared" si="0"/>
        <v>5.8998240613430578E-2</v>
      </c>
      <c r="H21" s="777">
        <f t="shared" si="0"/>
        <v>0</v>
      </c>
      <c r="I21" s="777">
        <f t="shared" si="0"/>
        <v>0</v>
      </c>
      <c r="J21" s="777">
        <f t="shared" si="0"/>
        <v>0</v>
      </c>
      <c r="K21" s="777">
        <f t="shared" si="0"/>
        <v>0.39658738381477154</v>
      </c>
      <c r="L21" s="874">
        <f>SUM(E21:K21)</f>
        <v>0.99999999999999989</v>
      </c>
      <c r="M21" s="102"/>
      <c r="N21" s="914">
        <f t="shared" ref="N21:N84" si="1">B21*C21*D21</f>
        <v>2564.6667368649601</v>
      </c>
      <c r="O21" s="907">
        <f>Parameters!R122</f>
        <v>0.73</v>
      </c>
      <c r="P21" s="90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906">
        <f t="shared" ref="Q21:Q84" si="2">N21*P21*O21*$C$4</f>
        <v>112.78315767744512</v>
      </c>
      <c r="R21" s="906">
        <f t="shared" ref="R21:R84" si="3">Q21*$C$10</f>
        <v>112.78315767744512</v>
      </c>
      <c r="S21" s="286">
        <f t="shared" ref="S21:S84" si="4">Q21*(1-$C$10)</f>
        <v>0</v>
      </c>
      <c r="T21" s="906">
        <f t="shared" ref="T21:T84" si="5">R21+(T20*$C$8)</f>
        <v>216.47766298613126</v>
      </c>
      <c r="U21" s="906">
        <f t="shared" ref="U21:U84" si="6">S21+T20*(1-$C$8)</f>
        <v>5.316530975345783</v>
      </c>
      <c r="V21" s="1072">
        <f t="shared" ref="V21:V84" si="7">U21*16/12*$C$11</f>
        <v>3.5443539835638553</v>
      </c>
      <c r="W21" s="1450">
        <f t="shared" ref="W21:W72" si="8">$D$12</f>
        <v>0.13527885904981399</v>
      </c>
      <c r="X21" s="914">
        <f>'Baseline data (from input)'!AS7*W21</f>
        <v>0</v>
      </c>
      <c r="Y21" s="907">
        <f>Parameters!S122</f>
        <v>0.71500000000000008</v>
      </c>
      <c r="Z21" s="907">
        <f t="shared" ref="Z21:Z84" si="9">$D$3</f>
        <v>0.4</v>
      </c>
      <c r="AA21" s="906">
        <f t="shared" ref="AA21:AA84" si="10">X21*Z21*Y21*$D$4</f>
        <v>0</v>
      </c>
      <c r="AB21" s="906">
        <f t="shared" ref="AB21:AB84" si="11">AA21*$D$10</f>
        <v>0</v>
      </c>
      <c r="AC21" s="286">
        <f t="shared" ref="AC21:AC84" si="12">AA21*(1-$D$10)</f>
        <v>0</v>
      </c>
      <c r="AD21" s="906">
        <f t="shared" ref="AD21:AD84" si="13">AB21+(AD20*$D$8)</f>
        <v>0</v>
      </c>
      <c r="AE21" s="906">
        <f t="shared" ref="AE21:AE84" si="14">AC21+AD20*(1-$D$8)</f>
        <v>0</v>
      </c>
      <c r="AF21" s="1072">
        <f t="shared" ref="AF21:AF84" si="15">AE21*16/12*$D$11</f>
        <v>0</v>
      </c>
      <c r="AG21" s="1450">
        <f t="shared" ref="AG21:AG72" si="16">$D$12</f>
        <v>0.13527885904981399</v>
      </c>
      <c r="AH21" s="914">
        <f>'Baseline data (from input)'!AS7*AG21</f>
        <v>0</v>
      </c>
      <c r="AI21" s="907">
        <f>Parameters!S122</f>
        <v>0.71500000000000008</v>
      </c>
      <c r="AJ21" s="907">
        <f t="shared" ref="AJ21:AJ84" si="17">$D$3</f>
        <v>0.4</v>
      </c>
      <c r="AK21" s="906">
        <f t="shared" ref="AK21:AK84" si="18">AH21*AJ21*AI21*$D$4</f>
        <v>0</v>
      </c>
      <c r="AL21" s="906">
        <f t="shared" ref="AL21:AL84" si="19">AK21*$D$10</f>
        <v>0</v>
      </c>
      <c r="AM21" s="286">
        <f t="shared" ref="AM21:AM84" si="20">AK21*(1-$D$10)</f>
        <v>0</v>
      </c>
      <c r="AN21" s="906">
        <f t="shared" ref="AN21:AN84" si="21">AL21+(AN20*$D$8)</f>
        <v>0</v>
      </c>
      <c r="AO21" s="906">
        <f t="shared" ref="AO21:AO84" si="22">AM21+AN20*(1-$D$8)</f>
        <v>0</v>
      </c>
      <c r="AP21" s="1072">
        <f t="shared" ref="AP21:AP84" si="23">AO21*16/12*$D$11</f>
        <v>0</v>
      </c>
      <c r="AR21" s="914">
        <v>0</v>
      </c>
      <c r="AS21" s="907">
        <v>1</v>
      </c>
      <c r="AT21" s="907">
        <f t="shared" ref="AT21:AT84" si="24">$E$3</f>
        <v>0.05</v>
      </c>
      <c r="AU21" s="906">
        <f t="shared" ref="AU21:AU84" si="25">AR21*AT21*AS21*$E$4</f>
        <v>0</v>
      </c>
      <c r="AV21" s="906">
        <f t="shared" ref="AV21:AV84" si="26">AU21*$E$10</f>
        <v>0</v>
      </c>
      <c r="AW21" s="286">
        <f t="shared" ref="AW21:AW84" si="27">AU21*(1-$C$10)</f>
        <v>0</v>
      </c>
      <c r="AX21" s="906">
        <f t="shared" ref="AX21:AX49" si="28">AV21+(AX20*$C$8)</f>
        <v>0</v>
      </c>
      <c r="AY21" s="906">
        <f t="shared" ref="AY21:AY69" si="29">AW21+AX20*(1-$C$8)</f>
        <v>0</v>
      </c>
      <c r="AZ21" s="1072">
        <f t="shared" ref="AZ21:AZ69" si="30">AY21*16/12*$C$11</f>
        <v>0</v>
      </c>
      <c r="BB21" s="300">
        <f t="shared" ref="BB21:BB84" si="31">V21</f>
        <v>3.5443539835638553</v>
      </c>
      <c r="BC21" s="301">
        <f t="shared" ref="BC21:BC84" si="32">AF21</f>
        <v>0</v>
      </c>
      <c r="BD21" s="1080">
        <f t="shared" ref="BD21:BD69" si="33">AZ21</f>
        <v>0</v>
      </c>
      <c r="BE21" s="301">
        <f t="shared" ref="BE21:BE83" si="34">SUM(BB21:BD21)</f>
        <v>3.5443539835638553</v>
      </c>
      <c r="BF21" s="104">
        <v>0</v>
      </c>
      <c r="BG21" s="302">
        <f t="shared" ref="BG21:BG84" si="35">BE21-BF21</f>
        <v>3.5443539835638553</v>
      </c>
      <c r="BI21" s="300">
        <f t="shared" ref="BI21:BI84" si="36">V21</f>
        <v>3.5443539835638553</v>
      </c>
      <c r="BJ21" s="301">
        <f t="shared" ref="BJ21:BJ84" si="37">AP21</f>
        <v>0</v>
      </c>
      <c r="BK21" s="1080">
        <f t="shared" ref="BK21:BK84" si="38">AZ21</f>
        <v>0</v>
      </c>
      <c r="BL21" s="301">
        <f t="shared" ref="BL21:BL83" si="39">SUM(BI21:BK21)</f>
        <v>3.5443539835638553</v>
      </c>
      <c r="BM21" s="104">
        <v>0</v>
      </c>
      <c r="BN21" s="302">
        <f t="shared" ref="BN21:BN84" si="40">BL21-BM21</f>
        <v>3.5443539835638553</v>
      </c>
    </row>
    <row r="22" spans="1:66">
      <c r="A22" s="873">
        <f>'Input data'!A52</f>
        <v>1952</v>
      </c>
      <c r="B22" s="865">
        <f>'Input data'!B52</f>
        <v>5.7129272200000001</v>
      </c>
      <c r="C22" s="865">
        <f>'Baseline data (from input)'!B8</f>
        <v>578.73</v>
      </c>
      <c r="D22" s="777">
        <f>'Baseline data (from input)'!T8</f>
        <v>0.8</v>
      </c>
      <c r="E22" s="777">
        <f t="shared" ref="E22:K37" si="41">E21</f>
        <v>0.24001298204245269</v>
      </c>
      <c r="F22" s="777">
        <f t="shared" si="0"/>
        <v>0.30440139352934503</v>
      </c>
      <c r="G22" s="777">
        <f t="shared" si="0"/>
        <v>5.8998240613430578E-2</v>
      </c>
      <c r="H22" s="777">
        <f t="shared" si="0"/>
        <v>0</v>
      </c>
      <c r="I22" s="777">
        <f t="shared" si="0"/>
        <v>0</v>
      </c>
      <c r="J22" s="777">
        <f t="shared" si="0"/>
        <v>0</v>
      </c>
      <c r="K22" s="777">
        <f t="shared" si="0"/>
        <v>0.39658738381477154</v>
      </c>
      <c r="L22" s="874">
        <f t="shared" ref="L22:L85" si="42">SUM(E22:K22)</f>
        <v>0.99999999999999989</v>
      </c>
      <c r="M22" s="102"/>
      <c r="N22" s="914">
        <f t="shared" si="1"/>
        <v>2644.9938960244804</v>
      </c>
      <c r="O22" s="907">
        <f>Parameters!R123</f>
        <v>0.73</v>
      </c>
      <c r="P22" s="90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906">
        <f t="shared" si="2"/>
        <v>116.31560519861652</v>
      </c>
      <c r="R22" s="906">
        <f t="shared" si="3"/>
        <v>116.31560519861652</v>
      </c>
      <c r="S22" s="286">
        <f t="shared" si="4"/>
        <v>0</v>
      </c>
      <c r="T22" s="906">
        <f t="shared" si="5"/>
        <v>322.23552797817371</v>
      </c>
      <c r="U22" s="906">
        <f t="shared" si="6"/>
        <v>10.557740206574103</v>
      </c>
      <c r="V22" s="1072">
        <f t="shared" si="7"/>
        <v>7.038493471049402</v>
      </c>
      <c r="W22" s="1450">
        <f t="shared" si="8"/>
        <v>0.13527885904981399</v>
      </c>
      <c r="X22" s="914">
        <f>'Baseline data (from input)'!AS8*W22</f>
        <v>0</v>
      </c>
      <c r="Y22" s="907">
        <f>Parameters!S123</f>
        <v>0.71500000000000008</v>
      </c>
      <c r="Z22" s="907">
        <f t="shared" si="9"/>
        <v>0.4</v>
      </c>
      <c r="AA22" s="906">
        <f t="shared" si="10"/>
        <v>0</v>
      </c>
      <c r="AB22" s="906">
        <f t="shared" si="11"/>
        <v>0</v>
      </c>
      <c r="AC22" s="286">
        <f t="shared" si="12"/>
        <v>0</v>
      </c>
      <c r="AD22" s="906">
        <f t="shared" si="13"/>
        <v>0</v>
      </c>
      <c r="AE22" s="906">
        <f t="shared" si="14"/>
        <v>0</v>
      </c>
      <c r="AF22" s="1072">
        <f t="shared" si="15"/>
        <v>0</v>
      </c>
      <c r="AG22" s="1450">
        <f t="shared" si="16"/>
        <v>0.13527885904981399</v>
      </c>
      <c r="AH22" s="914">
        <f>'Baseline data (from input)'!AS8*AG22</f>
        <v>0</v>
      </c>
      <c r="AI22" s="907">
        <f>Parameters!S123</f>
        <v>0.71500000000000008</v>
      </c>
      <c r="AJ22" s="907">
        <f t="shared" si="17"/>
        <v>0.4</v>
      </c>
      <c r="AK22" s="906">
        <f t="shared" si="18"/>
        <v>0</v>
      </c>
      <c r="AL22" s="906">
        <f t="shared" si="19"/>
        <v>0</v>
      </c>
      <c r="AM22" s="286">
        <f t="shared" si="20"/>
        <v>0</v>
      </c>
      <c r="AN22" s="906">
        <f t="shared" si="21"/>
        <v>0</v>
      </c>
      <c r="AO22" s="906">
        <f t="shared" si="22"/>
        <v>0</v>
      </c>
      <c r="AP22" s="1072">
        <f t="shared" si="23"/>
        <v>0</v>
      </c>
      <c r="AR22" s="914">
        <v>0</v>
      </c>
      <c r="AS22" s="907">
        <v>1</v>
      </c>
      <c r="AT22" s="907">
        <f t="shared" si="24"/>
        <v>0.05</v>
      </c>
      <c r="AU22" s="906">
        <f t="shared" si="25"/>
        <v>0</v>
      </c>
      <c r="AV22" s="906">
        <f t="shared" si="26"/>
        <v>0</v>
      </c>
      <c r="AW22" s="286">
        <f t="shared" si="27"/>
        <v>0</v>
      </c>
      <c r="AX22" s="906">
        <f t="shared" si="28"/>
        <v>0</v>
      </c>
      <c r="AY22" s="906">
        <f t="shared" si="29"/>
        <v>0</v>
      </c>
      <c r="AZ22" s="1072">
        <f t="shared" si="30"/>
        <v>0</v>
      </c>
      <c r="BB22" s="300">
        <f t="shared" si="31"/>
        <v>7.038493471049402</v>
      </c>
      <c r="BC22" s="301">
        <f t="shared" si="32"/>
        <v>0</v>
      </c>
      <c r="BD22" s="1080">
        <f t="shared" si="33"/>
        <v>0</v>
      </c>
      <c r="BE22" s="301">
        <f t="shared" si="34"/>
        <v>7.038493471049402</v>
      </c>
      <c r="BF22" s="104">
        <v>0</v>
      </c>
      <c r="BG22" s="302">
        <f t="shared" si="35"/>
        <v>7.038493471049402</v>
      </c>
      <c r="BI22" s="300">
        <f t="shared" si="36"/>
        <v>7.038493471049402</v>
      </c>
      <c r="BJ22" s="301">
        <f t="shared" si="37"/>
        <v>0</v>
      </c>
      <c r="BK22" s="1080">
        <f t="shared" si="38"/>
        <v>0</v>
      </c>
      <c r="BL22" s="301">
        <f t="shared" si="39"/>
        <v>7.038493471049402</v>
      </c>
      <c r="BM22" s="104">
        <v>0</v>
      </c>
      <c r="BN22" s="302">
        <f t="shared" si="40"/>
        <v>7.038493471049402</v>
      </c>
    </row>
    <row r="23" spans="1:66">
      <c r="A23" s="873">
        <f>'Input data'!A53</f>
        <v>1953</v>
      </c>
      <c r="B23" s="865">
        <f>'Input data'!B53</f>
        <v>5.9284297800000001</v>
      </c>
      <c r="C23" s="865">
        <f>'Baseline data (from input)'!B9</f>
        <v>578.73</v>
      </c>
      <c r="D23" s="777">
        <f>'Baseline data (from input)'!T9</f>
        <v>0.8</v>
      </c>
      <c r="E23" s="777">
        <f t="shared" si="41"/>
        <v>0.24001298204245269</v>
      </c>
      <c r="F23" s="777">
        <f t="shared" si="0"/>
        <v>0.30440139352934503</v>
      </c>
      <c r="G23" s="777">
        <f t="shared" si="0"/>
        <v>5.8998240613430578E-2</v>
      </c>
      <c r="H23" s="777">
        <f t="shared" si="0"/>
        <v>0</v>
      </c>
      <c r="I23" s="777">
        <f t="shared" si="0"/>
        <v>0</v>
      </c>
      <c r="J23" s="777">
        <f t="shared" si="0"/>
        <v>0</v>
      </c>
      <c r="K23" s="777">
        <f t="shared" si="0"/>
        <v>0.39658738381477154</v>
      </c>
      <c r="L23" s="874">
        <f t="shared" si="42"/>
        <v>0.99999999999999989</v>
      </c>
      <c r="M23" s="102"/>
      <c r="N23" s="914">
        <f t="shared" si="1"/>
        <v>2744.7681332635202</v>
      </c>
      <c r="O23" s="907">
        <f>Parameters!R124</f>
        <v>0.73</v>
      </c>
      <c r="P23" s="90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906">
        <f t="shared" si="2"/>
        <v>120.70325267301428</v>
      </c>
      <c r="R23" s="906">
        <f t="shared" si="3"/>
        <v>120.70325267301428</v>
      </c>
      <c r="S23" s="286">
        <f t="shared" si="4"/>
        <v>0</v>
      </c>
      <c r="T23" s="906">
        <f t="shared" si="5"/>
        <v>427.22316850537618</v>
      </c>
      <c r="U23" s="906">
        <f t="shared" si="6"/>
        <v>15.715612145811802</v>
      </c>
      <c r="V23" s="1072">
        <f t="shared" si="7"/>
        <v>10.477074763874535</v>
      </c>
      <c r="W23" s="1450">
        <f t="shared" si="8"/>
        <v>0.13527885904981399</v>
      </c>
      <c r="X23" s="914">
        <f>'Baseline data (from input)'!AS9*W23</f>
        <v>0</v>
      </c>
      <c r="Y23" s="907">
        <f>Parameters!S124</f>
        <v>0.71500000000000008</v>
      </c>
      <c r="Z23" s="907">
        <f t="shared" si="9"/>
        <v>0.4</v>
      </c>
      <c r="AA23" s="906">
        <f t="shared" si="10"/>
        <v>0</v>
      </c>
      <c r="AB23" s="906">
        <f t="shared" si="11"/>
        <v>0</v>
      </c>
      <c r="AC23" s="286">
        <f t="shared" si="12"/>
        <v>0</v>
      </c>
      <c r="AD23" s="906">
        <f t="shared" si="13"/>
        <v>0</v>
      </c>
      <c r="AE23" s="906">
        <f t="shared" si="14"/>
        <v>0</v>
      </c>
      <c r="AF23" s="1072">
        <f t="shared" si="15"/>
        <v>0</v>
      </c>
      <c r="AG23" s="1450">
        <f t="shared" si="16"/>
        <v>0.13527885904981399</v>
      </c>
      <c r="AH23" s="914">
        <f>'Baseline data (from input)'!AS9*AG23</f>
        <v>0</v>
      </c>
      <c r="AI23" s="907">
        <f>Parameters!S124</f>
        <v>0.71500000000000008</v>
      </c>
      <c r="AJ23" s="907">
        <f t="shared" si="17"/>
        <v>0.4</v>
      </c>
      <c r="AK23" s="906">
        <f t="shared" si="18"/>
        <v>0</v>
      </c>
      <c r="AL23" s="906">
        <f t="shared" si="19"/>
        <v>0</v>
      </c>
      <c r="AM23" s="286">
        <f t="shared" si="20"/>
        <v>0</v>
      </c>
      <c r="AN23" s="906">
        <f t="shared" si="21"/>
        <v>0</v>
      </c>
      <c r="AO23" s="906">
        <f t="shared" si="22"/>
        <v>0</v>
      </c>
      <c r="AP23" s="1072">
        <f t="shared" si="23"/>
        <v>0</v>
      </c>
      <c r="AR23" s="914">
        <v>0</v>
      </c>
      <c r="AS23" s="907">
        <v>1</v>
      </c>
      <c r="AT23" s="907">
        <f t="shared" si="24"/>
        <v>0.05</v>
      </c>
      <c r="AU23" s="906">
        <f t="shared" si="25"/>
        <v>0</v>
      </c>
      <c r="AV23" s="906">
        <f t="shared" si="26"/>
        <v>0</v>
      </c>
      <c r="AW23" s="286">
        <f t="shared" si="27"/>
        <v>0</v>
      </c>
      <c r="AX23" s="906">
        <f t="shared" si="28"/>
        <v>0</v>
      </c>
      <c r="AY23" s="906">
        <f t="shared" si="29"/>
        <v>0</v>
      </c>
      <c r="AZ23" s="1072">
        <f t="shared" si="30"/>
        <v>0</v>
      </c>
      <c r="BB23" s="300">
        <f t="shared" si="31"/>
        <v>10.477074763874535</v>
      </c>
      <c r="BC23" s="301">
        <f t="shared" si="32"/>
        <v>0</v>
      </c>
      <c r="BD23" s="1080">
        <f t="shared" si="33"/>
        <v>0</v>
      </c>
      <c r="BE23" s="301">
        <f t="shared" si="34"/>
        <v>10.477074763874535</v>
      </c>
      <c r="BF23" s="104">
        <v>0</v>
      </c>
      <c r="BG23" s="302">
        <f t="shared" si="35"/>
        <v>10.477074763874535</v>
      </c>
      <c r="BI23" s="300">
        <f t="shared" si="36"/>
        <v>10.477074763874535</v>
      </c>
      <c r="BJ23" s="301">
        <f t="shared" si="37"/>
        <v>0</v>
      </c>
      <c r="BK23" s="1080">
        <f t="shared" si="38"/>
        <v>0</v>
      </c>
      <c r="BL23" s="301">
        <f t="shared" si="39"/>
        <v>10.477074763874535</v>
      </c>
      <c r="BM23" s="104">
        <v>0</v>
      </c>
      <c r="BN23" s="302">
        <f t="shared" si="40"/>
        <v>10.477074763874535</v>
      </c>
    </row>
    <row r="24" spans="1:66">
      <c r="A24" s="873">
        <f>'Input data'!A54</f>
        <v>1954</v>
      </c>
      <c r="B24" s="865">
        <f>'Input data'!B54</f>
        <v>6.1065695599999996</v>
      </c>
      <c r="C24" s="865">
        <f>'Baseline data (from input)'!B10</f>
        <v>578.73</v>
      </c>
      <c r="D24" s="777">
        <f>'Baseline data (from input)'!T10</f>
        <v>0.8</v>
      </c>
      <c r="E24" s="777">
        <f t="shared" si="41"/>
        <v>0.24001298204245269</v>
      </c>
      <c r="F24" s="777">
        <f t="shared" si="0"/>
        <v>0.30440139352934503</v>
      </c>
      <c r="G24" s="777">
        <f t="shared" si="0"/>
        <v>5.8998240613430578E-2</v>
      </c>
      <c r="H24" s="777">
        <f t="shared" si="0"/>
        <v>0</v>
      </c>
      <c r="I24" s="777">
        <f t="shared" si="0"/>
        <v>0</v>
      </c>
      <c r="J24" s="777">
        <f t="shared" si="0"/>
        <v>0</v>
      </c>
      <c r="K24" s="777">
        <f t="shared" si="0"/>
        <v>0.39658738381477154</v>
      </c>
      <c r="L24" s="874">
        <f t="shared" si="42"/>
        <v>0.99999999999999989</v>
      </c>
      <c r="M24" s="102"/>
      <c r="N24" s="914">
        <f t="shared" si="1"/>
        <v>2827.2440011670401</v>
      </c>
      <c r="O24" s="907">
        <f>Parameters!R125</f>
        <v>0.73</v>
      </c>
      <c r="P24" s="90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906">
        <f t="shared" si="2"/>
        <v>124.33019128481902</v>
      </c>
      <c r="R24" s="906">
        <f t="shared" si="3"/>
        <v>124.33019128481902</v>
      </c>
      <c r="S24" s="286">
        <f t="shared" si="4"/>
        <v>0</v>
      </c>
      <c r="T24" s="906">
        <f t="shared" si="5"/>
        <v>530.71743999555952</v>
      </c>
      <c r="U24" s="906">
        <f t="shared" si="6"/>
        <v>20.835919794635625</v>
      </c>
      <c r="V24" s="1072">
        <f t="shared" si="7"/>
        <v>13.89061319642375</v>
      </c>
      <c r="W24" s="1450">
        <f t="shared" si="8"/>
        <v>0.13527885904981399</v>
      </c>
      <c r="X24" s="914">
        <f>'Baseline data (from input)'!AS10*W24</f>
        <v>0</v>
      </c>
      <c r="Y24" s="907">
        <f>Parameters!S125</f>
        <v>0.71500000000000008</v>
      </c>
      <c r="Z24" s="907">
        <f t="shared" si="9"/>
        <v>0.4</v>
      </c>
      <c r="AA24" s="906">
        <f t="shared" si="10"/>
        <v>0</v>
      </c>
      <c r="AB24" s="906">
        <f t="shared" si="11"/>
        <v>0</v>
      </c>
      <c r="AC24" s="286">
        <f t="shared" si="12"/>
        <v>0</v>
      </c>
      <c r="AD24" s="906">
        <f t="shared" si="13"/>
        <v>0</v>
      </c>
      <c r="AE24" s="906">
        <f t="shared" si="14"/>
        <v>0</v>
      </c>
      <c r="AF24" s="1072">
        <f t="shared" si="15"/>
        <v>0</v>
      </c>
      <c r="AG24" s="1450">
        <f t="shared" si="16"/>
        <v>0.13527885904981399</v>
      </c>
      <c r="AH24" s="914">
        <f>'Baseline data (from input)'!AS10*AG24</f>
        <v>0</v>
      </c>
      <c r="AI24" s="907">
        <f>Parameters!S125</f>
        <v>0.71500000000000008</v>
      </c>
      <c r="AJ24" s="907">
        <f t="shared" si="17"/>
        <v>0.4</v>
      </c>
      <c r="AK24" s="906">
        <f t="shared" si="18"/>
        <v>0</v>
      </c>
      <c r="AL24" s="906">
        <f t="shared" si="19"/>
        <v>0</v>
      </c>
      <c r="AM24" s="286">
        <f t="shared" si="20"/>
        <v>0</v>
      </c>
      <c r="AN24" s="906">
        <f t="shared" si="21"/>
        <v>0</v>
      </c>
      <c r="AO24" s="906">
        <f t="shared" si="22"/>
        <v>0</v>
      </c>
      <c r="AP24" s="1072">
        <f t="shared" si="23"/>
        <v>0</v>
      </c>
      <c r="AR24" s="914">
        <v>0</v>
      </c>
      <c r="AS24" s="907">
        <v>1</v>
      </c>
      <c r="AT24" s="907">
        <f t="shared" si="24"/>
        <v>0.05</v>
      </c>
      <c r="AU24" s="906">
        <f t="shared" si="25"/>
        <v>0</v>
      </c>
      <c r="AV24" s="906">
        <f t="shared" si="26"/>
        <v>0</v>
      </c>
      <c r="AW24" s="286">
        <f t="shared" si="27"/>
        <v>0</v>
      </c>
      <c r="AX24" s="906">
        <f t="shared" si="28"/>
        <v>0</v>
      </c>
      <c r="AY24" s="906">
        <f t="shared" si="29"/>
        <v>0</v>
      </c>
      <c r="AZ24" s="1072">
        <f t="shared" si="30"/>
        <v>0</v>
      </c>
      <c r="BB24" s="300">
        <f t="shared" si="31"/>
        <v>13.89061319642375</v>
      </c>
      <c r="BC24" s="301">
        <f t="shared" si="32"/>
        <v>0</v>
      </c>
      <c r="BD24" s="1080">
        <f t="shared" si="33"/>
        <v>0</v>
      </c>
      <c r="BE24" s="301">
        <f t="shared" si="34"/>
        <v>13.89061319642375</v>
      </c>
      <c r="BF24" s="104">
        <v>0</v>
      </c>
      <c r="BG24" s="302">
        <f t="shared" si="35"/>
        <v>13.89061319642375</v>
      </c>
      <c r="BI24" s="300">
        <f t="shared" si="36"/>
        <v>13.89061319642375</v>
      </c>
      <c r="BJ24" s="301">
        <f t="shared" si="37"/>
        <v>0</v>
      </c>
      <c r="BK24" s="1080">
        <f t="shared" si="38"/>
        <v>0</v>
      </c>
      <c r="BL24" s="301">
        <f t="shared" si="39"/>
        <v>13.89061319642375</v>
      </c>
      <c r="BM24" s="104">
        <v>0</v>
      </c>
      <c r="BN24" s="302">
        <f t="shared" si="40"/>
        <v>13.89061319642375</v>
      </c>
    </row>
    <row r="25" spans="1:66">
      <c r="A25" s="873">
        <f>'Input data'!A55</f>
        <v>1955</v>
      </c>
      <c r="B25" s="865">
        <f>'Input data'!B55</f>
        <v>6.2725644799999998</v>
      </c>
      <c r="C25" s="865">
        <f>'Baseline data (from input)'!B11</f>
        <v>578.73</v>
      </c>
      <c r="D25" s="777">
        <f>'Baseline data (from input)'!T11</f>
        <v>0.8</v>
      </c>
      <c r="E25" s="777">
        <f t="shared" si="41"/>
        <v>0.24001298204245269</v>
      </c>
      <c r="F25" s="777">
        <f t="shared" si="0"/>
        <v>0.30440139352934503</v>
      </c>
      <c r="G25" s="777">
        <f t="shared" si="0"/>
        <v>5.8998240613430578E-2</v>
      </c>
      <c r="H25" s="777">
        <f t="shared" si="0"/>
        <v>0</v>
      </c>
      <c r="I25" s="777">
        <f t="shared" si="0"/>
        <v>0</v>
      </c>
      <c r="J25" s="777">
        <f t="shared" si="0"/>
        <v>0</v>
      </c>
      <c r="K25" s="777">
        <f t="shared" si="0"/>
        <v>0.39658738381477154</v>
      </c>
      <c r="L25" s="874">
        <f t="shared" si="42"/>
        <v>0.99999999999999989</v>
      </c>
      <c r="M25" s="102"/>
      <c r="N25" s="914">
        <f t="shared" si="1"/>
        <v>2904.0969932083203</v>
      </c>
      <c r="O25" s="907">
        <f>Parameters!R126</f>
        <v>0.73</v>
      </c>
      <c r="P25" s="90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906">
        <f t="shared" si="2"/>
        <v>127.70985968180169</v>
      </c>
      <c r="R25" s="906">
        <f t="shared" si="3"/>
        <v>127.70985968180169</v>
      </c>
      <c r="S25" s="286">
        <f t="shared" si="4"/>
        <v>0</v>
      </c>
      <c r="T25" s="906">
        <f t="shared" si="5"/>
        <v>632.54390470126998</v>
      </c>
      <c r="U25" s="906">
        <f t="shared" si="6"/>
        <v>25.883394976091214</v>
      </c>
      <c r="V25" s="1072">
        <f t="shared" si="7"/>
        <v>17.255596650727476</v>
      </c>
      <c r="W25" s="1450">
        <f t="shared" si="8"/>
        <v>0.13527885904981399</v>
      </c>
      <c r="X25" s="914">
        <f>'Baseline data (from input)'!AS11*W25</f>
        <v>0</v>
      </c>
      <c r="Y25" s="907">
        <f>Parameters!S126</f>
        <v>0.71500000000000008</v>
      </c>
      <c r="Z25" s="907">
        <f t="shared" si="9"/>
        <v>0.4</v>
      </c>
      <c r="AA25" s="906">
        <f t="shared" si="10"/>
        <v>0</v>
      </c>
      <c r="AB25" s="906">
        <f t="shared" si="11"/>
        <v>0</v>
      </c>
      <c r="AC25" s="286">
        <f t="shared" si="12"/>
        <v>0</v>
      </c>
      <c r="AD25" s="906">
        <f t="shared" si="13"/>
        <v>0</v>
      </c>
      <c r="AE25" s="906">
        <f t="shared" si="14"/>
        <v>0</v>
      </c>
      <c r="AF25" s="1072">
        <f t="shared" si="15"/>
        <v>0</v>
      </c>
      <c r="AG25" s="1450">
        <f t="shared" si="16"/>
        <v>0.13527885904981399</v>
      </c>
      <c r="AH25" s="914">
        <f>'Baseline data (from input)'!AS11*AG25</f>
        <v>0</v>
      </c>
      <c r="AI25" s="907">
        <f>Parameters!S126</f>
        <v>0.71500000000000008</v>
      </c>
      <c r="AJ25" s="907">
        <f t="shared" si="17"/>
        <v>0.4</v>
      </c>
      <c r="AK25" s="906">
        <f t="shared" si="18"/>
        <v>0</v>
      </c>
      <c r="AL25" s="906">
        <f t="shared" si="19"/>
        <v>0</v>
      </c>
      <c r="AM25" s="286">
        <f t="shared" si="20"/>
        <v>0</v>
      </c>
      <c r="AN25" s="906">
        <f t="shared" si="21"/>
        <v>0</v>
      </c>
      <c r="AO25" s="906">
        <f t="shared" si="22"/>
        <v>0</v>
      </c>
      <c r="AP25" s="1072">
        <f t="shared" si="23"/>
        <v>0</v>
      </c>
      <c r="AR25" s="914">
        <v>0</v>
      </c>
      <c r="AS25" s="907">
        <v>1</v>
      </c>
      <c r="AT25" s="907">
        <f t="shared" si="24"/>
        <v>0.05</v>
      </c>
      <c r="AU25" s="906">
        <f t="shared" si="25"/>
        <v>0</v>
      </c>
      <c r="AV25" s="906">
        <f t="shared" si="26"/>
        <v>0</v>
      </c>
      <c r="AW25" s="286">
        <f t="shared" si="27"/>
        <v>0</v>
      </c>
      <c r="AX25" s="906">
        <f t="shared" si="28"/>
        <v>0</v>
      </c>
      <c r="AY25" s="906">
        <f t="shared" si="29"/>
        <v>0</v>
      </c>
      <c r="AZ25" s="1072">
        <f t="shared" si="30"/>
        <v>0</v>
      </c>
      <c r="BB25" s="300">
        <f t="shared" si="31"/>
        <v>17.255596650727476</v>
      </c>
      <c r="BC25" s="301">
        <f t="shared" si="32"/>
        <v>0</v>
      </c>
      <c r="BD25" s="1080">
        <f t="shared" si="33"/>
        <v>0</v>
      </c>
      <c r="BE25" s="301">
        <f t="shared" si="34"/>
        <v>17.255596650727476</v>
      </c>
      <c r="BF25" s="104">
        <v>0</v>
      </c>
      <c r="BG25" s="302">
        <f t="shared" si="35"/>
        <v>17.255596650727476</v>
      </c>
      <c r="BI25" s="300">
        <f t="shared" si="36"/>
        <v>17.255596650727476</v>
      </c>
      <c r="BJ25" s="301">
        <f t="shared" si="37"/>
        <v>0</v>
      </c>
      <c r="BK25" s="1080">
        <f t="shared" si="38"/>
        <v>0</v>
      </c>
      <c r="BL25" s="301">
        <f t="shared" si="39"/>
        <v>17.255596650727476</v>
      </c>
      <c r="BM25" s="104">
        <v>0</v>
      </c>
      <c r="BN25" s="302">
        <f t="shared" si="40"/>
        <v>17.255596650727476</v>
      </c>
    </row>
    <row r="26" spans="1:66">
      <c r="A26" s="873">
        <f>'Input data'!A56</f>
        <v>1956</v>
      </c>
      <c r="B26" s="865">
        <f>'Input data'!B56</f>
        <v>6.4651860000000001</v>
      </c>
      <c r="C26" s="865">
        <f>'Baseline data (from input)'!B12</f>
        <v>578.73</v>
      </c>
      <c r="D26" s="777">
        <f>'Baseline data (from input)'!T12</f>
        <v>0.8</v>
      </c>
      <c r="E26" s="777">
        <f t="shared" si="41"/>
        <v>0.24001298204245269</v>
      </c>
      <c r="F26" s="777">
        <f t="shared" si="0"/>
        <v>0.30440139352934503</v>
      </c>
      <c r="G26" s="777">
        <f t="shared" si="0"/>
        <v>5.8998240613430578E-2</v>
      </c>
      <c r="H26" s="777">
        <f t="shared" si="0"/>
        <v>0</v>
      </c>
      <c r="I26" s="777">
        <f t="shared" si="0"/>
        <v>0</v>
      </c>
      <c r="J26" s="777">
        <f t="shared" si="0"/>
        <v>0</v>
      </c>
      <c r="K26" s="777">
        <f t="shared" si="0"/>
        <v>0.39658738381477154</v>
      </c>
      <c r="L26" s="874">
        <f t="shared" si="42"/>
        <v>0.99999999999999989</v>
      </c>
      <c r="M26" s="102"/>
      <c r="N26" s="914">
        <f t="shared" si="1"/>
        <v>2993.2776750240005</v>
      </c>
      <c r="O26" s="907">
        <f>Parameters!R127</f>
        <v>0.73</v>
      </c>
      <c r="P26" s="90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906">
        <f t="shared" si="2"/>
        <v>131.63164755171215</v>
      </c>
      <c r="R26" s="906">
        <f t="shared" si="3"/>
        <v>131.63164755171215</v>
      </c>
      <c r="S26" s="286">
        <f t="shared" si="4"/>
        <v>0</v>
      </c>
      <c r="T26" s="906">
        <f t="shared" si="5"/>
        <v>733.32602199213568</v>
      </c>
      <c r="U26" s="906">
        <f t="shared" si="6"/>
        <v>30.849530260846446</v>
      </c>
      <c r="V26" s="1072">
        <f t="shared" si="7"/>
        <v>20.566353507230964</v>
      </c>
      <c r="W26" s="1450">
        <f t="shared" si="8"/>
        <v>0.13527885904981399</v>
      </c>
      <c r="X26" s="914">
        <f>'Baseline data (from input)'!AS12*W26</f>
        <v>0</v>
      </c>
      <c r="Y26" s="907">
        <f>Parameters!S127</f>
        <v>0.71500000000000008</v>
      </c>
      <c r="Z26" s="907">
        <f t="shared" si="9"/>
        <v>0.4</v>
      </c>
      <c r="AA26" s="906">
        <f t="shared" si="10"/>
        <v>0</v>
      </c>
      <c r="AB26" s="906">
        <f t="shared" si="11"/>
        <v>0</v>
      </c>
      <c r="AC26" s="286">
        <f t="shared" si="12"/>
        <v>0</v>
      </c>
      <c r="AD26" s="906">
        <f t="shared" si="13"/>
        <v>0</v>
      </c>
      <c r="AE26" s="906">
        <f t="shared" si="14"/>
        <v>0</v>
      </c>
      <c r="AF26" s="1072">
        <f t="shared" si="15"/>
        <v>0</v>
      </c>
      <c r="AG26" s="1450">
        <f t="shared" si="16"/>
        <v>0.13527885904981399</v>
      </c>
      <c r="AH26" s="914">
        <f>'Baseline data (from input)'!AS12*AG26</f>
        <v>0</v>
      </c>
      <c r="AI26" s="907">
        <f>Parameters!S127</f>
        <v>0.71500000000000008</v>
      </c>
      <c r="AJ26" s="907">
        <f t="shared" si="17"/>
        <v>0.4</v>
      </c>
      <c r="AK26" s="906">
        <f t="shared" si="18"/>
        <v>0</v>
      </c>
      <c r="AL26" s="906">
        <f t="shared" si="19"/>
        <v>0</v>
      </c>
      <c r="AM26" s="286">
        <f t="shared" si="20"/>
        <v>0</v>
      </c>
      <c r="AN26" s="906">
        <f t="shared" si="21"/>
        <v>0</v>
      </c>
      <c r="AO26" s="906">
        <f t="shared" si="22"/>
        <v>0</v>
      </c>
      <c r="AP26" s="1072">
        <f t="shared" si="23"/>
        <v>0</v>
      </c>
      <c r="AR26" s="914">
        <v>0</v>
      </c>
      <c r="AS26" s="907">
        <v>1</v>
      </c>
      <c r="AT26" s="907">
        <f t="shared" si="24"/>
        <v>0.05</v>
      </c>
      <c r="AU26" s="906">
        <f t="shared" si="25"/>
        <v>0</v>
      </c>
      <c r="AV26" s="906">
        <f t="shared" si="26"/>
        <v>0</v>
      </c>
      <c r="AW26" s="286">
        <f t="shared" si="27"/>
        <v>0</v>
      </c>
      <c r="AX26" s="906">
        <f t="shared" si="28"/>
        <v>0</v>
      </c>
      <c r="AY26" s="906">
        <f t="shared" si="29"/>
        <v>0</v>
      </c>
      <c r="AZ26" s="1072">
        <f t="shared" si="30"/>
        <v>0</v>
      </c>
      <c r="BB26" s="300">
        <f t="shared" si="31"/>
        <v>20.566353507230964</v>
      </c>
      <c r="BC26" s="301">
        <f t="shared" si="32"/>
        <v>0</v>
      </c>
      <c r="BD26" s="1080">
        <f t="shared" si="33"/>
        <v>0</v>
      </c>
      <c r="BE26" s="301">
        <f t="shared" si="34"/>
        <v>20.566353507230964</v>
      </c>
      <c r="BF26" s="104">
        <v>0</v>
      </c>
      <c r="BG26" s="302">
        <f t="shared" si="35"/>
        <v>20.566353507230964</v>
      </c>
      <c r="BI26" s="300">
        <f t="shared" si="36"/>
        <v>20.566353507230964</v>
      </c>
      <c r="BJ26" s="301">
        <f t="shared" si="37"/>
        <v>0</v>
      </c>
      <c r="BK26" s="1080">
        <f t="shared" si="38"/>
        <v>0</v>
      </c>
      <c r="BL26" s="301">
        <f t="shared" si="39"/>
        <v>20.566353507230964</v>
      </c>
      <c r="BM26" s="104">
        <v>0</v>
      </c>
      <c r="BN26" s="302">
        <f t="shared" si="40"/>
        <v>20.566353507230964</v>
      </c>
    </row>
    <row r="27" spans="1:66">
      <c r="A27" s="873">
        <f>'Input data'!A57</f>
        <v>1957</v>
      </c>
      <c r="B27" s="865">
        <f>'Input data'!B57</f>
        <v>6.6592707999999998</v>
      </c>
      <c r="C27" s="865">
        <f>'Baseline data (from input)'!B13</f>
        <v>578.73</v>
      </c>
      <c r="D27" s="777">
        <f>'Baseline data (from input)'!T13</f>
        <v>0.8</v>
      </c>
      <c r="E27" s="777">
        <f t="shared" si="41"/>
        <v>0.24001298204245269</v>
      </c>
      <c r="F27" s="777">
        <f t="shared" si="0"/>
        <v>0.30440139352934503</v>
      </c>
      <c r="G27" s="777">
        <f t="shared" si="0"/>
        <v>5.8998240613430578E-2</v>
      </c>
      <c r="H27" s="777">
        <f t="shared" si="0"/>
        <v>0</v>
      </c>
      <c r="I27" s="777">
        <f t="shared" si="0"/>
        <v>0</v>
      </c>
      <c r="J27" s="777">
        <f t="shared" si="0"/>
        <v>0</v>
      </c>
      <c r="K27" s="777">
        <f t="shared" si="0"/>
        <v>0.39658738381477154</v>
      </c>
      <c r="L27" s="874">
        <f t="shared" si="42"/>
        <v>0.99999999999999989</v>
      </c>
      <c r="M27" s="102"/>
      <c r="N27" s="914">
        <f t="shared" si="1"/>
        <v>3083.1358320672002</v>
      </c>
      <c r="O27" s="907">
        <f>Parameters!R128</f>
        <v>0.73</v>
      </c>
      <c r="P27" s="90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906">
        <f t="shared" si="2"/>
        <v>135.58322790666938</v>
      </c>
      <c r="R27" s="906">
        <f t="shared" si="3"/>
        <v>135.58322790666938</v>
      </c>
      <c r="S27" s="286">
        <f t="shared" si="4"/>
        <v>0</v>
      </c>
      <c r="T27" s="906">
        <f t="shared" si="5"/>
        <v>833.14451777764657</v>
      </c>
      <c r="U27" s="906">
        <f t="shared" si="6"/>
        <v>35.764732121158509</v>
      </c>
      <c r="V27" s="1072">
        <f t="shared" si="7"/>
        <v>23.843154747439005</v>
      </c>
      <c r="W27" s="1450">
        <f t="shared" si="8"/>
        <v>0.13527885904981399</v>
      </c>
      <c r="X27" s="914">
        <f>'Baseline data (from input)'!AS13*W27</f>
        <v>0</v>
      </c>
      <c r="Y27" s="907">
        <f>Parameters!S128</f>
        <v>0.71500000000000008</v>
      </c>
      <c r="Z27" s="907">
        <f t="shared" si="9"/>
        <v>0.4</v>
      </c>
      <c r="AA27" s="906">
        <f t="shared" si="10"/>
        <v>0</v>
      </c>
      <c r="AB27" s="906">
        <f t="shared" si="11"/>
        <v>0</v>
      </c>
      <c r="AC27" s="286">
        <f t="shared" si="12"/>
        <v>0</v>
      </c>
      <c r="AD27" s="906">
        <f t="shared" si="13"/>
        <v>0</v>
      </c>
      <c r="AE27" s="906">
        <f t="shared" si="14"/>
        <v>0</v>
      </c>
      <c r="AF27" s="1072">
        <f t="shared" si="15"/>
        <v>0</v>
      </c>
      <c r="AG27" s="1450">
        <f t="shared" si="16"/>
        <v>0.13527885904981399</v>
      </c>
      <c r="AH27" s="914">
        <f>'Baseline data (from input)'!AS13*AG27</f>
        <v>0</v>
      </c>
      <c r="AI27" s="907">
        <f>Parameters!S128</f>
        <v>0.71500000000000008</v>
      </c>
      <c r="AJ27" s="907">
        <f t="shared" si="17"/>
        <v>0.4</v>
      </c>
      <c r="AK27" s="906">
        <f t="shared" si="18"/>
        <v>0</v>
      </c>
      <c r="AL27" s="906">
        <f t="shared" si="19"/>
        <v>0</v>
      </c>
      <c r="AM27" s="286">
        <f t="shared" si="20"/>
        <v>0</v>
      </c>
      <c r="AN27" s="906">
        <f t="shared" si="21"/>
        <v>0</v>
      </c>
      <c r="AO27" s="906">
        <f t="shared" si="22"/>
        <v>0</v>
      </c>
      <c r="AP27" s="1072">
        <f t="shared" si="23"/>
        <v>0</v>
      </c>
      <c r="AR27" s="914">
        <v>0</v>
      </c>
      <c r="AS27" s="907">
        <v>1</v>
      </c>
      <c r="AT27" s="907">
        <f t="shared" si="24"/>
        <v>0.05</v>
      </c>
      <c r="AU27" s="906">
        <f t="shared" si="25"/>
        <v>0</v>
      </c>
      <c r="AV27" s="906">
        <f t="shared" si="26"/>
        <v>0</v>
      </c>
      <c r="AW27" s="286">
        <f t="shared" si="27"/>
        <v>0</v>
      </c>
      <c r="AX27" s="922">
        <f t="shared" si="28"/>
        <v>0</v>
      </c>
      <c r="AY27" s="922">
        <f t="shared" si="29"/>
        <v>0</v>
      </c>
      <c r="AZ27" s="1072">
        <f t="shared" si="30"/>
        <v>0</v>
      </c>
      <c r="BB27" s="300">
        <f t="shared" si="31"/>
        <v>23.843154747439005</v>
      </c>
      <c r="BC27" s="301">
        <f t="shared" si="32"/>
        <v>0</v>
      </c>
      <c r="BD27" s="1080">
        <f t="shared" si="33"/>
        <v>0</v>
      </c>
      <c r="BE27" s="301">
        <f t="shared" si="34"/>
        <v>23.843154747439005</v>
      </c>
      <c r="BF27" s="104">
        <v>0</v>
      </c>
      <c r="BG27" s="302">
        <f t="shared" si="35"/>
        <v>23.843154747439005</v>
      </c>
      <c r="BI27" s="300">
        <f t="shared" si="36"/>
        <v>23.843154747439005</v>
      </c>
      <c r="BJ27" s="301">
        <f t="shared" si="37"/>
        <v>0</v>
      </c>
      <c r="BK27" s="1080">
        <f t="shared" si="38"/>
        <v>0</v>
      </c>
      <c r="BL27" s="301">
        <f t="shared" si="39"/>
        <v>23.843154747439005</v>
      </c>
      <c r="BM27" s="104">
        <v>0</v>
      </c>
      <c r="BN27" s="302">
        <f t="shared" si="40"/>
        <v>23.843154747439005</v>
      </c>
    </row>
    <row r="28" spans="1:66">
      <c r="A28" s="873">
        <f>'Input data'!A58</f>
        <v>1958</v>
      </c>
      <c r="B28" s="865">
        <f>'Input data'!B58</f>
        <v>6.8699176</v>
      </c>
      <c r="C28" s="865">
        <f>'Baseline data (from input)'!B14</f>
        <v>578.73</v>
      </c>
      <c r="D28" s="777">
        <f>'Baseline data (from input)'!T14</f>
        <v>0.8</v>
      </c>
      <c r="E28" s="777">
        <f t="shared" si="41"/>
        <v>0.24001298204245269</v>
      </c>
      <c r="F28" s="777">
        <f t="shared" si="0"/>
        <v>0.30440139352934503</v>
      </c>
      <c r="G28" s="777">
        <f t="shared" si="0"/>
        <v>5.8998240613430578E-2</v>
      </c>
      <c r="H28" s="777">
        <f t="shared" si="0"/>
        <v>0</v>
      </c>
      <c r="I28" s="777">
        <f t="shared" si="0"/>
        <v>0</v>
      </c>
      <c r="J28" s="777">
        <f t="shared" si="0"/>
        <v>0</v>
      </c>
      <c r="K28" s="777">
        <f t="shared" si="0"/>
        <v>0.39658738381477154</v>
      </c>
      <c r="L28" s="874">
        <f t="shared" si="42"/>
        <v>0.99999999999999989</v>
      </c>
      <c r="M28" s="102"/>
      <c r="N28" s="914">
        <f t="shared" si="1"/>
        <v>3180.6619301184001</v>
      </c>
      <c r="O28" s="907">
        <f>Parameters!R129</f>
        <v>0.73</v>
      </c>
      <c r="P28" s="90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906">
        <f t="shared" si="2"/>
        <v>139.87201176153388</v>
      </c>
      <c r="R28" s="906">
        <f t="shared" si="3"/>
        <v>139.87201176153388</v>
      </c>
      <c r="S28" s="286">
        <f t="shared" si="4"/>
        <v>0</v>
      </c>
      <c r="T28" s="906">
        <f t="shared" si="5"/>
        <v>932.38359193308952</v>
      </c>
      <c r="U28" s="906">
        <f t="shared" si="6"/>
        <v>40.632937606090927</v>
      </c>
      <c r="V28" s="1072">
        <f t="shared" si="7"/>
        <v>27.088625070727286</v>
      </c>
      <c r="W28" s="1450">
        <f t="shared" si="8"/>
        <v>0.13527885904981399</v>
      </c>
      <c r="X28" s="914">
        <f>'Baseline data (from input)'!AS14*W28</f>
        <v>0</v>
      </c>
      <c r="Y28" s="907">
        <f>Parameters!S129</f>
        <v>0.71500000000000008</v>
      </c>
      <c r="Z28" s="907">
        <f t="shared" si="9"/>
        <v>0.4</v>
      </c>
      <c r="AA28" s="906">
        <f t="shared" si="10"/>
        <v>0</v>
      </c>
      <c r="AB28" s="906">
        <f t="shared" si="11"/>
        <v>0</v>
      </c>
      <c r="AC28" s="286">
        <f t="shared" si="12"/>
        <v>0</v>
      </c>
      <c r="AD28" s="906">
        <f t="shared" si="13"/>
        <v>0</v>
      </c>
      <c r="AE28" s="906">
        <f t="shared" si="14"/>
        <v>0</v>
      </c>
      <c r="AF28" s="1072">
        <f t="shared" si="15"/>
        <v>0</v>
      </c>
      <c r="AG28" s="1450">
        <f t="shared" si="16"/>
        <v>0.13527885904981399</v>
      </c>
      <c r="AH28" s="914">
        <f>'Baseline data (from input)'!AS14*AG28</f>
        <v>0</v>
      </c>
      <c r="AI28" s="907">
        <f>Parameters!S129</f>
        <v>0.71500000000000008</v>
      </c>
      <c r="AJ28" s="907">
        <f t="shared" si="17"/>
        <v>0.4</v>
      </c>
      <c r="AK28" s="906">
        <f t="shared" si="18"/>
        <v>0</v>
      </c>
      <c r="AL28" s="906">
        <f t="shared" si="19"/>
        <v>0</v>
      </c>
      <c r="AM28" s="286">
        <f t="shared" si="20"/>
        <v>0</v>
      </c>
      <c r="AN28" s="906">
        <f t="shared" si="21"/>
        <v>0</v>
      </c>
      <c r="AO28" s="906">
        <f t="shared" si="22"/>
        <v>0</v>
      </c>
      <c r="AP28" s="1072">
        <f t="shared" si="23"/>
        <v>0</v>
      </c>
      <c r="AR28" s="914">
        <v>0</v>
      </c>
      <c r="AS28" s="907">
        <v>1</v>
      </c>
      <c r="AT28" s="907">
        <f t="shared" si="24"/>
        <v>0.05</v>
      </c>
      <c r="AU28" s="906">
        <f t="shared" si="25"/>
        <v>0</v>
      </c>
      <c r="AV28" s="906">
        <f t="shared" si="26"/>
        <v>0</v>
      </c>
      <c r="AW28" s="286">
        <f t="shared" si="27"/>
        <v>0</v>
      </c>
      <c r="AX28" s="922">
        <f t="shared" si="28"/>
        <v>0</v>
      </c>
      <c r="AY28" s="922">
        <f t="shared" si="29"/>
        <v>0</v>
      </c>
      <c r="AZ28" s="1072">
        <f t="shared" si="30"/>
        <v>0</v>
      </c>
      <c r="BB28" s="300">
        <f t="shared" si="31"/>
        <v>27.088625070727286</v>
      </c>
      <c r="BC28" s="301">
        <f t="shared" si="32"/>
        <v>0</v>
      </c>
      <c r="BD28" s="1080">
        <f t="shared" si="33"/>
        <v>0</v>
      </c>
      <c r="BE28" s="301">
        <f t="shared" si="34"/>
        <v>27.088625070727286</v>
      </c>
      <c r="BF28" s="104">
        <v>0</v>
      </c>
      <c r="BG28" s="302">
        <f t="shared" si="35"/>
        <v>27.088625070727286</v>
      </c>
      <c r="BI28" s="300">
        <f t="shared" si="36"/>
        <v>27.088625070727286</v>
      </c>
      <c r="BJ28" s="301">
        <f t="shared" si="37"/>
        <v>0</v>
      </c>
      <c r="BK28" s="1080">
        <f t="shared" si="38"/>
        <v>0</v>
      </c>
      <c r="BL28" s="301">
        <f t="shared" si="39"/>
        <v>27.088625070727286</v>
      </c>
      <c r="BM28" s="104">
        <v>0</v>
      </c>
      <c r="BN28" s="302">
        <f t="shared" si="40"/>
        <v>27.088625070727286</v>
      </c>
    </row>
    <row r="29" spans="1:66">
      <c r="A29" s="873">
        <f>'Input data'!A59</f>
        <v>1959</v>
      </c>
      <c r="B29" s="865">
        <f>'Input data'!B59</f>
        <v>7.0827593200000001</v>
      </c>
      <c r="C29" s="865">
        <f>'Baseline data (from input)'!B15</f>
        <v>578.73</v>
      </c>
      <c r="D29" s="777">
        <f>'Baseline data (from input)'!T15</f>
        <v>0.8</v>
      </c>
      <c r="E29" s="777">
        <f t="shared" si="41"/>
        <v>0.24001298204245269</v>
      </c>
      <c r="F29" s="777">
        <f t="shared" si="0"/>
        <v>0.30440139352934503</v>
      </c>
      <c r="G29" s="777">
        <f t="shared" si="0"/>
        <v>5.8998240613430578E-2</v>
      </c>
      <c r="H29" s="777">
        <f t="shared" si="0"/>
        <v>0</v>
      </c>
      <c r="I29" s="777">
        <f t="shared" si="0"/>
        <v>0</v>
      </c>
      <c r="J29" s="777">
        <f t="shared" si="0"/>
        <v>0</v>
      </c>
      <c r="K29" s="777">
        <f t="shared" si="0"/>
        <v>0.39658738381477154</v>
      </c>
      <c r="L29" s="874">
        <f t="shared" si="42"/>
        <v>0.99999999999999989</v>
      </c>
      <c r="M29" s="102"/>
      <c r="N29" s="914">
        <f t="shared" si="1"/>
        <v>3279.2042410108802</v>
      </c>
      <c r="O29" s="907">
        <f>Parameters!R130</f>
        <v>0.73</v>
      </c>
      <c r="P29" s="90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906">
        <f t="shared" si="2"/>
        <v>144.20548434396852</v>
      </c>
      <c r="R29" s="906">
        <f t="shared" si="3"/>
        <v>144.20548434396852</v>
      </c>
      <c r="S29" s="286">
        <f t="shared" si="4"/>
        <v>0</v>
      </c>
      <c r="T29" s="906">
        <f t="shared" si="5"/>
        <v>1031.1161919123899</v>
      </c>
      <c r="U29" s="906">
        <f t="shared" si="6"/>
        <v>45.472884364668197</v>
      </c>
      <c r="V29" s="1072">
        <f t="shared" si="7"/>
        <v>30.315256243112131</v>
      </c>
      <c r="W29" s="1450">
        <f t="shared" si="8"/>
        <v>0.13527885904981399</v>
      </c>
      <c r="X29" s="914">
        <f>'Baseline data (from input)'!AS15*W29</f>
        <v>0</v>
      </c>
      <c r="Y29" s="907">
        <f>Parameters!S130</f>
        <v>0.71500000000000008</v>
      </c>
      <c r="Z29" s="907">
        <f t="shared" si="9"/>
        <v>0.4</v>
      </c>
      <c r="AA29" s="906">
        <f t="shared" si="10"/>
        <v>0</v>
      </c>
      <c r="AB29" s="906">
        <f t="shared" si="11"/>
        <v>0</v>
      </c>
      <c r="AC29" s="286">
        <f t="shared" si="12"/>
        <v>0</v>
      </c>
      <c r="AD29" s="906">
        <f t="shared" si="13"/>
        <v>0</v>
      </c>
      <c r="AE29" s="906">
        <f t="shared" si="14"/>
        <v>0</v>
      </c>
      <c r="AF29" s="1072">
        <f t="shared" si="15"/>
        <v>0</v>
      </c>
      <c r="AG29" s="1450">
        <f t="shared" si="16"/>
        <v>0.13527885904981399</v>
      </c>
      <c r="AH29" s="914">
        <f>'Baseline data (from input)'!AS15*AG29</f>
        <v>0</v>
      </c>
      <c r="AI29" s="907">
        <f>Parameters!S130</f>
        <v>0.71500000000000008</v>
      </c>
      <c r="AJ29" s="907">
        <f t="shared" si="17"/>
        <v>0.4</v>
      </c>
      <c r="AK29" s="906">
        <f t="shared" si="18"/>
        <v>0</v>
      </c>
      <c r="AL29" s="906">
        <f t="shared" si="19"/>
        <v>0</v>
      </c>
      <c r="AM29" s="286">
        <f t="shared" si="20"/>
        <v>0</v>
      </c>
      <c r="AN29" s="906">
        <f t="shared" si="21"/>
        <v>0</v>
      </c>
      <c r="AO29" s="906">
        <f t="shared" si="22"/>
        <v>0</v>
      </c>
      <c r="AP29" s="1072">
        <f t="shared" si="23"/>
        <v>0</v>
      </c>
      <c r="AR29" s="914">
        <v>0</v>
      </c>
      <c r="AS29" s="907">
        <v>1</v>
      </c>
      <c r="AT29" s="907">
        <f t="shared" si="24"/>
        <v>0.05</v>
      </c>
      <c r="AU29" s="906">
        <f t="shared" si="25"/>
        <v>0</v>
      </c>
      <c r="AV29" s="906">
        <f t="shared" si="26"/>
        <v>0</v>
      </c>
      <c r="AW29" s="286">
        <f t="shared" si="27"/>
        <v>0</v>
      </c>
      <c r="AX29" s="922">
        <f t="shared" si="28"/>
        <v>0</v>
      </c>
      <c r="AY29" s="922">
        <f t="shared" si="29"/>
        <v>0</v>
      </c>
      <c r="AZ29" s="1072">
        <f t="shared" si="30"/>
        <v>0</v>
      </c>
      <c r="BB29" s="300">
        <f t="shared" si="31"/>
        <v>30.315256243112131</v>
      </c>
      <c r="BC29" s="301">
        <f t="shared" si="32"/>
        <v>0</v>
      </c>
      <c r="BD29" s="1080">
        <f t="shared" si="33"/>
        <v>0</v>
      </c>
      <c r="BE29" s="301">
        <f t="shared" si="34"/>
        <v>30.315256243112131</v>
      </c>
      <c r="BF29" s="104">
        <v>0</v>
      </c>
      <c r="BG29" s="302">
        <f t="shared" si="35"/>
        <v>30.315256243112131</v>
      </c>
      <c r="BI29" s="300">
        <f t="shared" si="36"/>
        <v>30.315256243112131</v>
      </c>
      <c r="BJ29" s="301">
        <f t="shared" si="37"/>
        <v>0</v>
      </c>
      <c r="BK29" s="1080">
        <f t="shared" si="38"/>
        <v>0</v>
      </c>
      <c r="BL29" s="301">
        <f t="shared" si="39"/>
        <v>30.315256243112131</v>
      </c>
      <c r="BM29" s="104">
        <v>0</v>
      </c>
      <c r="BN29" s="302">
        <f t="shared" si="40"/>
        <v>30.315256243112131</v>
      </c>
    </row>
    <row r="30" spans="1:66">
      <c r="A30" s="873">
        <f>'Input data'!A60</f>
        <v>1960</v>
      </c>
      <c r="B30" s="865">
        <f>'Input data'!B60</f>
        <v>7.2819655999999995</v>
      </c>
      <c r="C30" s="865">
        <f>'Baseline data (from input)'!B16</f>
        <v>578.73</v>
      </c>
      <c r="D30" s="777">
        <f>'Baseline data (from input)'!T16</f>
        <v>0.8</v>
      </c>
      <c r="E30" s="777">
        <f t="shared" si="41"/>
        <v>0.24001298204245269</v>
      </c>
      <c r="F30" s="777">
        <f t="shared" si="0"/>
        <v>0.30440139352934503</v>
      </c>
      <c r="G30" s="777">
        <f t="shared" si="0"/>
        <v>5.8998240613430578E-2</v>
      </c>
      <c r="H30" s="777">
        <f t="shared" si="0"/>
        <v>0</v>
      </c>
      <c r="I30" s="777">
        <f t="shared" si="0"/>
        <v>0</v>
      </c>
      <c r="J30" s="777">
        <f t="shared" si="0"/>
        <v>0</v>
      </c>
      <c r="K30" s="777">
        <f t="shared" si="0"/>
        <v>0.39658738381477154</v>
      </c>
      <c r="L30" s="874">
        <f t="shared" si="42"/>
        <v>0.99999999999999989</v>
      </c>
      <c r="M30" s="102"/>
      <c r="N30" s="914">
        <f t="shared" si="1"/>
        <v>3371.4335613504004</v>
      </c>
      <c r="O30" s="907">
        <f>Parameters!R131</f>
        <v>0.73</v>
      </c>
      <c r="P30" s="90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906">
        <f t="shared" si="2"/>
        <v>148.26133839658939</v>
      </c>
      <c r="R30" s="906">
        <f t="shared" si="3"/>
        <v>148.26133839658939</v>
      </c>
      <c r="S30" s="286">
        <f t="shared" si="4"/>
        <v>0</v>
      </c>
      <c r="T30" s="906">
        <f t="shared" si="5"/>
        <v>1129.0894002227799</v>
      </c>
      <c r="U30" s="906">
        <f t="shared" si="6"/>
        <v>50.288130086199466</v>
      </c>
      <c r="V30" s="1072">
        <f t="shared" si="7"/>
        <v>33.525420057466313</v>
      </c>
      <c r="W30" s="1450">
        <f t="shared" si="8"/>
        <v>0.13527885904981399</v>
      </c>
      <c r="X30" s="914">
        <f>'Baseline data (from input)'!AS16*W30</f>
        <v>0</v>
      </c>
      <c r="Y30" s="907">
        <f>Parameters!S131</f>
        <v>0.71500000000000008</v>
      </c>
      <c r="Z30" s="907">
        <f t="shared" si="9"/>
        <v>0.4</v>
      </c>
      <c r="AA30" s="906">
        <f t="shared" si="10"/>
        <v>0</v>
      </c>
      <c r="AB30" s="906">
        <f t="shared" si="11"/>
        <v>0</v>
      </c>
      <c r="AC30" s="286">
        <f t="shared" si="12"/>
        <v>0</v>
      </c>
      <c r="AD30" s="906">
        <f t="shared" si="13"/>
        <v>0</v>
      </c>
      <c r="AE30" s="906">
        <f t="shared" si="14"/>
        <v>0</v>
      </c>
      <c r="AF30" s="1072">
        <f t="shared" si="15"/>
        <v>0</v>
      </c>
      <c r="AG30" s="1450">
        <f t="shared" si="16"/>
        <v>0.13527885904981399</v>
      </c>
      <c r="AH30" s="914">
        <f>'Baseline data (from input)'!AS16*AG30</f>
        <v>0</v>
      </c>
      <c r="AI30" s="907">
        <f>Parameters!S131</f>
        <v>0.71500000000000008</v>
      </c>
      <c r="AJ30" s="907">
        <f t="shared" si="17"/>
        <v>0.4</v>
      </c>
      <c r="AK30" s="906">
        <f t="shared" si="18"/>
        <v>0</v>
      </c>
      <c r="AL30" s="906">
        <f t="shared" si="19"/>
        <v>0</v>
      </c>
      <c r="AM30" s="286">
        <f t="shared" si="20"/>
        <v>0</v>
      </c>
      <c r="AN30" s="906">
        <f t="shared" si="21"/>
        <v>0</v>
      </c>
      <c r="AO30" s="906">
        <f t="shared" si="22"/>
        <v>0</v>
      </c>
      <c r="AP30" s="1072">
        <f t="shared" si="23"/>
        <v>0</v>
      </c>
      <c r="AR30" s="914">
        <v>0</v>
      </c>
      <c r="AS30" s="907">
        <v>1</v>
      </c>
      <c r="AT30" s="907">
        <f t="shared" si="24"/>
        <v>0.05</v>
      </c>
      <c r="AU30" s="906">
        <f t="shared" si="25"/>
        <v>0</v>
      </c>
      <c r="AV30" s="906">
        <f t="shared" si="26"/>
        <v>0</v>
      </c>
      <c r="AW30" s="286">
        <f t="shared" si="27"/>
        <v>0</v>
      </c>
      <c r="AX30" s="922">
        <f t="shared" si="28"/>
        <v>0</v>
      </c>
      <c r="AY30" s="922">
        <f t="shared" si="29"/>
        <v>0</v>
      </c>
      <c r="AZ30" s="1072">
        <f t="shared" si="30"/>
        <v>0</v>
      </c>
      <c r="BB30" s="300">
        <f t="shared" si="31"/>
        <v>33.525420057466313</v>
      </c>
      <c r="BC30" s="301">
        <f t="shared" si="32"/>
        <v>0</v>
      </c>
      <c r="BD30" s="1080">
        <f t="shared" si="33"/>
        <v>0</v>
      </c>
      <c r="BE30" s="301">
        <f t="shared" si="34"/>
        <v>33.525420057466313</v>
      </c>
      <c r="BF30" s="104">
        <v>0</v>
      </c>
      <c r="BG30" s="302">
        <f t="shared" si="35"/>
        <v>33.525420057466313</v>
      </c>
      <c r="BI30" s="300">
        <f t="shared" si="36"/>
        <v>33.525420057466313</v>
      </c>
      <c r="BJ30" s="301">
        <f t="shared" si="37"/>
        <v>0</v>
      </c>
      <c r="BK30" s="1080">
        <f t="shared" si="38"/>
        <v>0</v>
      </c>
      <c r="BL30" s="301">
        <f t="shared" si="39"/>
        <v>33.525420057466313</v>
      </c>
      <c r="BM30" s="104">
        <v>0</v>
      </c>
      <c r="BN30" s="302">
        <f t="shared" si="40"/>
        <v>33.525420057466313</v>
      </c>
    </row>
    <row r="31" spans="1:66">
      <c r="A31" s="873">
        <f>'Input data'!A61</f>
        <v>1961</v>
      </c>
      <c r="B31" s="865">
        <f>'Input data'!B61</f>
        <v>7.6498422000000001</v>
      </c>
      <c r="C31" s="865">
        <f>'Baseline data (from input)'!B17</f>
        <v>578.73</v>
      </c>
      <c r="D31" s="777">
        <f>'Baseline data (from input)'!T17</f>
        <v>0.8</v>
      </c>
      <c r="E31" s="777">
        <f t="shared" si="41"/>
        <v>0.24001298204245269</v>
      </c>
      <c r="F31" s="777">
        <f t="shared" si="0"/>
        <v>0.30440139352934503</v>
      </c>
      <c r="G31" s="777">
        <f t="shared" si="0"/>
        <v>5.8998240613430578E-2</v>
      </c>
      <c r="H31" s="777">
        <f t="shared" si="0"/>
        <v>0</v>
      </c>
      <c r="I31" s="777">
        <f t="shared" si="0"/>
        <v>0</v>
      </c>
      <c r="J31" s="777">
        <f t="shared" si="0"/>
        <v>0</v>
      </c>
      <c r="K31" s="777">
        <f t="shared" si="0"/>
        <v>0.39658738381477154</v>
      </c>
      <c r="L31" s="874">
        <f t="shared" si="42"/>
        <v>0.99999999999999989</v>
      </c>
      <c r="M31" s="102"/>
      <c r="N31" s="914">
        <f t="shared" si="1"/>
        <v>3541.7545411248002</v>
      </c>
      <c r="O31" s="907">
        <f>Parameters!R132</f>
        <v>0.73</v>
      </c>
      <c r="P31" s="90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906">
        <f t="shared" si="2"/>
        <v>155.7513321807933</v>
      </c>
      <c r="R31" s="906">
        <f t="shared" si="3"/>
        <v>155.7513321807933</v>
      </c>
      <c r="S31" s="286">
        <f t="shared" si="4"/>
        <v>0</v>
      </c>
      <c r="T31" s="906">
        <f t="shared" si="5"/>
        <v>1229.7743925645646</v>
      </c>
      <c r="U31" s="906">
        <f t="shared" si="6"/>
        <v>55.066339839008613</v>
      </c>
      <c r="V31" s="1072">
        <f t="shared" si="7"/>
        <v>36.710893226005744</v>
      </c>
      <c r="W31" s="1450">
        <f t="shared" si="8"/>
        <v>0.13527885904981399</v>
      </c>
      <c r="X31" s="914">
        <f>'Baseline data (from input)'!AS17*W31</f>
        <v>2020.7298116560614</v>
      </c>
      <c r="Y31" s="907">
        <f>Parameters!S132</f>
        <v>0.71500000000000008</v>
      </c>
      <c r="Z31" s="907">
        <f t="shared" si="9"/>
        <v>0.4</v>
      </c>
      <c r="AA31" s="906">
        <f t="shared" si="10"/>
        <v>288.96436306681687</v>
      </c>
      <c r="AB31" s="906">
        <f t="shared" si="11"/>
        <v>288.96436306681687</v>
      </c>
      <c r="AC31" s="286">
        <f t="shared" si="12"/>
        <v>0</v>
      </c>
      <c r="AD31" s="906">
        <f t="shared" si="13"/>
        <v>288.96436306681687</v>
      </c>
      <c r="AE31" s="906">
        <f t="shared" si="14"/>
        <v>0</v>
      </c>
      <c r="AF31" s="1072">
        <f t="shared" si="15"/>
        <v>0</v>
      </c>
      <c r="AG31" s="1450">
        <f t="shared" si="16"/>
        <v>0.13527885904981399</v>
      </c>
      <c r="AH31" s="914">
        <f>'Baseline data (from input)'!AS17*AG31</f>
        <v>2020.7298116560614</v>
      </c>
      <c r="AI31" s="907">
        <f>Parameters!S132</f>
        <v>0.71500000000000008</v>
      </c>
      <c r="AJ31" s="907">
        <f t="shared" si="17"/>
        <v>0.4</v>
      </c>
      <c r="AK31" s="906">
        <f t="shared" si="18"/>
        <v>288.96436306681687</v>
      </c>
      <c r="AL31" s="906">
        <f t="shared" si="19"/>
        <v>288.96436306681687</v>
      </c>
      <c r="AM31" s="286">
        <f t="shared" si="20"/>
        <v>0</v>
      </c>
      <c r="AN31" s="906">
        <f t="shared" si="21"/>
        <v>288.96436306681687</v>
      </c>
      <c r="AO31" s="906">
        <f t="shared" si="22"/>
        <v>0</v>
      </c>
      <c r="AP31" s="1072">
        <f t="shared" si="23"/>
        <v>0</v>
      </c>
      <c r="AR31" s="914">
        <v>0</v>
      </c>
      <c r="AS31" s="907">
        <v>1</v>
      </c>
      <c r="AT31" s="907">
        <f t="shared" si="24"/>
        <v>0.05</v>
      </c>
      <c r="AU31" s="906">
        <f t="shared" si="25"/>
        <v>0</v>
      </c>
      <c r="AV31" s="906">
        <f t="shared" si="26"/>
        <v>0</v>
      </c>
      <c r="AW31" s="286">
        <f t="shared" si="27"/>
        <v>0</v>
      </c>
      <c r="AX31" s="922">
        <f t="shared" si="28"/>
        <v>0</v>
      </c>
      <c r="AY31" s="922">
        <f t="shared" si="29"/>
        <v>0</v>
      </c>
      <c r="AZ31" s="1072">
        <f t="shared" si="30"/>
        <v>0</v>
      </c>
      <c r="BB31" s="300">
        <f t="shared" si="31"/>
        <v>36.710893226005744</v>
      </c>
      <c r="BC31" s="301">
        <f t="shared" si="32"/>
        <v>0</v>
      </c>
      <c r="BD31" s="1080">
        <f t="shared" si="33"/>
        <v>0</v>
      </c>
      <c r="BE31" s="301">
        <f t="shared" si="34"/>
        <v>36.710893226005744</v>
      </c>
      <c r="BF31" s="104">
        <v>0</v>
      </c>
      <c r="BG31" s="302">
        <f t="shared" si="35"/>
        <v>36.710893226005744</v>
      </c>
      <c r="BI31" s="300">
        <f t="shared" si="36"/>
        <v>36.710893226005744</v>
      </c>
      <c r="BJ31" s="301">
        <f t="shared" si="37"/>
        <v>0</v>
      </c>
      <c r="BK31" s="1080">
        <f t="shared" si="38"/>
        <v>0</v>
      </c>
      <c r="BL31" s="301">
        <f t="shared" si="39"/>
        <v>36.710893226005744</v>
      </c>
      <c r="BM31" s="104">
        <v>0</v>
      </c>
      <c r="BN31" s="302">
        <f t="shared" si="40"/>
        <v>36.710893226005744</v>
      </c>
    </row>
    <row r="32" spans="1:66">
      <c r="A32" s="873">
        <f>'Input data'!A62</f>
        <v>1962</v>
      </c>
      <c r="B32" s="865">
        <f>'Input data'!B62</f>
        <v>7.8559936000000006</v>
      </c>
      <c r="C32" s="865">
        <f>'Baseline data (from input)'!B18</f>
        <v>578.73</v>
      </c>
      <c r="D32" s="777">
        <f>'Baseline data (from input)'!T18</f>
        <v>0.8</v>
      </c>
      <c r="E32" s="777">
        <f t="shared" si="41"/>
        <v>0.24001298204245269</v>
      </c>
      <c r="F32" s="777">
        <f t="shared" si="0"/>
        <v>0.30440139352934503</v>
      </c>
      <c r="G32" s="777">
        <f t="shared" si="0"/>
        <v>5.8998240613430578E-2</v>
      </c>
      <c r="H32" s="777">
        <f t="shared" si="0"/>
        <v>0</v>
      </c>
      <c r="I32" s="777">
        <f t="shared" si="0"/>
        <v>0</v>
      </c>
      <c r="J32" s="777">
        <f t="shared" si="0"/>
        <v>0</v>
      </c>
      <c r="K32" s="777">
        <f t="shared" si="0"/>
        <v>0.39658738381477154</v>
      </c>
      <c r="L32" s="874">
        <f t="shared" si="42"/>
        <v>0.99999999999999989</v>
      </c>
      <c r="M32" s="102"/>
      <c r="N32" s="914">
        <f t="shared" si="1"/>
        <v>3637.1993409024008</v>
      </c>
      <c r="O32" s="907">
        <f>Parameters!R133</f>
        <v>0.73</v>
      </c>
      <c r="P32" s="90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906">
        <f t="shared" si="2"/>
        <v>159.94858937139728</v>
      </c>
      <c r="R32" s="906">
        <f t="shared" si="3"/>
        <v>159.94858937139728</v>
      </c>
      <c r="S32" s="286">
        <f t="shared" si="4"/>
        <v>0</v>
      </c>
      <c r="T32" s="906">
        <f t="shared" si="5"/>
        <v>1329.7461770763032</v>
      </c>
      <c r="U32" s="906">
        <f t="shared" si="6"/>
        <v>59.976804859658657</v>
      </c>
      <c r="V32" s="1072">
        <f t="shared" si="7"/>
        <v>39.984536573105771</v>
      </c>
      <c r="W32" s="1450">
        <f t="shared" si="8"/>
        <v>0.13527885904981399</v>
      </c>
      <c r="X32" s="914">
        <f>'Baseline data (from input)'!AS18*W32</f>
        <v>2145.5681370859866</v>
      </c>
      <c r="Y32" s="907">
        <f>Parameters!S133</f>
        <v>0.71500000000000008</v>
      </c>
      <c r="Z32" s="907">
        <f t="shared" si="9"/>
        <v>0.4</v>
      </c>
      <c r="AA32" s="906">
        <f t="shared" si="10"/>
        <v>306.81624360329613</v>
      </c>
      <c r="AB32" s="906">
        <f t="shared" si="11"/>
        <v>306.81624360329613</v>
      </c>
      <c r="AC32" s="286">
        <f t="shared" si="12"/>
        <v>0</v>
      </c>
      <c r="AD32" s="906">
        <f t="shared" si="13"/>
        <v>581.68764838455968</v>
      </c>
      <c r="AE32" s="906">
        <f t="shared" si="14"/>
        <v>14.092958285553278</v>
      </c>
      <c r="AF32" s="1072">
        <f t="shared" si="15"/>
        <v>9.3953055237021861</v>
      </c>
      <c r="AG32" s="1450">
        <f t="shared" si="16"/>
        <v>0.13527885904981399</v>
      </c>
      <c r="AH32" s="914">
        <f>'Baseline data (from input)'!AS18*AG32</f>
        <v>2145.5681370859866</v>
      </c>
      <c r="AI32" s="907">
        <f>Parameters!S133</f>
        <v>0.71500000000000008</v>
      </c>
      <c r="AJ32" s="907">
        <f t="shared" si="17"/>
        <v>0.4</v>
      </c>
      <c r="AK32" s="906">
        <f>AH32*AJ32*AI32*$D$4</f>
        <v>306.81624360329613</v>
      </c>
      <c r="AL32" s="906">
        <f>AK32*$D$10</f>
        <v>306.81624360329613</v>
      </c>
      <c r="AM32" s="286">
        <f t="shared" si="20"/>
        <v>0</v>
      </c>
      <c r="AN32" s="906">
        <f t="shared" si="21"/>
        <v>581.68764838455968</v>
      </c>
      <c r="AO32" s="906">
        <f t="shared" si="22"/>
        <v>14.092958285553278</v>
      </c>
      <c r="AP32" s="1072">
        <f t="shared" si="23"/>
        <v>9.3953055237021861</v>
      </c>
      <c r="AR32" s="914">
        <v>0</v>
      </c>
      <c r="AS32" s="907">
        <v>1</v>
      </c>
      <c r="AT32" s="907">
        <f t="shared" si="24"/>
        <v>0.05</v>
      </c>
      <c r="AU32" s="906">
        <f t="shared" si="25"/>
        <v>0</v>
      </c>
      <c r="AV32" s="906">
        <f t="shared" si="26"/>
        <v>0</v>
      </c>
      <c r="AW32" s="286">
        <f t="shared" si="27"/>
        <v>0</v>
      </c>
      <c r="AX32" s="922">
        <f t="shared" si="28"/>
        <v>0</v>
      </c>
      <c r="AY32" s="922">
        <f t="shared" si="29"/>
        <v>0</v>
      </c>
      <c r="AZ32" s="1072">
        <f t="shared" si="30"/>
        <v>0</v>
      </c>
      <c r="BB32" s="300">
        <f t="shared" si="31"/>
        <v>39.984536573105771</v>
      </c>
      <c r="BC32" s="301">
        <f t="shared" si="32"/>
        <v>9.3953055237021861</v>
      </c>
      <c r="BD32" s="1080">
        <f t="shared" si="33"/>
        <v>0</v>
      </c>
      <c r="BE32" s="301">
        <f t="shared" si="34"/>
        <v>49.379842096807955</v>
      </c>
      <c r="BF32" s="104">
        <v>0</v>
      </c>
      <c r="BG32" s="302">
        <f t="shared" si="35"/>
        <v>49.379842096807955</v>
      </c>
      <c r="BI32" s="300">
        <f t="shared" si="36"/>
        <v>39.984536573105771</v>
      </c>
      <c r="BJ32" s="301">
        <f t="shared" si="37"/>
        <v>9.3953055237021861</v>
      </c>
      <c r="BK32" s="1080">
        <f t="shared" si="38"/>
        <v>0</v>
      </c>
      <c r="BL32" s="301">
        <f t="shared" si="39"/>
        <v>49.379842096807955</v>
      </c>
      <c r="BM32" s="104">
        <v>0</v>
      </c>
      <c r="BN32" s="302">
        <f t="shared" si="40"/>
        <v>49.379842096807955</v>
      </c>
    </row>
    <row r="33" spans="1:66">
      <c r="A33" s="127">
        <f>'Input data'!A63</f>
        <v>1963</v>
      </c>
      <c r="B33" s="866">
        <f>'Input data'!B63</f>
        <v>8.062145000000001</v>
      </c>
      <c r="C33" s="866">
        <f>'Baseline data (from input)'!B19</f>
        <v>578.73</v>
      </c>
      <c r="D33" s="777">
        <f>'Baseline data (from input)'!T19</f>
        <v>0.8</v>
      </c>
      <c r="E33" s="777">
        <f t="shared" si="41"/>
        <v>0.24001298204245269</v>
      </c>
      <c r="F33" s="777">
        <f t="shared" si="0"/>
        <v>0.30440139352934503</v>
      </c>
      <c r="G33" s="777">
        <f t="shared" si="0"/>
        <v>5.8998240613430578E-2</v>
      </c>
      <c r="H33" s="777">
        <f t="shared" si="0"/>
        <v>0</v>
      </c>
      <c r="I33" s="777">
        <f t="shared" si="0"/>
        <v>0</v>
      </c>
      <c r="J33" s="777">
        <f t="shared" si="0"/>
        <v>0</v>
      </c>
      <c r="K33" s="777">
        <f t="shared" si="0"/>
        <v>0.39658738381477154</v>
      </c>
      <c r="L33" s="874">
        <f t="shared" si="42"/>
        <v>0.99999999999999989</v>
      </c>
      <c r="M33" s="101"/>
      <c r="N33" s="300">
        <f t="shared" si="1"/>
        <v>3732.6441406800004</v>
      </c>
      <c r="O33" s="908">
        <f>Parameters!R134</f>
        <v>0.73</v>
      </c>
      <c r="P33" s="908">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906">
        <f t="shared" si="2"/>
        <v>164.14584656200122</v>
      </c>
      <c r="R33" s="906">
        <f t="shared" si="3"/>
        <v>164.14584656200122</v>
      </c>
      <c r="S33" s="286">
        <f t="shared" si="4"/>
        <v>0</v>
      </c>
      <c r="T33" s="906">
        <f t="shared" si="5"/>
        <v>1429.0395373143176</v>
      </c>
      <c r="U33" s="906">
        <f t="shared" si="6"/>
        <v>64.852486323986753</v>
      </c>
      <c r="V33" s="1072">
        <f t="shared" si="7"/>
        <v>43.234990882657833</v>
      </c>
      <c r="W33" s="1450">
        <f t="shared" si="8"/>
        <v>0.13527885904981399</v>
      </c>
      <c r="X33" s="914">
        <f>'Baseline data (from input)'!AS19*W33</f>
        <v>2303.7740235530446</v>
      </c>
      <c r="Y33" s="908">
        <f>Parameters!S134</f>
        <v>0.71500000000000008</v>
      </c>
      <c r="Z33" s="908">
        <f t="shared" si="9"/>
        <v>0.4</v>
      </c>
      <c r="AA33" s="906">
        <f t="shared" si="10"/>
        <v>329.43968536808541</v>
      </c>
      <c r="AB33" s="906">
        <f t="shared" si="11"/>
        <v>329.43968536808541</v>
      </c>
      <c r="AC33" s="286">
        <f t="shared" si="12"/>
        <v>0</v>
      </c>
      <c r="AD33" s="906">
        <f t="shared" si="13"/>
        <v>882.75809238010379</v>
      </c>
      <c r="AE33" s="906">
        <f t="shared" si="14"/>
        <v>28.369241372541286</v>
      </c>
      <c r="AF33" s="1072">
        <f t="shared" si="15"/>
        <v>18.912827581694192</v>
      </c>
      <c r="AG33" s="1450">
        <f t="shared" si="16"/>
        <v>0.13527885904981399</v>
      </c>
      <c r="AH33" s="914">
        <f>'Baseline data (from input)'!AS19*AG33</f>
        <v>2303.7740235530446</v>
      </c>
      <c r="AI33" s="908">
        <f>Parameters!S134</f>
        <v>0.71500000000000008</v>
      </c>
      <c r="AJ33" s="908">
        <f t="shared" si="17"/>
        <v>0.4</v>
      </c>
      <c r="AK33" s="906">
        <f t="shared" si="18"/>
        <v>329.43968536808541</v>
      </c>
      <c r="AL33" s="906">
        <f t="shared" si="19"/>
        <v>329.43968536808541</v>
      </c>
      <c r="AM33" s="286">
        <f>AK33*(1-$D$10)</f>
        <v>0</v>
      </c>
      <c r="AN33" s="906">
        <f>AL33+(AN32*$D$8)</f>
        <v>882.75809238010379</v>
      </c>
      <c r="AO33" s="906">
        <f t="shared" si="22"/>
        <v>28.369241372541286</v>
      </c>
      <c r="AP33" s="1072">
        <f t="shared" si="23"/>
        <v>18.912827581694192</v>
      </c>
      <c r="AR33" s="914">
        <v>0</v>
      </c>
      <c r="AS33" s="907">
        <v>1</v>
      </c>
      <c r="AT33" s="907">
        <f t="shared" si="24"/>
        <v>0.05</v>
      </c>
      <c r="AU33" s="906">
        <f t="shared" si="25"/>
        <v>0</v>
      </c>
      <c r="AV33" s="906">
        <f t="shared" si="26"/>
        <v>0</v>
      </c>
      <c r="AW33" s="286">
        <f t="shared" si="27"/>
        <v>0</v>
      </c>
      <c r="AX33" s="922">
        <f t="shared" si="28"/>
        <v>0</v>
      </c>
      <c r="AY33" s="922">
        <f t="shared" si="29"/>
        <v>0</v>
      </c>
      <c r="AZ33" s="1072">
        <f t="shared" si="30"/>
        <v>0</v>
      </c>
      <c r="BB33" s="300">
        <f t="shared" si="31"/>
        <v>43.234990882657833</v>
      </c>
      <c r="BC33" s="301">
        <f t="shared" si="32"/>
        <v>18.912827581694192</v>
      </c>
      <c r="BD33" s="1080">
        <f t="shared" si="33"/>
        <v>0</v>
      </c>
      <c r="BE33" s="301">
        <f t="shared" si="34"/>
        <v>62.147818464352028</v>
      </c>
      <c r="BF33" s="104">
        <v>0</v>
      </c>
      <c r="BG33" s="302">
        <f t="shared" si="35"/>
        <v>62.147818464352028</v>
      </c>
      <c r="BI33" s="300">
        <f t="shared" si="36"/>
        <v>43.234990882657833</v>
      </c>
      <c r="BJ33" s="301">
        <f t="shared" si="37"/>
        <v>18.912827581694192</v>
      </c>
      <c r="BK33" s="1080">
        <f t="shared" si="38"/>
        <v>0</v>
      </c>
      <c r="BL33" s="301">
        <f t="shared" si="39"/>
        <v>62.147818464352028</v>
      </c>
      <c r="BM33" s="104">
        <v>0</v>
      </c>
      <c r="BN33" s="302">
        <f t="shared" si="40"/>
        <v>62.147818464352028</v>
      </c>
    </row>
    <row r="34" spans="1:66">
      <c r="A34" s="127">
        <f>'Input data'!A64</f>
        <v>1964</v>
      </c>
      <c r="B34" s="866">
        <f>'Input data'!B64</f>
        <v>8.2682964000000005</v>
      </c>
      <c r="C34" s="866">
        <f>'Baseline data (from input)'!B20</f>
        <v>578.73</v>
      </c>
      <c r="D34" s="777">
        <f>'Baseline data (from input)'!T20</f>
        <v>0.8</v>
      </c>
      <c r="E34" s="777">
        <f t="shared" si="41"/>
        <v>0.24001298204245269</v>
      </c>
      <c r="F34" s="777">
        <f t="shared" si="0"/>
        <v>0.30440139352934503</v>
      </c>
      <c r="G34" s="777">
        <f t="shared" si="0"/>
        <v>5.8998240613430578E-2</v>
      </c>
      <c r="H34" s="777">
        <f t="shared" si="0"/>
        <v>0</v>
      </c>
      <c r="I34" s="777">
        <f t="shared" si="0"/>
        <v>0</v>
      </c>
      <c r="J34" s="777">
        <f t="shared" si="0"/>
        <v>0</v>
      </c>
      <c r="K34" s="777">
        <f t="shared" si="0"/>
        <v>0.39658738381477154</v>
      </c>
      <c r="L34" s="874">
        <f t="shared" si="42"/>
        <v>0.99999999999999989</v>
      </c>
      <c r="N34" s="300">
        <f t="shared" si="1"/>
        <v>3828.0889404576005</v>
      </c>
      <c r="O34" s="908">
        <f>Parameters!R135</f>
        <v>0.73</v>
      </c>
      <c r="P34" s="908">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906">
        <f t="shared" si="2"/>
        <v>168.34310375260517</v>
      </c>
      <c r="R34" s="906">
        <f t="shared" si="3"/>
        <v>168.34310375260517</v>
      </c>
      <c r="S34" s="286">
        <f t="shared" si="4"/>
        <v>0</v>
      </c>
      <c r="T34" s="906">
        <f t="shared" si="5"/>
        <v>1527.6875604208701</v>
      </c>
      <c r="U34" s="906">
        <f t="shared" si="6"/>
        <v>69.695080646052631</v>
      </c>
      <c r="V34" s="1072">
        <f t="shared" si="7"/>
        <v>46.463387097368418</v>
      </c>
      <c r="W34" s="1450">
        <f t="shared" si="8"/>
        <v>0.13527885904981399</v>
      </c>
      <c r="X34" s="914">
        <f>'Baseline data (from input)'!AS20*W34</f>
        <v>2486.6886511702933</v>
      </c>
      <c r="Y34" s="908">
        <f>Parameters!S135</f>
        <v>0.71500000000000008</v>
      </c>
      <c r="Z34" s="908">
        <f t="shared" si="9"/>
        <v>0.4</v>
      </c>
      <c r="AA34" s="906">
        <f t="shared" si="10"/>
        <v>355.59647711735198</v>
      </c>
      <c r="AB34" s="906">
        <f t="shared" si="11"/>
        <v>355.59647711735198</v>
      </c>
      <c r="AC34" s="286">
        <f t="shared" si="12"/>
        <v>0</v>
      </c>
      <c r="AD34" s="906">
        <f t="shared" si="13"/>
        <v>1195.3019493054262</v>
      </c>
      <c r="AE34" s="906">
        <f t="shared" si="14"/>
        <v>43.052620192029522</v>
      </c>
      <c r="AF34" s="1072">
        <f t="shared" si="15"/>
        <v>28.701746794686347</v>
      </c>
      <c r="AG34" s="1450">
        <f t="shared" si="16"/>
        <v>0.13527885904981399</v>
      </c>
      <c r="AH34" s="914">
        <f>'Baseline data (from input)'!AS20*AG34</f>
        <v>2486.6886511702933</v>
      </c>
      <c r="AI34" s="908">
        <f>Parameters!S135</f>
        <v>0.71500000000000008</v>
      </c>
      <c r="AJ34" s="908">
        <f t="shared" si="17"/>
        <v>0.4</v>
      </c>
      <c r="AK34" s="906">
        <f t="shared" si="18"/>
        <v>355.59647711735198</v>
      </c>
      <c r="AL34" s="906">
        <f t="shared" si="19"/>
        <v>355.59647711735198</v>
      </c>
      <c r="AM34" s="286">
        <f t="shared" si="20"/>
        <v>0</v>
      </c>
      <c r="AN34" s="906">
        <f t="shared" si="21"/>
        <v>1195.3019493054262</v>
      </c>
      <c r="AO34" s="906">
        <f t="shared" si="22"/>
        <v>43.052620192029522</v>
      </c>
      <c r="AP34" s="1072">
        <f t="shared" si="23"/>
        <v>28.701746794686347</v>
      </c>
      <c r="AR34" s="914">
        <v>0</v>
      </c>
      <c r="AS34" s="907">
        <v>1</v>
      </c>
      <c r="AT34" s="907">
        <f t="shared" si="24"/>
        <v>0.05</v>
      </c>
      <c r="AU34" s="906">
        <f t="shared" si="25"/>
        <v>0</v>
      </c>
      <c r="AV34" s="906">
        <f t="shared" si="26"/>
        <v>0</v>
      </c>
      <c r="AW34" s="286">
        <f t="shared" si="27"/>
        <v>0</v>
      </c>
      <c r="AX34" s="922">
        <f t="shared" si="28"/>
        <v>0</v>
      </c>
      <c r="AY34" s="922">
        <f t="shared" si="29"/>
        <v>0</v>
      </c>
      <c r="AZ34" s="1072">
        <f t="shared" si="30"/>
        <v>0</v>
      </c>
      <c r="BB34" s="300">
        <f t="shared" si="31"/>
        <v>46.463387097368418</v>
      </c>
      <c r="BC34" s="301">
        <f t="shared" si="32"/>
        <v>28.701746794686347</v>
      </c>
      <c r="BD34" s="1080">
        <f t="shared" si="33"/>
        <v>0</v>
      </c>
      <c r="BE34" s="301">
        <f t="shared" si="34"/>
        <v>75.165133892054769</v>
      </c>
      <c r="BF34" s="104">
        <v>0</v>
      </c>
      <c r="BG34" s="302">
        <f t="shared" si="35"/>
        <v>75.165133892054769</v>
      </c>
      <c r="BI34" s="300">
        <f t="shared" si="36"/>
        <v>46.463387097368418</v>
      </c>
      <c r="BJ34" s="301">
        <f t="shared" si="37"/>
        <v>28.701746794686347</v>
      </c>
      <c r="BK34" s="1080">
        <f t="shared" si="38"/>
        <v>0</v>
      </c>
      <c r="BL34" s="301">
        <f t="shared" si="39"/>
        <v>75.165133892054769</v>
      </c>
      <c r="BM34" s="104">
        <v>0</v>
      </c>
      <c r="BN34" s="302">
        <f t="shared" si="40"/>
        <v>75.165133892054769</v>
      </c>
    </row>
    <row r="35" spans="1:66">
      <c r="A35" s="127">
        <f>'Input data'!A65</f>
        <v>1965</v>
      </c>
      <c r="B35" s="866">
        <f>'Input data'!B65</f>
        <v>8.4744478000000001</v>
      </c>
      <c r="C35" s="866">
        <f>'Baseline data (from input)'!B21</f>
        <v>578.73</v>
      </c>
      <c r="D35" s="777">
        <f>'Baseline data (from input)'!T21</f>
        <v>0.8</v>
      </c>
      <c r="E35" s="777">
        <f t="shared" si="41"/>
        <v>0.24001298204245269</v>
      </c>
      <c r="F35" s="777">
        <f t="shared" si="0"/>
        <v>0.30440139352934503</v>
      </c>
      <c r="G35" s="777">
        <f t="shared" si="0"/>
        <v>5.8998240613430578E-2</v>
      </c>
      <c r="H35" s="777">
        <f t="shared" si="0"/>
        <v>0</v>
      </c>
      <c r="I35" s="777">
        <f t="shared" si="0"/>
        <v>0</v>
      </c>
      <c r="J35" s="777">
        <f t="shared" si="0"/>
        <v>0</v>
      </c>
      <c r="K35" s="777">
        <f t="shared" si="0"/>
        <v>0.39658738381477154</v>
      </c>
      <c r="L35" s="874">
        <f t="shared" si="42"/>
        <v>0.99999999999999989</v>
      </c>
      <c r="N35" s="300">
        <f t="shared" si="1"/>
        <v>3923.5337402352002</v>
      </c>
      <c r="O35" s="908">
        <f>Parameters!R136</f>
        <v>0.73</v>
      </c>
      <c r="P35" s="908">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906">
        <f t="shared" si="2"/>
        <v>172.54036094320912</v>
      </c>
      <c r="R35" s="906">
        <f t="shared" si="3"/>
        <v>172.54036094320912</v>
      </c>
      <c r="S35" s="286">
        <f t="shared" si="4"/>
        <v>0</v>
      </c>
      <c r="T35" s="906">
        <f t="shared" si="5"/>
        <v>1625.7217198592532</v>
      </c>
      <c r="U35" s="906">
        <f t="shared" si="6"/>
        <v>74.506201504826066</v>
      </c>
      <c r="V35" s="1072">
        <f t="shared" si="7"/>
        <v>49.670801003217377</v>
      </c>
      <c r="W35" s="1450">
        <f t="shared" si="8"/>
        <v>0.13527885904981399</v>
      </c>
      <c r="X35" s="914">
        <f>'Baseline data (from input)'!AS21*W35</f>
        <v>2638.9426497936029</v>
      </c>
      <c r="Y35" s="908">
        <f>Parameters!S136</f>
        <v>0.71500000000000008</v>
      </c>
      <c r="Z35" s="908">
        <f t="shared" si="9"/>
        <v>0.4</v>
      </c>
      <c r="AA35" s="906">
        <f t="shared" si="10"/>
        <v>377.36879892048523</v>
      </c>
      <c r="AB35" s="906">
        <f t="shared" si="11"/>
        <v>377.36879892048523</v>
      </c>
      <c r="AC35" s="286">
        <f t="shared" si="12"/>
        <v>0</v>
      </c>
      <c r="AD35" s="906">
        <f t="shared" si="13"/>
        <v>1514.3751842628674</v>
      </c>
      <c r="AE35" s="906">
        <f t="shared" si="14"/>
        <v>58.295563963043996</v>
      </c>
      <c r="AF35" s="1072">
        <f t="shared" si="15"/>
        <v>38.863709308695995</v>
      </c>
      <c r="AG35" s="1450">
        <f t="shared" si="16"/>
        <v>0.13527885904981399</v>
      </c>
      <c r="AH35" s="914">
        <f>'Baseline data (from input)'!AS21*AG35</f>
        <v>2638.9426497936029</v>
      </c>
      <c r="AI35" s="908">
        <f>Parameters!S136</f>
        <v>0.71500000000000008</v>
      </c>
      <c r="AJ35" s="908">
        <f t="shared" si="17"/>
        <v>0.4</v>
      </c>
      <c r="AK35" s="906">
        <f t="shared" si="18"/>
        <v>377.36879892048523</v>
      </c>
      <c r="AL35" s="906">
        <f t="shared" si="19"/>
        <v>377.36879892048523</v>
      </c>
      <c r="AM35" s="286">
        <f t="shared" si="20"/>
        <v>0</v>
      </c>
      <c r="AN35" s="906">
        <f t="shared" si="21"/>
        <v>1514.3751842628674</v>
      </c>
      <c r="AO35" s="906">
        <f t="shared" si="22"/>
        <v>58.295563963043996</v>
      </c>
      <c r="AP35" s="1072">
        <f t="shared" si="23"/>
        <v>38.863709308695995</v>
      </c>
      <c r="AR35" s="914">
        <v>0</v>
      </c>
      <c r="AS35" s="907">
        <v>1</v>
      </c>
      <c r="AT35" s="907">
        <f t="shared" si="24"/>
        <v>0.05</v>
      </c>
      <c r="AU35" s="906">
        <f t="shared" si="25"/>
        <v>0</v>
      </c>
      <c r="AV35" s="906">
        <f t="shared" si="26"/>
        <v>0</v>
      </c>
      <c r="AW35" s="286">
        <f t="shared" si="27"/>
        <v>0</v>
      </c>
      <c r="AX35" s="922">
        <f t="shared" si="28"/>
        <v>0</v>
      </c>
      <c r="AY35" s="922">
        <f t="shared" si="29"/>
        <v>0</v>
      </c>
      <c r="AZ35" s="1072">
        <f t="shared" si="30"/>
        <v>0</v>
      </c>
      <c r="BB35" s="300">
        <f t="shared" si="31"/>
        <v>49.670801003217377</v>
      </c>
      <c r="BC35" s="301">
        <f t="shared" si="32"/>
        <v>38.863709308695995</v>
      </c>
      <c r="BD35" s="1080">
        <f t="shared" si="33"/>
        <v>0</v>
      </c>
      <c r="BE35" s="301">
        <f t="shared" si="34"/>
        <v>88.53451031191338</v>
      </c>
      <c r="BF35" s="104">
        <v>0</v>
      </c>
      <c r="BG35" s="302">
        <f t="shared" si="35"/>
        <v>88.53451031191338</v>
      </c>
      <c r="BI35" s="300">
        <f t="shared" si="36"/>
        <v>49.670801003217377</v>
      </c>
      <c r="BJ35" s="301">
        <f t="shared" si="37"/>
        <v>38.863709308695995</v>
      </c>
      <c r="BK35" s="1080">
        <f t="shared" si="38"/>
        <v>0</v>
      </c>
      <c r="BL35" s="301">
        <f t="shared" si="39"/>
        <v>88.53451031191338</v>
      </c>
      <c r="BM35" s="104">
        <v>0</v>
      </c>
      <c r="BN35" s="302">
        <f t="shared" si="40"/>
        <v>88.53451031191338</v>
      </c>
    </row>
    <row r="36" spans="1:66">
      <c r="A36" s="127">
        <f>'Input data'!A66</f>
        <v>1966</v>
      </c>
      <c r="B36" s="866">
        <f>'Input data'!B66</f>
        <v>8.7407319999999995</v>
      </c>
      <c r="C36" s="866">
        <f>'Baseline data (from input)'!B22</f>
        <v>578.73</v>
      </c>
      <c r="D36" s="777">
        <f>'Baseline data (from input)'!T22</f>
        <v>0.8</v>
      </c>
      <c r="E36" s="777">
        <f t="shared" si="41"/>
        <v>0.24001298204245269</v>
      </c>
      <c r="F36" s="777">
        <f t="shared" si="0"/>
        <v>0.30440139352934503</v>
      </c>
      <c r="G36" s="777">
        <f t="shared" si="0"/>
        <v>5.8998240613430578E-2</v>
      </c>
      <c r="H36" s="777">
        <f t="shared" si="0"/>
        <v>0</v>
      </c>
      <c r="I36" s="777">
        <f t="shared" si="0"/>
        <v>0</v>
      </c>
      <c r="J36" s="777">
        <f t="shared" si="0"/>
        <v>0</v>
      </c>
      <c r="K36" s="777">
        <f t="shared" si="0"/>
        <v>0.39658738381477154</v>
      </c>
      <c r="L36" s="874">
        <f t="shared" si="42"/>
        <v>0.99999999999999989</v>
      </c>
      <c r="N36" s="300">
        <f t="shared" si="1"/>
        <v>4046.8190642879999</v>
      </c>
      <c r="O36" s="908">
        <f>Parameters!R137</f>
        <v>0.73</v>
      </c>
      <c r="P36" s="908">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906">
        <f t="shared" si="2"/>
        <v>177.96192622578405</v>
      </c>
      <c r="R36" s="906">
        <f t="shared" si="3"/>
        <v>177.96192622578405</v>
      </c>
      <c r="S36" s="286">
        <f t="shared" si="4"/>
        <v>0</v>
      </c>
      <c r="T36" s="906">
        <f t="shared" si="5"/>
        <v>1724.3962622058125</v>
      </c>
      <c r="U36" s="906">
        <f t="shared" si="6"/>
        <v>79.287383879224762</v>
      </c>
      <c r="V36" s="1072">
        <f t="shared" si="7"/>
        <v>52.858255919483177</v>
      </c>
      <c r="W36" s="1450">
        <f t="shared" si="8"/>
        <v>0.13527885904981399</v>
      </c>
      <c r="X36" s="914">
        <f>'Baseline data (from input)'!AS22*W36</f>
        <v>2756.0670595807815</v>
      </c>
      <c r="Y36" s="908">
        <f>Parameters!S137</f>
        <v>0.71500000000000008</v>
      </c>
      <c r="Z36" s="908">
        <f t="shared" si="9"/>
        <v>0.4</v>
      </c>
      <c r="AA36" s="906">
        <f t="shared" si="10"/>
        <v>394.11758952005187</v>
      </c>
      <c r="AB36" s="906">
        <f t="shared" si="11"/>
        <v>394.11758952005187</v>
      </c>
      <c r="AC36" s="286">
        <f t="shared" si="12"/>
        <v>0</v>
      </c>
      <c r="AD36" s="906">
        <f t="shared" si="13"/>
        <v>1834.6358245245819</v>
      </c>
      <c r="AE36" s="906">
        <f t="shared" si="14"/>
        <v>73.856949258337295</v>
      </c>
      <c r="AF36" s="1072">
        <f t="shared" si="15"/>
        <v>49.237966172224866</v>
      </c>
      <c r="AG36" s="1450">
        <f t="shared" si="16"/>
        <v>0.13527885904981399</v>
      </c>
      <c r="AH36" s="914">
        <f>'Baseline data (from input)'!AS22*AG36</f>
        <v>2756.0670595807815</v>
      </c>
      <c r="AI36" s="908">
        <f>Parameters!S137</f>
        <v>0.71500000000000008</v>
      </c>
      <c r="AJ36" s="908">
        <f t="shared" si="17"/>
        <v>0.4</v>
      </c>
      <c r="AK36" s="906">
        <f t="shared" si="18"/>
        <v>394.11758952005187</v>
      </c>
      <c r="AL36" s="906">
        <f t="shared" si="19"/>
        <v>394.11758952005187</v>
      </c>
      <c r="AM36" s="286">
        <f t="shared" si="20"/>
        <v>0</v>
      </c>
      <c r="AN36" s="906">
        <f t="shared" si="21"/>
        <v>1834.6358245245819</v>
      </c>
      <c r="AO36" s="906">
        <f t="shared" si="22"/>
        <v>73.856949258337295</v>
      </c>
      <c r="AP36" s="1072">
        <f t="shared" si="23"/>
        <v>49.237966172224866</v>
      </c>
      <c r="AR36" s="914">
        <v>0</v>
      </c>
      <c r="AS36" s="907">
        <v>1</v>
      </c>
      <c r="AT36" s="907">
        <f t="shared" si="24"/>
        <v>0.05</v>
      </c>
      <c r="AU36" s="906">
        <f t="shared" si="25"/>
        <v>0</v>
      </c>
      <c r="AV36" s="906">
        <f t="shared" si="26"/>
        <v>0</v>
      </c>
      <c r="AW36" s="286">
        <f t="shared" si="27"/>
        <v>0</v>
      </c>
      <c r="AX36" s="922">
        <f t="shared" si="28"/>
        <v>0</v>
      </c>
      <c r="AY36" s="922">
        <f t="shared" si="29"/>
        <v>0</v>
      </c>
      <c r="AZ36" s="1072">
        <f t="shared" si="30"/>
        <v>0</v>
      </c>
      <c r="BB36" s="300">
        <f t="shared" si="31"/>
        <v>52.858255919483177</v>
      </c>
      <c r="BC36" s="301">
        <f t="shared" si="32"/>
        <v>49.237966172224866</v>
      </c>
      <c r="BD36" s="1080">
        <f t="shared" si="33"/>
        <v>0</v>
      </c>
      <c r="BE36" s="301">
        <f t="shared" si="34"/>
        <v>102.09622209170804</v>
      </c>
      <c r="BF36" s="104">
        <v>0</v>
      </c>
      <c r="BG36" s="302">
        <f t="shared" si="35"/>
        <v>102.09622209170804</v>
      </c>
      <c r="BI36" s="300">
        <f t="shared" si="36"/>
        <v>52.858255919483177</v>
      </c>
      <c r="BJ36" s="301">
        <f t="shared" si="37"/>
        <v>49.237966172224866</v>
      </c>
      <c r="BK36" s="1080">
        <f t="shared" si="38"/>
        <v>0</v>
      </c>
      <c r="BL36" s="301">
        <f t="shared" si="39"/>
        <v>102.09622209170804</v>
      </c>
      <c r="BM36" s="104">
        <v>0</v>
      </c>
      <c r="BN36" s="302">
        <f t="shared" si="40"/>
        <v>102.09622209170804</v>
      </c>
    </row>
    <row r="37" spans="1:66">
      <c r="A37" s="127">
        <f>'Input data'!A67</f>
        <v>1967</v>
      </c>
      <c r="B37" s="866">
        <f>'Input data'!B67</f>
        <v>9.0098299199999996</v>
      </c>
      <c r="C37" s="866">
        <f>'Baseline data (from input)'!B23</f>
        <v>578.73</v>
      </c>
      <c r="D37" s="777">
        <f>'Baseline data (from input)'!T23</f>
        <v>0.8</v>
      </c>
      <c r="E37" s="777">
        <f t="shared" si="41"/>
        <v>0.24001298204245269</v>
      </c>
      <c r="F37" s="777">
        <f t="shared" si="41"/>
        <v>0.30440139352934503</v>
      </c>
      <c r="G37" s="777">
        <f t="shared" si="41"/>
        <v>5.8998240613430578E-2</v>
      </c>
      <c r="H37" s="777">
        <f t="shared" si="41"/>
        <v>0</v>
      </c>
      <c r="I37" s="777">
        <f t="shared" si="41"/>
        <v>0</v>
      </c>
      <c r="J37" s="777">
        <f t="shared" si="41"/>
        <v>0</v>
      </c>
      <c r="K37" s="777">
        <f t="shared" si="41"/>
        <v>0.39658738381477154</v>
      </c>
      <c r="L37" s="874">
        <f t="shared" si="42"/>
        <v>0.99999999999999989</v>
      </c>
      <c r="N37" s="300">
        <f t="shared" si="1"/>
        <v>4171.4070956812802</v>
      </c>
      <c r="O37" s="908">
        <f>Parameters!R138</f>
        <v>0.73</v>
      </c>
      <c r="P37" s="908">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906">
        <f t="shared" si="2"/>
        <v>183.44077904801361</v>
      </c>
      <c r="R37" s="906">
        <f t="shared" si="3"/>
        <v>183.44077904801361</v>
      </c>
      <c r="S37" s="286">
        <f t="shared" si="4"/>
        <v>0</v>
      </c>
      <c r="T37" s="906">
        <f t="shared" si="5"/>
        <v>1823.737243157231</v>
      </c>
      <c r="U37" s="906">
        <f t="shared" si="6"/>
        <v>84.099798096595123</v>
      </c>
      <c r="V37" s="1072">
        <f t="shared" si="7"/>
        <v>56.066532064396746</v>
      </c>
      <c r="W37" s="1450">
        <f t="shared" si="8"/>
        <v>0.13527885904981399</v>
      </c>
      <c r="X37" s="914">
        <f>'Baseline data (from input)'!AS23*W37</f>
        <v>2954.4095185083984</v>
      </c>
      <c r="Y37" s="908">
        <f>Parameters!S138</f>
        <v>0.71500000000000008</v>
      </c>
      <c r="Z37" s="908">
        <f t="shared" si="9"/>
        <v>0.4</v>
      </c>
      <c r="AA37" s="906">
        <f t="shared" si="10"/>
        <v>422.48056114670101</v>
      </c>
      <c r="AB37" s="906">
        <f t="shared" si="11"/>
        <v>422.48056114670101</v>
      </c>
      <c r="AC37" s="286">
        <f t="shared" si="12"/>
        <v>0</v>
      </c>
      <c r="AD37" s="906">
        <f t="shared" si="13"/>
        <v>2167.6401406776122</v>
      </c>
      <c r="AE37" s="906">
        <f t="shared" si="14"/>
        <v>89.476244993670917</v>
      </c>
      <c r="AF37" s="1072">
        <f t="shared" si="15"/>
        <v>59.650829995780612</v>
      </c>
      <c r="AG37" s="1450">
        <f t="shared" si="16"/>
        <v>0.13527885904981399</v>
      </c>
      <c r="AH37" s="914">
        <f>'Baseline data (from input)'!AS23*AG37</f>
        <v>2954.4095185083984</v>
      </c>
      <c r="AI37" s="908">
        <f>Parameters!S138</f>
        <v>0.71500000000000008</v>
      </c>
      <c r="AJ37" s="908">
        <f t="shared" si="17"/>
        <v>0.4</v>
      </c>
      <c r="AK37" s="906">
        <f t="shared" si="18"/>
        <v>422.48056114670101</v>
      </c>
      <c r="AL37" s="906">
        <f t="shared" si="19"/>
        <v>422.48056114670101</v>
      </c>
      <c r="AM37" s="286">
        <f t="shared" si="20"/>
        <v>0</v>
      </c>
      <c r="AN37" s="906">
        <f t="shared" si="21"/>
        <v>2167.6401406776122</v>
      </c>
      <c r="AO37" s="906">
        <f t="shared" si="22"/>
        <v>89.476244993670917</v>
      </c>
      <c r="AP37" s="1072">
        <f t="shared" si="23"/>
        <v>59.650829995780612</v>
      </c>
      <c r="AR37" s="914">
        <v>0</v>
      </c>
      <c r="AS37" s="907">
        <v>1</v>
      </c>
      <c r="AT37" s="907">
        <f t="shared" si="24"/>
        <v>0.05</v>
      </c>
      <c r="AU37" s="906">
        <f t="shared" si="25"/>
        <v>0</v>
      </c>
      <c r="AV37" s="906">
        <f t="shared" si="26"/>
        <v>0</v>
      </c>
      <c r="AW37" s="286">
        <f t="shared" si="27"/>
        <v>0</v>
      </c>
      <c r="AX37" s="922">
        <f t="shared" si="28"/>
        <v>0</v>
      </c>
      <c r="AY37" s="922">
        <f t="shared" si="29"/>
        <v>0</v>
      </c>
      <c r="AZ37" s="1072">
        <f t="shared" si="30"/>
        <v>0</v>
      </c>
      <c r="BB37" s="300">
        <f t="shared" si="31"/>
        <v>56.066532064396746</v>
      </c>
      <c r="BC37" s="301">
        <f t="shared" si="32"/>
        <v>59.650829995780612</v>
      </c>
      <c r="BD37" s="1080">
        <f t="shared" si="33"/>
        <v>0</v>
      </c>
      <c r="BE37" s="301">
        <f t="shared" si="34"/>
        <v>115.71736206017735</v>
      </c>
      <c r="BF37" s="104">
        <v>0</v>
      </c>
      <c r="BG37" s="302">
        <f t="shared" si="35"/>
        <v>115.71736206017735</v>
      </c>
      <c r="BI37" s="300">
        <f t="shared" si="36"/>
        <v>56.066532064396746</v>
      </c>
      <c r="BJ37" s="301">
        <f t="shared" si="37"/>
        <v>59.650829995780612</v>
      </c>
      <c r="BK37" s="1080">
        <f t="shared" si="38"/>
        <v>0</v>
      </c>
      <c r="BL37" s="301">
        <f t="shared" si="39"/>
        <v>115.71736206017735</v>
      </c>
      <c r="BM37" s="104">
        <v>0</v>
      </c>
      <c r="BN37" s="302">
        <f t="shared" si="40"/>
        <v>115.71736206017735</v>
      </c>
    </row>
    <row r="38" spans="1:66">
      <c r="A38" s="127">
        <f>'Input data'!A68</f>
        <v>1968</v>
      </c>
      <c r="B38" s="866">
        <f>'Input data'!B68</f>
        <v>9.2808861600000014</v>
      </c>
      <c r="C38" s="866">
        <f>'Baseline data (from input)'!B24</f>
        <v>578.73</v>
      </c>
      <c r="D38" s="777">
        <f>'Baseline data (from input)'!T24</f>
        <v>0.8</v>
      </c>
      <c r="E38" s="777">
        <f t="shared" ref="E38:K53" si="43">E37</f>
        <v>0.24001298204245269</v>
      </c>
      <c r="F38" s="777">
        <f t="shared" si="43"/>
        <v>0.30440139352934503</v>
      </c>
      <c r="G38" s="777">
        <f t="shared" si="43"/>
        <v>5.8998240613430578E-2</v>
      </c>
      <c r="H38" s="777">
        <f t="shared" si="43"/>
        <v>0</v>
      </c>
      <c r="I38" s="777">
        <f t="shared" si="43"/>
        <v>0</v>
      </c>
      <c r="J38" s="777">
        <f t="shared" si="43"/>
        <v>0</v>
      </c>
      <c r="K38" s="777">
        <f t="shared" si="43"/>
        <v>0.39658738381477154</v>
      </c>
      <c r="L38" s="874">
        <f t="shared" si="42"/>
        <v>0.99999999999999989</v>
      </c>
      <c r="N38" s="300">
        <f t="shared" si="1"/>
        <v>4296.9017979014416</v>
      </c>
      <c r="O38" s="908">
        <f>Parameters!R139</f>
        <v>0.73</v>
      </c>
      <c r="P38" s="908">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906">
        <f t="shared" si="2"/>
        <v>188.95950340495753</v>
      </c>
      <c r="R38" s="906">
        <f t="shared" si="3"/>
        <v>188.95950340495753</v>
      </c>
      <c r="S38" s="286">
        <f t="shared" si="4"/>
        <v>0</v>
      </c>
      <c r="T38" s="906">
        <f t="shared" si="5"/>
        <v>1923.7520316539292</v>
      </c>
      <c r="U38" s="906">
        <f t="shared" si="6"/>
        <v>88.944714908259414</v>
      </c>
      <c r="V38" s="1072">
        <f t="shared" si="7"/>
        <v>59.296476605506278</v>
      </c>
      <c r="W38" s="1450">
        <f t="shared" si="8"/>
        <v>0.13527885904981399</v>
      </c>
      <c r="X38" s="914">
        <f>'Baseline data (from input)'!AS24*W38</f>
        <v>3077.1192874392077</v>
      </c>
      <c r="Y38" s="908">
        <f>Parameters!S139</f>
        <v>0.71500000000000008</v>
      </c>
      <c r="Z38" s="908">
        <f t="shared" si="9"/>
        <v>0.4</v>
      </c>
      <c r="AA38" s="906">
        <f t="shared" si="10"/>
        <v>440.02805810380676</v>
      </c>
      <c r="AB38" s="906">
        <f t="shared" si="11"/>
        <v>440.02805810380676</v>
      </c>
      <c r="AC38" s="286">
        <f t="shared" si="12"/>
        <v>0</v>
      </c>
      <c r="AD38" s="906">
        <f t="shared" si="13"/>
        <v>2501.9511416452187</v>
      </c>
      <c r="AE38" s="906">
        <f t="shared" si="14"/>
        <v>105.71705713620038</v>
      </c>
      <c r="AF38" s="1072">
        <f t="shared" si="15"/>
        <v>70.478038090800254</v>
      </c>
      <c r="AG38" s="1450">
        <f t="shared" si="16"/>
        <v>0.13527885904981399</v>
      </c>
      <c r="AH38" s="914">
        <f>'Baseline data (from input)'!AS24*AG38</f>
        <v>3077.1192874392077</v>
      </c>
      <c r="AI38" s="908">
        <f>Parameters!S139</f>
        <v>0.71500000000000008</v>
      </c>
      <c r="AJ38" s="908">
        <f t="shared" si="17"/>
        <v>0.4</v>
      </c>
      <c r="AK38" s="906">
        <f t="shared" si="18"/>
        <v>440.02805810380676</v>
      </c>
      <c r="AL38" s="906">
        <f t="shared" si="19"/>
        <v>440.02805810380676</v>
      </c>
      <c r="AM38" s="286">
        <f t="shared" si="20"/>
        <v>0</v>
      </c>
      <c r="AN38" s="906">
        <f t="shared" si="21"/>
        <v>2501.9511416452187</v>
      </c>
      <c r="AO38" s="906">
        <f t="shared" si="22"/>
        <v>105.71705713620038</v>
      </c>
      <c r="AP38" s="1072">
        <f t="shared" si="23"/>
        <v>70.478038090800254</v>
      </c>
      <c r="AR38" s="914">
        <v>0</v>
      </c>
      <c r="AS38" s="907">
        <v>1</v>
      </c>
      <c r="AT38" s="907">
        <f t="shared" si="24"/>
        <v>0.05</v>
      </c>
      <c r="AU38" s="906">
        <f t="shared" si="25"/>
        <v>0</v>
      </c>
      <c r="AV38" s="906">
        <f t="shared" si="26"/>
        <v>0</v>
      </c>
      <c r="AW38" s="286">
        <f t="shared" si="27"/>
        <v>0</v>
      </c>
      <c r="AX38" s="922">
        <f t="shared" si="28"/>
        <v>0</v>
      </c>
      <c r="AY38" s="922">
        <f t="shared" si="29"/>
        <v>0</v>
      </c>
      <c r="AZ38" s="1072">
        <f t="shared" si="30"/>
        <v>0</v>
      </c>
      <c r="BB38" s="300">
        <f t="shared" si="31"/>
        <v>59.296476605506278</v>
      </c>
      <c r="BC38" s="301">
        <f t="shared" si="32"/>
        <v>70.478038090800254</v>
      </c>
      <c r="BD38" s="1080">
        <f t="shared" si="33"/>
        <v>0</v>
      </c>
      <c r="BE38" s="301">
        <f t="shared" si="34"/>
        <v>129.77451469630654</v>
      </c>
      <c r="BF38" s="104">
        <v>0</v>
      </c>
      <c r="BG38" s="302">
        <f t="shared" si="35"/>
        <v>129.77451469630654</v>
      </c>
      <c r="BI38" s="300">
        <f t="shared" si="36"/>
        <v>59.296476605506278</v>
      </c>
      <c r="BJ38" s="301">
        <f t="shared" si="37"/>
        <v>70.478038090800254</v>
      </c>
      <c r="BK38" s="1080">
        <f t="shared" si="38"/>
        <v>0</v>
      </c>
      <c r="BL38" s="301">
        <f t="shared" si="39"/>
        <v>129.77451469630654</v>
      </c>
      <c r="BM38" s="104">
        <v>0</v>
      </c>
      <c r="BN38" s="302">
        <f t="shared" si="40"/>
        <v>129.77451469630654</v>
      </c>
    </row>
    <row r="39" spans="1:66">
      <c r="A39" s="127">
        <f>'Input data'!A69</f>
        <v>1969</v>
      </c>
      <c r="B39" s="866">
        <f>'Input data'!B69</f>
        <v>9.5539007199999997</v>
      </c>
      <c r="C39" s="866">
        <f>'Baseline data (from input)'!B25</f>
        <v>578.73</v>
      </c>
      <c r="D39" s="777">
        <f>'Baseline data (from input)'!T25</f>
        <v>0.8</v>
      </c>
      <c r="E39" s="777">
        <f t="shared" si="43"/>
        <v>0.24001298204245269</v>
      </c>
      <c r="F39" s="777">
        <f t="shared" si="43"/>
        <v>0.30440139352934503</v>
      </c>
      <c r="G39" s="777">
        <f t="shared" si="43"/>
        <v>5.8998240613430578E-2</v>
      </c>
      <c r="H39" s="777">
        <f t="shared" si="43"/>
        <v>0</v>
      </c>
      <c r="I39" s="777">
        <f t="shared" si="43"/>
        <v>0</v>
      </c>
      <c r="J39" s="777">
        <f t="shared" si="43"/>
        <v>0</v>
      </c>
      <c r="K39" s="777">
        <f t="shared" si="43"/>
        <v>0.39658738381477154</v>
      </c>
      <c r="L39" s="874">
        <f t="shared" si="42"/>
        <v>0.99999999999999989</v>
      </c>
      <c r="N39" s="300">
        <f t="shared" si="1"/>
        <v>4423.3031709484803</v>
      </c>
      <c r="O39" s="908">
        <f>Parameters!R140</f>
        <v>0.73</v>
      </c>
      <c r="P39" s="908">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906">
        <f t="shared" si="2"/>
        <v>194.51809929661559</v>
      </c>
      <c r="R39" s="906">
        <f t="shared" si="3"/>
        <v>194.51809929661559</v>
      </c>
      <c r="S39" s="286">
        <f t="shared" si="4"/>
        <v>0</v>
      </c>
      <c r="T39" s="906">
        <f t="shared" si="5"/>
        <v>2024.4476372488621</v>
      </c>
      <c r="U39" s="906">
        <f t="shared" si="6"/>
        <v>93.82249370168276</v>
      </c>
      <c r="V39" s="1072">
        <f t="shared" si="7"/>
        <v>62.548329134455173</v>
      </c>
      <c r="W39" s="1450">
        <f t="shared" si="8"/>
        <v>0.13527885904981399</v>
      </c>
      <c r="X39" s="914">
        <f>'Baseline data (from input)'!AS25*W39</f>
        <v>3222.2310206717084</v>
      </c>
      <c r="Y39" s="908">
        <f>Parameters!S140</f>
        <v>0.71500000000000008</v>
      </c>
      <c r="Z39" s="908">
        <f t="shared" si="9"/>
        <v>0.4</v>
      </c>
      <c r="AA39" s="906">
        <f t="shared" si="10"/>
        <v>460.77903595605443</v>
      </c>
      <c r="AB39" s="906">
        <f t="shared" si="11"/>
        <v>460.77903595605443</v>
      </c>
      <c r="AC39" s="286">
        <f t="shared" si="12"/>
        <v>0</v>
      </c>
      <c r="AD39" s="906">
        <f t="shared" si="13"/>
        <v>2840.7085805521401</v>
      </c>
      <c r="AE39" s="906">
        <f t="shared" si="14"/>
        <v>122.02159704913291</v>
      </c>
      <c r="AF39" s="1072">
        <f t="shared" si="15"/>
        <v>81.34773136608861</v>
      </c>
      <c r="AG39" s="1450">
        <f t="shared" si="16"/>
        <v>0.13527885904981399</v>
      </c>
      <c r="AH39" s="914">
        <f>'Baseline data (from input)'!AS25*AG39</f>
        <v>3222.2310206717084</v>
      </c>
      <c r="AI39" s="908">
        <f>Parameters!S140</f>
        <v>0.71500000000000008</v>
      </c>
      <c r="AJ39" s="908">
        <f t="shared" si="17"/>
        <v>0.4</v>
      </c>
      <c r="AK39" s="906">
        <f t="shared" si="18"/>
        <v>460.77903595605443</v>
      </c>
      <c r="AL39" s="906">
        <f t="shared" si="19"/>
        <v>460.77903595605443</v>
      </c>
      <c r="AM39" s="286">
        <f t="shared" si="20"/>
        <v>0</v>
      </c>
      <c r="AN39" s="906">
        <f t="shared" si="21"/>
        <v>2840.7085805521401</v>
      </c>
      <c r="AO39" s="906">
        <f t="shared" si="22"/>
        <v>122.02159704913291</v>
      </c>
      <c r="AP39" s="1072">
        <f t="shared" si="23"/>
        <v>81.34773136608861</v>
      </c>
      <c r="AR39" s="914">
        <v>0</v>
      </c>
      <c r="AS39" s="907">
        <v>1</v>
      </c>
      <c r="AT39" s="907">
        <f t="shared" si="24"/>
        <v>0.05</v>
      </c>
      <c r="AU39" s="906">
        <f t="shared" si="25"/>
        <v>0</v>
      </c>
      <c r="AV39" s="906">
        <f t="shared" si="26"/>
        <v>0</v>
      </c>
      <c r="AW39" s="286">
        <f t="shared" si="27"/>
        <v>0</v>
      </c>
      <c r="AX39" s="922">
        <f t="shared" si="28"/>
        <v>0</v>
      </c>
      <c r="AY39" s="922">
        <f t="shared" si="29"/>
        <v>0</v>
      </c>
      <c r="AZ39" s="1072">
        <f t="shared" si="30"/>
        <v>0</v>
      </c>
      <c r="BB39" s="300">
        <f t="shared" si="31"/>
        <v>62.548329134455173</v>
      </c>
      <c r="BC39" s="301">
        <f t="shared" si="32"/>
        <v>81.34773136608861</v>
      </c>
      <c r="BD39" s="1080">
        <f t="shared" si="33"/>
        <v>0</v>
      </c>
      <c r="BE39" s="301">
        <f t="shared" si="34"/>
        <v>143.8960605005438</v>
      </c>
      <c r="BF39" s="104">
        <v>0</v>
      </c>
      <c r="BG39" s="302">
        <f t="shared" si="35"/>
        <v>143.8960605005438</v>
      </c>
      <c r="BI39" s="300">
        <f t="shared" si="36"/>
        <v>62.548329134455173</v>
      </c>
      <c r="BJ39" s="301">
        <f t="shared" si="37"/>
        <v>81.34773136608861</v>
      </c>
      <c r="BK39" s="1080">
        <f t="shared" si="38"/>
        <v>0</v>
      </c>
      <c r="BL39" s="301">
        <f t="shared" si="39"/>
        <v>143.8960605005438</v>
      </c>
      <c r="BM39" s="104">
        <v>0</v>
      </c>
      <c r="BN39" s="302">
        <f t="shared" si="40"/>
        <v>143.8960605005438</v>
      </c>
    </row>
    <row r="40" spans="1:66">
      <c r="A40" s="127">
        <f>'Input data'!A70</f>
        <v>1970</v>
      </c>
      <c r="B40" s="866">
        <f>'Input data'!B70</f>
        <v>9.8288735999999997</v>
      </c>
      <c r="C40" s="866">
        <f>'Baseline data (from input)'!B26</f>
        <v>578.73</v>
      </c>
      <c r="D40" s="777">
        <f>'Baseline data (from input)'!T26</f>
        <v>0.8</v>
      </c>
      <c r="E40" s="777">
        <f t="shared" si="43"/>
        <v>0.24001298204245269</v>
      </c>
      <c r="F40" s="777">
        <f t="shared" si="43"/>
        <v>0.30440139352934503</v>
      </c>
      <c r="G40" s="777">
        <f t="shared" si="43"/>
        <v>5.8998240613430578E-2</v>
      </c>
      <c r="H40" s="777">
        <f t="shared" si="43"/>
        <v>0</v>
      </c>
      <c r="I40" s="777">
        <f t="shared" si="43"/>
        <v>0</v>
      </c>
      <c r="J40" s="777">
        <f t="shared" si="43"/>
        <v>0</v>
      </c>
      <c r="K40" s="777">
        <f t="shared" si="43"/>
        <v>0.39658738381477154</v>
      </c>
      <c r="L40" s="874">
        <f t="shared" si="42"/>
        <v>0.99999999999999989</v>
      </c>
      <c r="N40" s="300">
        <f t="shared" si="1"/>
        <v>4550.6112148224001</v>
      </c>
      <c r="O40" s="908">
        <f>Parameters!R141</f>
        <v>0.73</v>
      </c>
      <c r="P40" s="908">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906">
        <f t="shared" si="2"/>
        <v>200.11656672298804</v>
      </c>
      <c r="R40" s="906">
        <f t="shared" si="3"/>
        <v>200.11656672298804</v>
      </c>
      <c r="S40" s="286">
        <f t="shared" si="4"/>
        <v>0</v>
      </c>
      <c r="T40" s="906">
        <f t="shared" si="5"/>
        <v>2125.8307276350533</v>
      </c>
      <c r="U40" s="906">
        <f t="shared" si="6"/>
        <v>98.733476336796755</v>
      </c>
      <c r="V40" s="1072">
        <f t="shared" si="7"/>
        <v>65.822317557864508</v>
      </c>
      <c r="W40" s="1450">
        <f t="shared" si="8"/>
        <v>0.13527885904981399</v>
      </c>
      <c r="X40" s="914">
        <f>'Baseline data (from input)'!AS26*W40</f>
        <v>3391.3554268236512</v>
      </c>
      <c r="Y40" s="908">
        <f>Parameters!S141</f>
        <v>0.71500000000000008</v>
      </c>
      <c r="Z40" s="908">
        <f t="shared" si="9"/>
        <v>0.4</v>
      </c>
      <c r="AA40" s="906">
        <f t="shared" si="10"/>
        <v>484.96382603578223</v>
      </c>
      <c r="AB40" s="906">
        <f t="shared" si="11"/>
        <v>484.96382603578223</v>
      </c>
      <c r="AC40" s="286">
        <f t="shared" si="12"/>
        <v>0</v>
      </c>
      <c r="AD40" s="906">
        <f t="shared" si="13"/>
        <v>3187.129414288635</v>
      </c>
      <c r="AE40" s="906">
        <f t="shared" si="14"/>
        <v>138.54299229928768</v>
      </c>
      <c r="AF40" s="1072">
        <f t="shared" si="15"/>
        <v>92.361994866191779</v>
      </c>
      <c r="AG40" s="1450">
        <f t="shared" si="16"/>
        <v>0.13527885904981399</v>
      </c>
      <c r="AH40" s="914">
        <f>'Baseline data (from input)'!AS26*AG40</f>
        <v>3391.3554268236512</v>
      </c>
      <c r="AI40" s="908">
        <f>Parameters!S141</f>
        <v>0.71500000000000008</v>
      </c>
      <c r="AJ40" s="908">
        <f t="shared" si="17"/>
        <v>0.4</v>
      </c>
      <c r="AK40" s="906">
        <f t="shared" si="18"/>
        <v>484.96382603578223</v>
      </c>
      <c r="AL40" s="906">
        <f t="shared" si="19"/>
        <v>484.96382603578223</v>
      </c>
      <c r="AM40" s="286">
        <f t="shared" si="20"/>
        <v>0</v>
      </c>
      <c r="AN40" s="906">
        <f t="shared" si="21"/>
        <v>3187.129414288635</v>
      </c>
      <c r="AO40" s="906">
        <f t="shared" si="22"/>
        <v>138.54299229928768</v>
      </c>
      <c r="AP40" s="1072">
        <f t="shared" si="23"/>
        <v>92.361994866191779</v>
      </c>
      <c r="AR40" s="914">
        <v>0</v>
      </c>
      <c r="AS40" s="907">
        <v>1</v>
      </c>
      <c r="AT40" s="907">
        <f t="shared" si="24"/>
        <v>0.05</v>
      </c>
      <c r="AU40" s="906">
        <f t="shared" si="25"/>
        <v>0</v>
      </c>
      <c r="AV40" s="906">
        <f t="shared" si="26"/>
        <v>0</v>
      </c>
      <c r="AW40" s="286">
        <f t="shared" si="27"/>
        <v>0</v>
      </c>
      <c r="AX40" s="922">
        <f t="shared" si="28"/>
        <v>0</v>
      </c>
      <c r="AY40" s="922">
        <f t="shared" si="29"/>
        <v>0</v>
      </c>
      <c r="AZ40" s="1072">
        <f t="shared" si="30"/>
        <v>0</v>
      </c>
      <c r="BB40" s="300">
        <f t="shared" si="31"/>
        <v>65.822317557864508</v>
      </c>
      <c r="BC40" s="301">
        <f t="shared" si="32"/>
        <v>92.361994866191779</v>
      </c>
      <c r="BD40" s="1080">
        <f t="shared" si="33"/>
        <v>0</v>
      </c>
      <c r="BE40" s="301">
        <f t="shared" si="34"/>
        <v>158.18431242405629</v>
      </c>
      <c r="BF40" s="104">
        <v>0</v>
      </c>
      <c r="BG40" s="302">
        <f t="shared" si="35"/>
        <v>158.18431242405629</v>
      </c>
      <c r="BI40" s="300">
        <f t="shared" si="36"/>
        <v>65.822317557864508</v>
      </c>
      <c r="BJ40" s="301">
        <f t="shared" si="37"/>
        <v>92.361994866191779</v>
      </c>
      <c r="BK40" s="1080">
        <f t="shared" si="38"/>
        <v>0</v>
      </c>
      <c r="BL40" s="301">
        <f t="shared" si="39"/>
        <v>158.18431242405629</v>
      </c>
      <c r="BM40" s="104">
        <v>0</v>
      </c>
      <c r="BN40" s="302">
        <f t="shared" si="40"/>
        <v>158.18431242405629</v>
      </c>
    </row>
    <row r="41" spans="1:66">
      <c r="A41" s="127">
        <f>'Input data'!A71</f>
        <v>1971</v>
      </c>
      <c r="B41" s="866">
        <f>'Input data'!B71</f>
        <v>20.567820000000001</v>
      </c>
      <c r="C41" s="866">
        <f>'Baseline data (from input)'!B27</f>
        <v>578.73</v>
      </c>
      <c r="D41" s="777">
        <f>'Baseline data (from input)'!T27</f>
        <v>0.8</v>
      </c>
      <c r="E41" s="777">
        <f t="shared" si="43"/>
        <v>0.24001298204245269</v>
      </c>
      <c r="F41" s="777">
        <f t="shared" si="43"/>
        <v>0.30440139352934503</v>
      </c>
      <c r="G41" s="777">
        <f t="shared" si="43"/>
        <v>5.8998240613430578E-2</v>
      </c>
      <c r="H41" s="777">
        <f t="shared" si="43"/>
        <v>0</v>
      </c>
      <c r="I41" s="777">
        <f t="shared" si="43"/>
        <v>0</v>
      </c>
      <c r="J41" s="777">
        <f t="shared" si="43"/>
        <v>0</v>
      </c>
      <c r="K41" s="777">
        <f t="shared" si="43"/>
        <v>0.39658738381477154</v>
      </c>
      <c r="L41" s="874">
        <f t="shared" si="42"/>
        <v>0.99999999999999989</v>
      </c>
      <c r="N41" s="300">
        <f t="shared" si="1"/>
        <v>9522.5715748800012</v>
      </c>
      <c r="O41" s="908">
        <f>Parameters!R142</f>
        <v>0.73</v>
      </c>
      <c r="P41" s="908">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906">
        <f t="shared" si="2"/>
        <v>418.76228048923213</v>
      </c>
      <c r="R41" s="906">
        <f t="shared" si="3"/>
        <v>418.76228048923213</v>
      </c>
      <c r="S41" s="286">
        <f t="shared" si="4"/>
        <v>0</v>
      </c>
      <c r="T41" s="906">
        <f t="shared" si="5"/>
        <v>2440.9150201234579</v>
      </c>
      <c r="U41" s="906">
        <f t="shared" si="6"/>
        <v>103.67798800082743</v>
      </c>
      <c r="V41" s="1072">
        <f t="shared" si="7"/>
        <v>69.118658667218284</v>
      </c>
      <c r="W41" s="1450">
        <f t="shared" si="8"/>
        <v>0.13527885904981399</v>
      </c>
      <c r="X41" s="914">
        <f>'Baseline data (from input)'!AS27*W41</f>
        <v>3536.4705226797223</v>
      </c>
      <c r="Y41" s="908">
        <f>Parameters!S142</f>
        <v>0.71500000000000008</v>
      </c>
      <c r="Z41" s="908">
        <f t="shared" si="9"/>
        <v>0.4</v>
      </c>
      <c r="AA41" s="906">
        <f t="shared" si="10"/>
        <v>505.71528474320036</v>
      </c>
      <c r="AB41" s="906">
        <f t="shared" si="11"/>
        <v>505.71528474320036</v>
      </c>
      <c r="AC41" s="286">
        <f t="shared" si="12"/>
        <v>0</v>
      </c>
      <c r="AD41" s="906">
        <f t="shared" si="13"/>
        <v>3537.4065633062764</v>
      </c>
      <c r="AE41" s="906">
        <f t="shared" si="14"/>
        <v>155.43813572555899</v>
      </c>
      <c r="AF41" s="1072">
        <f t="shared" si="15"/>
        <v>103.62542381703933</v>
      </c>
      <c r="AG41" s="1450">
        <f t="shared" si="16"/>
        <v>0.13527885904981399</v>
      </c>
      <c r="AH41" s="914">
        <f>'Baseline data (from input)'!AS27*AG41</f>
        <v>3536.4705226797223</v>
      </c>
      <c r="AI41" s="908">
        <f>Parameters!S142</f>
        <v>0.71500000000000008</v>
      </c>
      <c r="AJ41" s="908">
        <f t="shared" si="17"/>
        <v>0.4</v>
      </c>
      <c r="AK41" s="906">
        <f t="shared" si="18"/>
        <v>505.71528474320036</v>
      </c>
      <c r="AL41" s="906">
        <f t="shared" si="19"/>
        <v>505.71528474320036</v>
      </c>
      <c r="AM41" s="286">
        <f t="shared" si="20"/>
        <v>0</v>
      </c>
      <c r="AN41" s="906">
        <f t="shared" si="21"/>
        <v>3537.4065633062764</v>
      </c>
      <c r="AO41" s="906">
        <f t="shared" si="22"/>
        <v>155.43813572555899</v>
      </c>
      <c r="AP41" s="1072">
        <f t="shared" si="23"/>
        <v>103.62542381703933</v>
      </c>
      <c r="AR41" s="914">
        <v>0</v>
      </c>
      <c r="AS41" s="907">
        <v>1</v>
      </c>
      <c r="AT41" s="907">
        <f t="shared" si="24"/>
        <v>0.05</v>
      </c>
      <c r="AU41" s="906">
        <f t="shared" si="25"/>
        <v>0</v>
      </c>
      <c r="AV41" s="906">
        <f t="shared" si="26"/>
        <v>0</v>
      </c>
      <c r="AW41" s="286">
        <f t="shared" si="27"/>
        <v>0</v>
      </c>
      <c r="AX41" s="922">
        <f t="shared" si="28"/>
        <v>0</v>
      </c>
      <c r="AY41" s="922">
        <f t="shared" si="29"/>
        <v>0</v>
      </c>
      <c r="AZ41" s="1072">
        <f t="shared" si="30"/>
        <v>0</v>
      </c>
      <c r="BB41" s="300">
        <f t="shared" si="31"/>
        <v>69.118658667218284</v>
      </c>
      <c r="BC41" s="301">
        <f t="shared" si="32"/>
        <v>103.62542381703933</v>
      </c>
      <c r="BD41" s="1080">
        <f t="shared" si="33"/>
        <v>0</v>
      </c>
      <c r="BE41" s="301">
        <f t="shared" si="34"/>
        <v>172.7440824842576</v>
      </c>
      <c r="BF41" s="104">
        <v>0</v>
      </c>
      <c r="BG41" s="302">
        <f t="shared" si="35"/>
        <v>172.7440824842576</v>
      </c>
      <c r="BI41" s="300">
        <f t="shared" si="36"/>
        <v>69.118658667218284</v>
      </c>
      <c r="BJ41" s="301">
        <f t="shared" si="37"/>
        <v>103.62542381703933</v>
      </c>
      <c r="BK41" s="1080">
        <f t="shared" si="38"/>
        <v>0</v>
      </c>
      <c r="BL41" s="301">
        <f t="shared" si="39"/>
        <v>172.7440824842576</v>
      </c>
      <c r="BM41" s="104">
        <v>0</v>
      </c>
      <c r="BN41" s="302">
        <f t="shared" si="40"/>
        <v>172.7440824842576</v>
      </c>
    </row>
    <row r="42" spans="1:66">
      <c r="A42" s="127">
        <f>'Input data'!A72</f>
        <v>1972</v>
      </c>
      <c r="B42" s="866">
        <f>'Input data'!B72</f>
        <v>21.04466</v>
      </c>
      <c r="C42" s="866">
        <f>'Baseline data (from input)'!B28</f>
        <v>578.73</v>
      </c>
      <c r="D42" s="777">
        <f>'Baseline data (from input)'!T28</f>
        <v>0.8</v>
      </c>
      <c r="E42" s="777">
        <f t="shared" si="43"/>
        <v>0.24001298204245269</v>
      </c>
      <c r="F42" s="777">
        <f t="shared" si="43"/>
        <v>0.30440139352934503</v>
      </c>
      <c r="G42" s="777">
        <f t="shared" si="43"/>
        <v>5.8998240613430578E-2</v>
      </c>
      <c r="H42" s="777">
        <f t="shared" si="43"/>
        <v>0</v>
      </c>
      <c r="I42" s="777">
        <f t="shared" si="43"/>
        <v>0</v>
      </c>
      <c r="J42" s="777">
        <f t="shared" si="43"/>
        <v>0</v>
      </c>
      <c r="K42" s="777">
        <f t="shared" si="43"/>
        <v>0.39658738381477154</v>
      </c>
      <c r="L42" s="874">
        <f t="shared" si="42"/>
        <v>0.99999999999999989</v>
      </c>
      <c r="N42" s="300">
        <f t="shared" si="1"/>
        <v>9743.3408654400009</v>
      </c>
      <c r="O42" s="908">
        <f>Parameters!R143</f>
        <v>0.73</v>
      </c>
      <c r="P42" s="908">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906">
        <f t="shared" si="2"/>
        <v>428.47077686018849</v>
      </c>
      <c r="R42" s="906">
        <f t="shared" si="3"/>
        <v>428.47077686018849</v>
      </c>
      <c r="S42" s="286">
        <f t="shared" si="4"/>
        <v>0</v>
      </c>
      <c r="T42" s="906">
        <f t="shared" si="5"/>
        <v>2750.3409667073738</v>
      </c>
      <c r="U42" s="906">
        <f t="shared" si="6"/>
        <v>119.04483027627226</v>
      </c>
      <c r="V42" s="1072">
        <f t="shared" si="7"/>
        <v>79.363220184181515</v>
      </c>
      <c r="W42" s="1450">
        <f t="shared" si="8"/>
        <v>0.13527885904981399</v>
      </c>
      <c r="X42" s="914">
        <f>'Baseline data (from input)'!AS28*W42</f>
        <v>3594.9906944801801</v>
      </c>
      <c r="Y42" s="908">
        <f>Parameters!S143</f>
        <v>0.71500000000000008</v>
      </c>
      <c r="Z42" s="908">
        <f t="shared" si="9"/>
        <v>0.4</v>
      </c>
      <c r="AA42" s="906">
        <f t="shared" si="10"/>
        <v>514.08366931066587</v>
      </c>
      <c r="AB42" s="906">
        <f t="shared" si="11"/>
        <v>514.08366931066587</v>
      </c>
      <c r="AC42" s="286">
        <f t="shared" si="12"/>
        <v>0</v>
      </c>
      <c r="AD42" s="906">
        <f t="shared" si="13"/>
        <v>3878.9688787495438</v>
      </c>
      <c r="AE42" s="906">
        <f t="shared" si="14"/>
        <v>172.52135386739852</v>
      </c>
      <c r="AF42" s="1072">
        <f t="shared" si="15"/>
        <v>115.01423591159902</v>
      </c>
      <c r="AG42" s="1450">
        <f t="shared" si="16"/>
        <v>0.13527885904981399</v>
      </c>
      <c r="AH42" s="914">
        <f>'Baseline data (from input)'!AS28*AG42</f>
        <v>3594.9906944801801</v>
      </c>
      <c r="AI42" s="908">
        <f>Parameters!S143</f>
        <v>0.71500000000000008</v>
      </c>
      <c r="AJ42" s="908">
        <f t="shared" si="17"/>
        <v>0.4</v>
      </c>
      <c r="AK42" s="906">
        <f t="shared" si="18"/>
        <v>514.08366931066587</v>
      </c>
      <c r="AL42" s="906">
        <f t="shared" si="19"/>
        <v>514.08366931066587</v>
      </c>
      <c r="AM42" s="286">
        <f t="shared" si="20"/>
        <v>0</v>
      </c>
      <c r="AN42" s="906">
        <f t="shared" si="21"/>
        <v>3878.9688787495438</v>
      </c>
      <c r="AO42" s="906">
        <f t="shared" si="22"/>
        <v>172.52135386739852</v>
      </c>
      <c r="AP42" s="1072">
        <f t="shared" si="23"/>
        <v>115.01423591159902</v>
      </c>
      <c r="AR42" s="914">
        <v>0</v>
      </c>
      <c r="AS42" s="907">
        <v>1</v>
      </c>
      <c r="AT42" s="907">
        <f t="shared" si="24"/>
        <v>0.05</v>
      </c>
      <c r="AU42" s="906">
        <f t="shared" si="25"/>
        <v>0</v>
      </c>
      <c r="AV42" s="906">
        <f t="shared" si="26"/>
        <v>0</v>
      </c>
      <c r="AW42" s="286">
        <f t="shared" si="27"/>
        <v>0</v>
      </c>
      <c r="AX42" s="922">
        <f t="shared" si="28"/>
        <v>0</v>
      </c>
      <c r="AY42" s="922">
        <f t="shared" si="29"/>
        <v>0</v>
      </c>
      <c r="AZ42" s="1072">
        <f t="shared" si="30"/>
        <v>0</v>
      </c>
      <c r="BB42" s="300">
        <f t="shared" si="31"/>
        <v>79.363220184181515</v>
      </c>
      <c r="BC42" s="301">
        <f t="shared" si="32"/>
        <v>115.01423591159902</v>
      </c>
      <c r="BD42" s="1080">
        <f t="shared" si="33"/>
        <v>0</v>
      </c>
      <c r="BE42" s="301">
        <f t="shared" si="34"/>
        <v>194.37745609578053</v>
      </c>
      <c r="BF42" s="104">
        <v>0</v>
      </c>
      <c r="BG42" s="302">
        <f t="shared" si="35"/>
        <v>194.37745609578053</v>
      </c>
      <c r="BI42" s="300">
        <f t="shared" si="36"/>
        <v>79.363220184181515</v>
      </c>
      <c r="BJ42" s="301">
        <f t="shared" si="37"/>
        <v>115.01423591159902</v>
      </c>
      <c r="BK42" s="1080">
        <f t="shared" si="38"/>
        <v>0</v>
      </c>
      <c r="BL42" s="301">
        <f t="shared" si="39"/>
        <v>194.37745609578053</v>
      </c>
      <c r="BM42" s="104">
        <v>0</v>
      </c>
      <c r="BN42" s="302">
        <f t="shared" si="40"/>
        <v>194.37745609578053</v>
      </c>
    </row>
    <row r="43" spans="1:66">
      <c r="A43" s="127">
        <f>'Input data'!A73</f>
        <v>1973</v>
      </c>
      <c r="B43" s="866">
        <f>'Input data'!B73</f>
        <v>21.526959999999999</v>
      </c>
      <c r="C43" s="866">
        <f>'Baseline data (from input)'!B29</f>
        <v>578.73</v>
      </c>
      <c r="D43" s="777">
        <f>'Baseline data (from input)'!T29</f>
        <v>0.8</v>
      </c>
      <c r="E43" s="777">
        <f t="shared" si="43"/>
        <v>0.24001298204245269</v>
      </c>
      <c r="F43" s="777">
        <f t="shared" si="43"/>
        <v>0.30440139352934503</v>
      </c>
      <c r="G43" s="777">
        <f t="shared" si="43"/>
        <v>5.8998240613430578E-2</v>
      </c>
      <c r="H43" s="777">
        <f t="shared" si="43"/>
        <v>0</v>
      </c>
      <c r="I43" s="777">
        <f t="shared" si="43"/>
        <v>0</v>
      </c>
      <c r="J43" s="777">
        <f t="shared" si="43"/>
        <v>0</v>
      </c>
      <c r="K43" s="777">
        <f t="shared" si="43"/>
        <v>0.39658738381477154</v>
      </c>
      <c r="L43" s="874">
        <f t="shared" si="42"/>
        <v>0.99999999999999989</v>
      </c>
      <c r="N43" s="300">
        <f t="shared" si="1"/>
        <v>9966.6380486400012</v>
      </c>
      <c r="O43" s="908">
        <f>Parameters!R144</f>
        <v>0.73</v>
      </c>
      <c r="P43" s="908">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906">
        <f t="shared" si="2"/>
        <v>438.29043922012539</v>
      </c>
      <c r="R43" s="906">
        <f t="shared" si="3"/>
        <v>438.29043922012539</v>
      </c>
      <c r="S43" s="286">
        <f t="shared" si="4"/>
        <v>0</v>
      </c>
      <c r="T43" s="906">
        <f t="shared" si="5"/>
        <v>3054.495694161918</v>
      </c>
      <c r="U43" s="906">
        <f t="shared" si="6"/>
        <v>134.13571176558116</v>
      </c>
      <c r="V43" s="1072">
        <f t="shared" si="7"/>
        <v>89.42380784372078</v>
      </c>
      <c r="W43" s="1450">
        <f t="shared" si="8"/>
        <v>0.13527885904981399</v>
      </c>
      <c r="X43" s="914">
        <f>'Baseline data (from input)'!AS29*W43</f>
        <v>3759.3535903374673</v>
      </c>
      <c r="Y43" s="908">
        <f>Parameters!S144</f>
        <v>0.71500000000000008</v>
      </c>
      <c r="Z43" s="908">
        <f t="shared" si="9"/>
        <v>0.4</v>
      </c>
      <c r="AA43" s="906">
        <f t="shared" si="10"/>
        <v>537.5875634182579</v>
      </c>
      <c r="AB43" s="906">
        <f t="shared" si="11"/>
        <v>537.5875634182579</v>
      </c>
      <c r="AC43" s="286">
        <f t="shared" si="12"/>
        <v>0</v>
      </c>
      <c r="AD43" s="906">
        <f t="shared" si="13"/>
        <v>4227.3768976073661</v>
      </c>
      <c r="AE43" s="906">
        <f t="shared" si="14"/>
        <v>189.17954456043532</v>
      </c>
      <c r="AF43" s="1072">
        <f t="shared" si="15"/>
        <v>126.11969637362354</v>
      </c>
      <c r="AG43" s="1450">
        <f t="shared" si="16"/>
        <v>0.13527885904981399</v>
      </c>
      <c r="AH43" s="914">
        <f>'Baseline data (from input)'!AS29*AG43</f>
        <v>3759.3535903374673</v>
      </c>
      <c r="AI43" s="908">
        <f>Parameters!S144</f>
        <v>0.71500000000000008</v>
      </c>
      <c r="AJ43" s="908">
        <f t="shared" si="17"/>
        <v>0.4</v>
      </c>
      <c r="AK43" s="906">
        <f t="shared" si="18"/>
        <v>537.5875634182579</v>
      </c>
      <c r="AL43" s="906">
        <f t="shared" si="19"/>
        <v>537.5875634182579</v>
      </c>
      <c r="AM43" s="286">
        <f t="shared" si="20"/>
        <v>0</v>
      </c>
      <c r="AN43" s="906">
        <f t="shared" si="21"/>
        <v>4227.3768976073661</v>
      </c>
      <c r="AO43" s="906">
        <f t="shared" si="22"/>
        <v>189.17954456043532</v>
      </c>
      <c r="AP43" s="1072">
        <f t="shared" si="23"/>
        <v>126.11969637362354</v>
      </c>
      <c r="AR43" s="914">
        <v>0</v>
      </c>
      <c r="AS43" s="907">
        <v>1</v>
      </c>
      <c r="AT43" s="907">
        <f t="shared" si="24"/>
        <v>0.05</v>
      </c>
      <c r="AU43" s="906">
        <f t="shared" si="25"/>
        <v>0</v>
      </c>
      <c r="AV43" s="906">
        <f t="shared" si="26"/>
        <v>0</v>
      </c>
      <c r="AW43" s="286">
        <f t="shared" si="27"/>
        <v>0</v>
      </c>
      <c r="AX43" s="922">
        <f t="shared" si="28"/>
        <v>0</v>
      </c>
      <c r="AY43" s="922">
        <f t="shared" si="29"/>
        <v>0</v>
      </c>
      <c r="AZ43" s="1072">
        <f t="shared" si="30"/>
        <v>0</v>
      </c>
      <c r="BB43" s="300">
        <f t="shared" si="31"/>
        <v>89.42380784372078</v>
      </c>
      <c r="BC43" s="301">
        <f t="shared" si="32"/>
        <v>126.11969637362354</v>
      </c>
      <c r="BD43" s="1080">
        <f t="shared" si="33"/>
        <v>0</v>
      </c>
      <c r="BE43" s="301">
        <f t="shared" si="34"/>
        <v>215.54350421734432</v>
      </c>
      <c r="BF43" s="104">
        <v>0</v>
      </c>
      <c r="BG43" s="302">
        <f t="shared" si="35"/>
        <v>215.54350421734432</v>
      </c>
      <c r="BI43" s="300">
        <f t="shared" si="36"/>
        <v>89.42380784372078</v>
      </c>
      <c r="BJ43" s="301">
        <f t="shared" si="37"/>
        <v>126.11969637362354</v>
      </c>
      <c r="BK43" s="1080">
        <f t="shared" si="38"/>
        <v>0</v>
      </c>
      <c r="BL43" s="301">
        <f t="shared" si="39"/>
        <v>215.54350421734432</v>
      </c>
      <c r="BM43" s="104">
        <v>0</v>
      </c>
      <c r="BN43" s="302">
        <f t="shared" si="40"/>
        <v>215.54350421734432</v>
      </c>
    </row>
    <row r="44" spans="1:66">
      <c r="A44" s="127">
        <f>'Input data'!A74</f>
        <v>1974</v>
      </c>
      <c r="B44" s="866">
        <f>'Input data'!B74</f>
        <v>22.012900000000002</v>
      </c>
      <c r="C44" s="866">
        <f>'Baseline data (from input)'!B30</f>
        <v>578.73</v>
      </c>
      <c r="D44" s="777">
        <f>'Baseline data (from input)'!T30</f>
        <v>0.8</v>
      </c>
      <c r="E44" s="777">
        <f t="shared" si="43"/>
        <v>0.24001298204245269</v>
      </c>
      <c r="F44" s="777">
        <f t="shared" si="43"/>
        <v>0.30440139352934503</v>
      </c>
      <c r="G44" s="777">
        <f t="shared" si="43"/>
        <v>5.8998240613430578E-2</v>
      </c>
      <c r="H44" s="777">
        <f t="shared" si="43"/>
        <v>0</v>
      </c>
      <c r="I44" s="777">
        <f t="shared" si="43"/>
        <v>0</v>
      </c>
      <c r="J44" s="777">
        <f t="shared" si="43"/>
        <v>0</v>
      </c>
      <c r="K44" s="777">
        <f t="shared" si="43"/>
        <v>0.39658738381477154</v>
      </c>
      <c r="L44" s="874">
        <f t="shared" si="42"/>
        <v>0.99999999999999989</v>
      </c>
      <c r="N44" s="300">
        <f t="shared" si="1"/>
        <v>10191.620493600001</v>
      </c>
      <c r="O44" s="908">
        <f>Parameters!R145</f>
        <v>0.73</v>
      </c>
      <c r="P44" s="908">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906">
        <f t="shared" si="2"/>
        <v>448.18421223938253</v>
      </c>
      <c r="R44" s="906">
        <f t="shared" si="3"/>
        <v>448.18421223938253</v>
      </c>
      <c r="S44" s="286">
        <f t="shared" si="4"/>
        <v>0</v>
      </c>
      <c r="T44" s="906">
        <f t="shared" si="5"/>
        <v>3353.7103935369323</v>
      </c>
      <c r="U44" s="906">
        <f t="shared" si="6"/>
        <v>148.96951286436777</v>
      </c>
      <c r="V44" s="1072">
        <f t="shared" si="7"/>
        <v>99.313008576245181</v>
      </c>
      <c r="W44" s="1450">
        <f t="shared" si="8"/>
        <v>0.13527885904981399</v>
      </c>
      <c r="X44" s="914">
        <f>'Baseline data (from input)'!AS30*W44</f>
        <v>3989.0897356245496</v>
      </c>
      <c r="Y44" s="908">
        <f>Parameters!S145</f>
        <v>0.71500000000000008</v>
      </c>
      <c r="Z44" s="908">
        <f t="shared" si="9"/>
        <v>0.4</v>
      </c>
      <c r="AA44" s="906">
        <f t="shared" si="10"/>
        <v>570.43983219431072</v>
      </c>
      <c r="AB44" s="906">
        <f t="shared" si="11"/>
        <v>570.43983219431072</v>
      </c>
      <c r="AC44" s="286">
        <f t="shared" si="12"/>
        <v>0</v>
      </c>
      <c r="AD44" s="906">
        <f t="shared" si="13"/>
        <v>4591.645125652979</v>
      </c>
      <c r="AE44" s="906">
        <f t="shared" si="14"/>
        <v>206.17160414869741</v>
      </c>
      <c r="AF44" s="1072">
        <f t="shared" si="15"/>
        <v>137.44773609913162</v>
      </c>
      <c r="AG44" s="1450">
        <f t="shared" si="16"/>
        <v>0.13527885904981399</v>
      </c>
      <c r="AH44" s="914">
        <f>'Baseline data (from input)'!AS30*AG44</f>
        <v>3989.0897356245496</v>
      </c>
      <c r="AI44" s="908">
        <f>Parameters!S145</f>
        <v>0.71500000000000008</v>
      </c>
      <c r="AJ44" s="908">
        <f t="shared" si="17"/>
        <v>0.4</v>
      </c>
      <c r="AK44" s="906">
        <f t="shared" si="18"/>
        <v>570.43983219431072</v>
      </c>
      <c r="AL44" s="906">
        <f t="shared" si="19"/>
        <v>570.43983219431072</v>
      </c>
      <c r="AM44" s="286">
        <f t="shared" si="20"/>
        <v>0</v>
      </c>
      <c r="AN44" s="906">
        <f t="shared" si="21"/>
        <v>4591.645125652979</v>
      </c>
      <c r="AO44" s="906">
        <f t="shared" si="22"/>
        <v>206.17160414869741</v>
      </c>
      <c r="AP44" s="1072">
        <f t="shared" si="23"/>
        <v>137.44773609913162</v>
      </c>
      <c r="AR44" s="914">
        <v>0</v>
      </c>
      <c r="AS44" s="907">
        <v>1</v>
      </c>
      <c r="AT44" s="907">
        <f t="shared" si="24"/>
        <v>0.05</v>
      </c>
      <c r="AU44" s="906">
        <f t="shared" si="25"/>
        <v>0</v>
      </c>
      <c r="AV44" s="906">
        <f t="shared" si="26"/>
        <v>0</v>
      </c>
      <c r="AW44" s="286">
        <f t="shared" si="27"/>
        <v>0</v>
      </c>
      <c r="AX44" s="922">
        <f t="shared" si="28"/>
        <v>0</v>
      </c>
      <c r="AY44" s="922">
        <f t="shared" si="29"/>
        <v>0</v>
      </c>
      <c r="AZ44" s="1072">
        <f t="shared" si="30"/>
        <v>0</v>
      </c>
      <c r="BB44" s="300">
        <f t="shared" si="31"/>
        <v>99.313008576245181</v>
      </c>
      <c r="BC44" s="301">
        <f t="shared" si="32"/>
        <v>137.44773609913162</v>
      </c>
      <c r="BD44" s="1080">
        <f t="shared" si="33"/>
        <v>0</v>
      </c>
      <c r="BE44" s="301">
        <f t="shared" si="34"/>
        <v>236.7607446753768</v>
      </c>
      <c r="BF44" s="104">
        <v>0</v>
      </c>
      <c r="BG44" s="302">
        <f t="shared" si="35"/>
        <v>236.7607446753768</v>
      </c>
      <c r="BI44" s="300">
        <f t="shared" si="36"/>
        <v>99.313008576245181</v>
      </c>
      <c r="BJ44" s="301">
        <f t="shared" si="37"/>
        <v>137.44773609913162</v>
      </c>
      <c r="BK44" s="1080">
        <f t="shared" si="38"/>
        <v>0</v>
      </c>
      <c r="BL44" s="301">
        <f t="shared" si="39"/>
        <v>236.7607446753768</v>
      </c>
      <c r="BM44" s="104">
        <v>0</v>
      </c>
      <c r="BN44" s="302">
        <f t="shared" si="40"/>
        <v>236.7607446753768</v>
      </c>
    </row>
    <row r="45" spans="1:66">
      <c r="A45" s="127">
        <f>'Input data'!A75</f>
        <v>1975</v>
      </c>
      <c r="B45" s="866">
        <f>'Input data'!B75</f>
        <v>22.502480000000002</v>
      </c>
      <c r="C45" s="866">
        <f>'Baseline data (from input)'!B31</f>
        <v>578.73</v>
      </c>
      <c r="D45" s="777">
        <f>'Baseline data (from input)'!T31</f>
        <v>0.8</v>
      </c>
      <c r="E45" s="777">
        <f t="shared" si="43"/>
        <v>0.24001298204245269</v>
      </c>
      <c r="F45" s="777">
        <f t="shared" si="43"/>
        <v>0.30440139352934503</v>
      </c>
      <c r="G45" s="777">
        <f t="shared" si="43"/>
        <v>5.8998240613430578E-2</v>
      </c>
      <c r="H45" s="777">
        <f t="shared" si="43"/>
        <v>0</v>
      </c>
      <c r="I45" s="777">
        <f t="shared" si="43"/>
        <v>0</v>
      </c>
      <c r="J45" s="777">
        <f t="shared" si="43"/>
        <v>0</v>
      </c>
      <c r="K45" s="777">
        <f t="shared" si="43"/>
        <v>0.39658738381477154</v>
      </c>
      <c r="L45" s="874">
        <f t="shared" si="42"/>
        <v>0.99999999999999989</v>
      </c>
      <c r="N45" s="300">
        <f t="shared" si="1"/>
        <v>10418.288200320001</v>
      </c>
      <c r="O45" s="908">
        <f>Parameters!R146</f>
        <v>0.73</v>
      </c>
      <c r="P45" s="908">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906">
        <f t="shared" si="2"/>
        <v>458.15209591795991</v>
      </c>
      <c r="R45" s="906">
        <f t="shared" si="3"/>
        <v>458.15209591795991</v>
      </c>
      <c r="S45" s="286">
        <f t="shared" si="4"/>
        <v>0</v>
      </c>
      <c r="T45" s="906">
        <f t="shared" si="5"/>
        <v>3648.3001035041589</v>
      </c>
      <c r="U45" s="906">
        <f t="shared" si="6"/>
        <v>163.56238595073307</v>
      </c>
      <c r="V45" s="1072">
        <f t="shared" si="7"/>
        <v>109.04159063382205</v>
      </c>
      <c r="W45" s="1450">
        <f t="shared" si="8"/>
        <v>0.13527885904981399</v>
      </c>
      <c r="X45" s="914">
        <f>'Baseline data (from input)'!AS31*W45</f>
        <v>4056.7226848260902</v>
      </c>
      <c r="Y45" s="908">
        <f>Parameters!S146</f>
        <v>0.71500000000000008</v>
      </c>
      <c r="Z45" s="908">
        <f t="shared" si="9"/>
        <v>0.4</v>
      </c>
      <c r="AA45" s="906">
        <f t="shared" si="10"/>
        <v>580.11134393013106</v>
      </c>
      <c r="AB45" s="906">
        <f t="shared" si="11"/>
        <v>580.11134393013106</v>
      </c>
      <c r="AC45" s="286">
        <f t="shared" si="12"/>
        <v>0</v>
      </c>
      <c r="AD45" s="906">
        <f t="shared" si="13"/>
        <v>4947.8192943165222</v>
      </c>
      <c r="AE45" s="906">
        <f t="shared" si="14"/>
        <v>223.9371752665871</v>
      </c>
      <c r="AF45" s="1072">
        <f t="shared" si="15"/>
        <v>149.29145017772473</v>
      </c>
      <c r="AG45" s="1450">
        <f t="shared" si="16"/>
        <v>0.13527885904981399</v>
      </c>
      <c r="AH45" s="914">
        <f>'Baseline data (from input)'!AS31*AG45</f>
        <v>4056.7226848260902</v>
      </c>
      <c r="AI45" s="908">
        <f>Parameters!S146</f>
        <v>0.71500000000000008</v>
      </c>
      <c r="AJ45" s="908">
        <f t="shared" si="17"/>
        <v>0.4</v>
      </c>
      <c r="AK45" s="906">
        <f t="shared" si="18"/>
        <v>580.11134393013106</v>
      </c>
      <c r="AL45" s="906">
        <f t="shared" si="19"/>
        <v>580.11134393013106</v>
      </c>
      <c r="AM45" s="286">
        <f t="shared" si="20"/>
        <v>0</v>
      </c>
      <c r="AN45" s="906">
        <f t="shared" si="21"/>
        <v>4947.8192943165222</v>
      </c>
      <c r="AO45" s="906">
        <f t="shared" si="22"/>
        <v>223.9371752665871</v>
      </c>
      <c r="AP45" s="1072">
        <f t="shared" si="23"/>
        <v>149.29145017772473</v>
      </c>
      <c r="AR45" s="914">
        <v>0</v>
      </c>
      <c r="AS45" s="907">
        <v>1</v>
      </c>
      <c r="AT45" s="907">
        <f t="shared" si="24"/>
        <v>0.05</v>
      </c>
      <c r="AU45" s="906">
        <f t="shared" si="25"/>
        <v>0</v>
      </c>
      <c r="AV45" s="906">
        <f t="shared" si="26"/>
        <v>0</v>
      </c>
      <c r="AW45" s="286">
        <f t="shared" si="27"/>
        <v>0</v>
      </c>
      <c r="AX45" s="922">
        <f t="shared" si="28"/>
        <v>0</v>
      </c>
      <c r="AY45" s="922">
        <f t="shared" si="29"/>
        <v>0</v>
      </c>
      <c r="AZ45" s="1072">
        <f t="shared" si="30"/>
        <v>0</v>
      </c>
      <c r="BB45" s="300">
        <f t="shared" si="31"/>
        <v>109.04159063382205</v>
      </c>
      <c r="BC45" s="301">
        <f t="shared" si="32"/>
        <v>149.29145017772473</v>
      </c>
      <c r="BD45" s="1080">
        <f t="shared" si="33"/>
        <v>0</v>
      </c>
      <c r="BE45" s="301">
        <f t="shared" si="34"/>
        <v>258.33304081154677</v>
      </c>
      <c r="BF45" s="104">
        <v>0</v>
      </c>
      <c r="BG45" s="302">
        <f t="shared" si="35"/>
        <v>258.33304081154677</v>
      </c>
      <c r="BI45" s="300">
        <f t="shared" si="36"/>
        <v>109.04159063382205</v>
      </c>
      <c r="BJ45" s="301">
        <f t="shared" si="37"/>
        <v>149.29145017772473</v>
      </c>
      <c r="BK45" s="1080">
        <f t="shared" si="38"/>
        <v>0</v>
      </c>
      <c r="BL45" s="301">
        <f t="shared" si="39"/>
        <v>258.33304081154677</v>
      </c>
      <c r="BM45" s="104">
        <v>0</v>
      </c>
      <c r="BN45" s="302">
        <f t="shared" si="40"/>
        <v>258.33304081154677</v>
      </c>
    </row>
    <row r="46" spans="1:66">
      <c r="A46" s="127">
        <f>'Input data'!A76</f>
        <v>1976</v>
      </c>
      <c r="B46" s="866">
        <f>'Input data'!B76</f>
        <v>22.993880000000001</v>
      </c>
      <c r="C46" s="866">
        <f>'Baseline data (from input)'!B32</f>
        <v>578.73</v>
      </c>
      <c r="D46" s="777">
        <f>'Baseline data (from input)'!T32</f>
        <v>0.8</v>
      </c>
      <c r="E46" s="777">
        <f t="shared" si="43"/>
        <v>0.24001298204245269</v>
      </c>
      <c r="F46" s="777">
        <f t="shared" si="43"/>
        <v>0.30440139352934503</v>
      </c>
      <c r="G46" s="777">
        <f t="shared" si="43"/>
        <v>5.8998240613430578E-2</v>
      </c>
      <c r="H46" s="777">
        <f t="shared" si="43"/>
        <v>0</v>
      </c>
      <c r="I46" s="777">
        <f t="shared" si="43"/>
        <v>0</v>
      </c>
      <c r="J46" s="777">
        <f t="shared" si="43"/>
        <v>0</v>
      </c>
      <c r="K46" s="777">
        <f t="shared" si="43"/>
        <v>0.39658738381477154</v>
      </c>
      <c r="L46" s="874">
        <f t="shared" si="42"/>
        <v>0.99999999999999989</v>
      </c>
      <c r="N46" s="300">
        <f t="shared" si="1"/>
        <v>10645.798537920002</v>
      </c>
      <c r="O46" s="908">
        <f>Parameters!R147</f>
        <v>0.73</v>
      </c>
      <c r="P46" s="908">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906">
        <f t="shared" si="2"/>
        <v>468.15703492619758</v>
      </c>
      <c r="R46" s="906">
        <f t="shared" si="3"/>
        <v>468.15703492619758</v>
      </c>
      <c r="S46" s="286">
        <f t="shared" si="4"/>
        <v>0</v>
      </c>
      <c r="T46" s="906">
        <f t="shared" si="5"/>
        <v>3938.5274427883537</v>
      </c>
      <c r="U46" s="906">
        <f t="shared" si="6"/>
        <v>177.92969564200246</v>
      </c>
      <c r="V46" s="1072">
        <f t="shared" si="7"/>
        <v>118.6197970946683</v>
      </c>
      <c r="W46" s="1450">
        <f t="shared" si="8"/>
        <v>0.13527885904981399</v>
      </c>
      <c r="X46" s="914">
        <f>'Baseline data (from input)'!AS32*W46</f>
        <v>4147.9950529715297</v>
      </c>
      <c r="Y46" s="908">
        <f>Parameters!S147</f>
        <v>0.71500000000000008</v>
      </c>
      <c r="Z46" s="908">
        <f t="shared" si="9"/>
        <v>0.4</v>
      </c>
      <c r="AA46" s="906">
        <f t="shared" si="10"/>
        <v>593.16329257492885</v>
      </c>
      <c r="AB46" s="906">
        <f t="shared" si="11"/>
        <v>593.16329257492885</v>
      </c>
      <c r="AC46" s="286">
        <f t="shared" si="12"/>
        <v>0</v>
      </c>
      <c r="AD46" s="906">
        <f t="shared" si="13"/>
        <v>5299.6745924411634</v>
      </c>
      <c r="AE46" s="906">
        <f t="shared" si="14"/>
        <v>241.30799445028785</v>
      </c>
      <c r="AF46" s="1072">
        <f t="shared" si="15"/>
        <v>160.87199630019191</v>
      </c>
      <c r="AG46" s="1450">
        <f t="shared" si="16"/>
        <v>0.13527885904981399</v>
      </c>
      <c r="AH46" s="914">
        <f>'Baseline data (from input)'!AS32*AG46</f>
        <v>4147.9950529715297</v>
      </c>
      <c r="AI46" s="908">
        <f>Parameters!S147</f>
        <v>0.71500000000000008</v>
      </c>
      <c r="AJ46" s="908">
        <f t="shared" si="17"/>
        <v>0.4</v>
      </c>
      <c r="AK46" s="906">
        <f t="shared" si="18"/>
        <v>593.16329257492885</v>
      </c>
      <c r="AL46" s="906">
        <f t="shared" si="19"/>
        <v>593.16329257492885</v>
      </c>
      <c r="AM46" s="286">
        <f t="shared" si="20"/>
        <v>0</v>
      </c>
      <c r="AN46" s="906">
        <f t="shared" si="21"/>
        <v>5299.6745924411634</v>
      </c>
      <c r="AO46" s="906">
        <f t="shared" si="22"/>
        <v>241.30799445028785</v>
      </c>
      <c r="AP46" s="1072">
        <f t="shared" si="23"/>
        <v>160.87199630019191</v>
      </c>
      <c r="AR46" s="914">
        <v>0</v>
      </c>
      <c r="AS46" s="907">
        <v>1</v>
      </c>
      <c r="AT46" s="907">
        <f t="shared" si="24"/>
        <v>0.05</v>
      </c>
      <c r="AU46" s="906">
        <f t="shared" si="25"/>
        <v>0</v>
      </c>
      <c r="AV46" s="906">
        <f t="shared" si="26"/>
        <v>0</v>
      </c>
      <c r="AW46" s="286">
        <f t="shared" si="27"/>
        <v>0</v>
      </c>
      <c r="AX46" s="922">
        <f t="shared" si="28"/>
        <v>0</v>
      </c>
      <c r="AY46" s="922">
        <f t="shared" si="29"/>
        <v>0</v>
      </c>
      <c r="AZ46" s="1072">
        <f t="shared" si="30"/>
        <v>0</v>
      </c>
      <c r="BB46" s="300">
        <f t="shared" si="31"/>
        <v>118.6197970946683</v>
      </c>
      <c r="BC46" s="301">
        <f t="shared" si="32"/>
        <v>160.87199630019191</v>
      </c>
      <c r="BD46" s="1080">
        <f t="shared" si="33"/>
        <v>0</v>
      </c>
      <c r="BE46" s="301">
        <f t="shared" si="34"/>
        <v>279.49179339486022</v>
      </c>
      <c r="BF46" s="104">
        <v>0</v>
      </c>
      <c r="BG46" s="302">
        <f t="shared" si="35"/>
        <v>279.49179339486022</v>
      </c>
      <c r="BI46" s="300">
        <f t="shared" si="36"/>
        <v>118.6197970946683</v>
      </c>
      <c r="BJ46" s="301">
        <f t="shared" si="37"/>
        <v>160.87199630019191</v>
      </c>
      <c r="BK46" s="1080">
        <f t="shared" si="38"/>
        <v>0</v>
      </c>
      <c r="BL46" s="301">
        <f t="shared" si="39"/>
        <v>279.49179339486022</v>
      </c>
      <c r="BM46" s="104">
        <v>0</v>
      </c>
      <c r="BN46" s="302">
        <f t="shared" si="40"/>
        <v>279.49179339486022</v>
      </c>
    </row>
    <row r="47" spans="1:66">
      <c r="A47" s="127">
        <f>'Input data'!A77</f>
        <v>1977</v>
      </c>
      <c r="B47" s="866">
        <f>'Input data'!B77</f>
        <v>23.483460000000001</v>
      </c>
      <c r="C47" s="866">
        <f>'Baseline data (from input)'!B33</f>
        <v>578.73</v>
      </c>
      <c r="D47" s="777">
        <f>'Baseline data (from input)'!T33</f>
        <v>0.8</v>
      </c>
      <c r="E47" s="777">
        <f t="shared" si="43"/>
        <v>0.24001298204245269</v>
      </c>
      <c r="F47" s="777">
        <f t="shared" si="43"/>
        <v>0.30440139352934503</v>
      </c>
      <c r="G47" s="777">
        <f t="shared" si="43"/>
        <v>5.8998240613430578E-2</v>
      </c>
      <c r="H47" s="777">
        <f t="shared" si="43"/>
        <v>0</v>
      </c>
      <c r="I47" s="777">
        <f t="shared" si="43"/>
        <v>0</v>
      </c>
      <c r="J47" s="777">
        <f t="shared" si="43"/>
        <v>0</v>
      </c>
      <c r="K47" s="777">
        <f t="shared" si="43"/>
        <v>0.39658738381477154</v>
      </c>
      <c r="L47" s="874">
        <f t="shared" si="42"/>
        <v>0.99999999999999989</v>
      </c>
      <c r="N47" s="300">
        <f t="shared" si="1"/>
        <v>10872.466244640002</v>
      </c>
      <c r="O47" s="908">
        <f>Parameters!R148</f>
        <v>0.73</v>
      </c>
      <c r="P47" s="908">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906">
        <f t="shared" si="2"/>
        <v>478.12491860477496</v>
      </c>
      <c r="R47" s="906">
        <f t="shared" si="3"/>
        <v>478.12491860477496</v>
      </c>
      <c r="S47" s="286">
        <f t="shared" si="4"/>
        <v>0</v>
      </c>
      <c r="T47" s="906">
        <f t="shared" si="5"/>
        <v>4224.5681113886094</v>
      </c>
      <c r="U47" s="906">
        <f t="shared" si="6"/>
        <v>192.08425000451916</v>
      </c>
      <c r="V47" s="1072">
        <f t="shared" si="7"/>
        <v>128.05616666967944</v>
      </c>
      <c r="W47" s="1450">
        <f t="shared" si="8"/>
        <v>0.13527885904981399</v>
      </c>
      <c r="X47" s="914">
        <f>'Baseline data (from input)'!AS33*W47</f>
        <v>4144.0943807132735</v>
      </c>
      <c r="Y47" s="908">
        <f>Parameters!S148</f>
        <v>0.71500000000000008</v>
      </c>
      <c r="Z47" s="908">
        <f t="shared" si="9"/>
        <v>0.4</v>
      </c>
      <c r="AA47" s="906">
        <f t="shared" si="10"/>
        <v>592.60549644199818</v>
      </c>
      <c r="AB47" s="906">
        <f t="shared" si="11"/>
        <v>592.60549644199818</v>
      </c>
      <c r="AC47" s="286">
        <f t="shared" si="12"/>
        <v>0</v>
      </c>
      <c r="AD47" s="906">
        <f t="shared" si="13"/>
        <v>5633.8119090508626</v>
      </c>
      <c r="AE47" s="906">
        <f t="shared" si="14"/>
        <v>258.46817983229943</v>
      </c>
      <c r="AF47" s="1072">
        <f t="shared" si="15"/>
        <v>172.31211988819962</v>
      </c>
      <c r="AG47" s="1450">
        <f t="shared" si="16"/>
        <v>0.13527885904981399</v>
      </c>
      <c r="AH47" s="914">
        <f>'Baseline data (from input)'!AS33*AG47</f>
        <v>4144.0943807132735</v>
      </c>
      <c r="AI47" s="908">
        <f>Parameters!S148</f>
        <v>0.71500000000000008</v>
      </c>
      <c r="AJ47" s="908">
        <f t="shared" si="17"/>
        <v>0.4</v>
      </c>
      <c r="AK47" s="906">
        <f t="shared" si="18"/>
        <v>592.60549644199818</v>
      </c>
      <c r="AL47" s="906">
        <f t="shared" si="19"/>
        <v>592.60549644199818</v>
      </c>
      <c r="AM47" s="286">
        <f t="shared" si="20"/>
        <v>0</v>
      </c>
      <c r="AN47" s="906">
        <f t="shared" si="21"/>
        <v>5633.8119090508626</v>
      </c>
      <c r="AO47" s="906">
        <f t="shared" si="22"/>
        <v>258.46817983229943</v>
      </c>
      <c r="AP47" s="1072">
        <f t="shared" si="23"/>
        <v>172.31211988819962</v>
      </c>
      <c r="AR47" s="914">
        <v>0</v>
      </c>
      <c r="AS47" s="907">
        <v>1</v>
      </c>
      <c r="AT47" s="907">
        <f t="shared" si="24"/>
        <v>0.05</v>
      </c>
      <c r="AU47" s="906">
        <f t="shared" si="25"/>
        <v>0</v>
      </c>
      <c r="AV47" s="906">
        <f t="shared" si="26"/>
        <v>0</v>
      </c>
      <c r="AW47" s="286">
        <f t="shared" si="27"/>
        <v>0</v>
      </c>
      <c r="AX47" s="922">
        <f t="shared" si="28"/>
        <v>0</v>
      </c>
      <c r="AY47" s="922">
        <f t="shared" si="29"/>
        <v>0</v>
      </c>
      <c r="AZ47" s="1072">
        <f t="shared" si="30"/>
        <v>0</v>
      </c>
      <c r="BB47" s="300">
        <f t="shared" si="31"/>
        <v>128.05616666967944</v>
      </c>
      <c r="BC47" s="301">
        <f t="shared" si="32"/>
        <v>172.31211988819962</v>
      </c>
      <c r="BD47" s="1080">
        <f t="shared" si="33"/>
        <v>0</v>
      </c>
      <c r="BE47" s="301">
        <f t="shared" si="34"/>
        <v>300.36828655787906</v>
      </c>
      <c r="BF47" s="104">
        <v>0</v>
      </c>
      <c r="BG47" s="302">
        <f t="shared" si="35"/>
        <v>300.36828655787906</v>
      </c>
      <c r="BI47" s="300">
        <f t="shared" si="36"/>
        <v>128.05616666967944</v>
      </c>
      <c r="BJ47" s="301">
        <f t="shared" si="37"/>
        <v>172.31211988819962</v>
      </c>
      <c r="BK47" s="1080">
        <f t="shared" si="38"/>
        <v>0</v>
      </c>
      <c r="BL47" s="301">
        <f t="shared" si="39"/>
        <v>300.36828655787906</v>
      </c>
      <c r="BM47" s="104">
        <v>0</v>
      </c>
      <c r="BN47" s="302">
        <f t="shared" si="40"/>
        <v>300.36828655787906</v>
      </c>
    </row>
    <row r="48" spans="1:66">
      <c r="A48" s="127">
        <f>'Input data'!A78</f>
        <v>1978</v>
      </c>
      <c r="B48" s="866">
        <f>'Input data'!B78</f>
        <v>23.983049999999999</v>
      </c>
      <c r="C48" s="866">
        <f>'Baseline data (from input)'!B34</f>
        <v>578.73</v>
      </c>
      <c r="D48" s="777">
        <f>'Baseline data (from input)'!T34</f>
        <v>0.8</v>
      </c>
      <c r="E48" s="777">
        <f t="shared" si="43"/>
        <v>0.24001298204245269</v>
      </c>
      <c r="F48" s="777">
        <f t="shared" si="43"/>
        <v>0.30440139352934503</v>
      </c>
      <c r="G48" s="777">
        <f t="shared" si="43"/>
        <v>5.8998240613430578E-2</v>
      </c>
      <c r="H48" s="777">
        <f t="shared" si="43"/>
        <v>0</v>
      </c>
      <c r="I48" s="777">
        <f t="shared" si="43"/>
        <v>0</v>
      </c>
      <c r="J48" s="777">
        <f t="shared" si="43"/>
        <v>0</v>
      </c>
      <c r="K48" s="777">
        <f t="shared" si="43"/>
        <v>0.39658738381477154</v>
      </c>
      <c r="L48" s="874">
        <f t="shared" si="42"/>
        <v>0.99999999999999989</v>
      </c>
      <c r="N48" s="300">
        <f t="shared" si="1"/>
        <v>11103.7684212</v>
      </c>
      <c r="O48" s="908">
        <f>Parameters!R149</f>
        <v>0.73</v>
      </c>
      <c r="P48" s="908">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906">
        <f t="shared" si="2"/>
        <v>488.29660659648306</v>
      </c>
      <c r="R48" s="906">
        <f t="shared" si="3"/>
        <v>488.29660659648306</v>
      </c>
      <c r="S48" s="286">
        <f t="shared" si="4"/>
        <v>0</v>
      </c>
      <c r="T48" s="906">
        <f t="shared" si="5"/>
        <v>4506.8300999567382</v>
      </c>
      <c r="U48" s="906">
        <f t="shared" si="6"/>
        <v>206.03461802835417</v>
      </c>
      <c r="V48" s="1072">
        <f t="shared" si="7"/>
        <v>137.35641201890277</v>
      </c>
      <c r="W48" s="1450">
        <f t="shared" si="8"/>
        <v>0.13527885904981399</v>
      </c>
      <c r="X48" s="914">
        <f>'Baseline data (from input)'!AS34*W48</f>
        <v>4269.0201350171292</v>
      </c>
      <c r="Y48" s="908">
        <f>Parameters!S149</f>
        <v>0.71500000000000008</v>
      </c>
      <c r="Z48" s="908">
        <f t="shared" si="9"/>
        <v>0.4</v>
      </c>
      <c r="AA48" s="906">
        <f t="shared" si="10"/>
        <v>610.46987930744956</v>
      </c>
      <c r="AB48" s="906">
        <f t="shared" si="11"/>
        <v>610.46987930744956</v>
      </c>
      <c r="AC48" s="286">
        <f t="shared" si="12"/>
        <v>0</v>
      </c>
      <c r="AD48" s="906">
        <f t="shared" si="13"/>
        <v>5969.5175392991705</v>
      </c>
      <c r="AE48" s="906">
        <f t="shared" si="14"/>
        <v>274.7642490591416</v>
      </c>
      <c r="AF48" s="1072">
        <f t="shared" si="15"/>
        <v>183.17616603942773</v>
      </c>
      <c r="AG48" s="1450">
        <f t="shared" si="16"/>
        <v>0.13527885904981399</v>
      </c>
      <c r="AH48" s="914">
        <f>'Baseline data (from input)'!AS34*AG48</f>
        <v>4269.0201350171292</v>
      </c>
      <c r="AI48" s="908">
        <f>Parameters!S149</f>
        <v>0.71500000000000008</v>
      </c>
      <c r="AJ48" s="908">
        <f t="shared" si="17"/>
        <v>0.4</v>
      </c>
      <c r="AK48" s="906">
        <f t="shared" si="18"/>
        <v>610.46987930744956</v>
      </c>
      <c r="AL48" s="906">
        <f t="shared" si="19"/>
        <v>610.46987930744956</v>
      </c>
      <c r="AM48" s="286">
        <f t="shared" si="20"/>
        <v>0</v>
      </c>
      <c r="AN48" s="906">
        <f t="shared" si="21"/>
        <v>5969.5175392991705</v>
      </c>
      <c r="AO48" s="906">
        <f t="shared" si="22"/>
        <v>274.7642490591416</v>
      </c>
      <c r="AP48" s="1072">
        <f t="shared" si="23"/>
        <v>183.17616603942773</v>
      </c>
      <c r="AR48" s="914">
        <v>0</v>
      </c>
      <c r="AS48" s="907">
        <v>1</v>
      </c>
      <c r="AT48" s="907">
        <f t="shared" si="24"/>
        <v>0.05</v>
      </c>
      <c r="AU48" s="906">
        <f t="shared" si="25"/>
        <v>0</v>
      </c>
      <c r="AV48" s="906">
        <f t="shared" si="26"/>
        <v>0</v>
      </c>
      <c r="AW48" s="286">
        <f t="shared" si="27"/>
        <v>0</v>
      </c>
      <c r="AX48" s="922">
        <f t="shared" si="28"/>
        <v>0</v>
      </c>
      <c r="AY48" s="922">
        <f t="shared" si="29"/>
        <v>0</v>
      </c>
      <c r="AZ48" s="1072">
        <f t="shared" si="30"/>
        <v>0</v>
      </c>
      <c r="BB48" s="300">
        <f t="shared" si="31"/>
        <v>137.35641201890277</v>
      </c>
      <c r="BC48" s="301">
        <f t="shared" si="32"/>
        <v>183.17616603942773</v>
      </c>
      <c r="BD48" s="1080">
        <f t="shared" si="33"/>
        <v>0</v>
      </c>
      <c r="BE48" s="301">
        <f t="shared" si="34"/>
        <v>320.5325780583305</v>
      </c>
      <c r="BF48" s="104">
        <v>0</v>
      </c>
      <c r="BG48" s="302">
        <f t="shared" si="35"/>
        <v>320.5325780583305</v>
      </c>
      <c r="BI48" s="300">
        <f t="shared" si="36"/>
        <v>137.35641201890277</v>
      </c>
      <c r="BJ48" s="301">
        <f t="shared" si="37"/>
        <v>183.17616603942773</v>
      </c>
      <c r="BK48" s="1080">
        <f t="shared" si="38"/>
        <v>0</v>
      </c>
      <c r="BL48" s="301">
        <f t="shared" si="39"/>
        <v>320.5325780583305</v>
      </c>
      <c r="BM48" s="104">
        <v>0</v>
      </c>
      <c r="BN48" s="302">
        <f t="shared" si="40"/>
        <v>320.5325780583305</v>
      </c>
    </row>
    <row r="49" spans="1:66">
      <c r="A49" s="127">
        <f>'Input data'!A79</f>
        <v>1979</v>
      </c>
      <c r="B49" s="866">
        <f>'Input data'!B79</f>
        <v>24.516309999999997</v>
      </c>
      <c r="C49" s="866">
        <f>'Baseline data (from input)'!B35</f>
        <v>578.73</v>
      </c>
      <c r="D49" s="777">
        <f>'Baseline data (from input)'!T35</f>
        <v>0.8</v>
      </c>
      <c r="E49" s="777">
        <f t="shared" si="43"/>
        <v>0.24001298204245269</v>
      </c>
      <c r="F49" s="777">
        <f t="shared" si="43"/>
        <v>0.30440139352934503</v>
      </c>
      <c r="G49" s="777">
        <f t="shared" si="43"/>
        <v>5.8998240613430578E-2</v>
      </c>
      <c r="H49" s="777">
        <f t="shared" si="43"/>
        <v>0</v>
      </c>
      <c r="I49" s="777">
        <f t="shared" si="43"/>
        <v>0</v>
      </c>
      <c r="J49" s="777">
        <f t="shared" si="43"/>
        <v>0</v>
      </c>
      <c r="K49" s="777">
        <f t="shared" si="43"/>
        <v>0.39658738381477154</v>
      </c>
      <c r="L49" s="874">
        <f t="shared" si="42"/>
        <v>0.99999999999999989</v>
      </c>
      <c r="N49" s="300">
        <f t="shared" si="1"/>
        <v>11350.659269039999</v>
      </c>
      <c r="O49" s="908">
        <f>Parameters!R150</f>
        <v>0.73</v>
      </c>
      <c r="P49" s="908">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906">
        <f t="shared" si="2"/>
        <v>499.15381818690378</v>
      </c>
      <c r="R49" s="906">
        <f t="shared" si="3"/>
        <v>499.15381818690378</v>
      </c>
      <c r="S49" s="286">
        <f t="shared" si="4"/>
        <v>0</v>
      </c>
      <c r="T49" s="906">
        <f t="shared" si="5"/>
        <v>4786.1832204912471</v>
      </c>
      <c r="U49" s="906">
        <f t="shared" si="6"/>
        <v>219.80069765239469</v>
      </c>
      <c r="V49" s="1072">
        <f t="shared" si="7"/>
        <v>146.53379843492979</v>
      </c>
      <c r="W49" s="1450">
        <f t="shared" si="8"/>
        <v>0.13527885904981399</v>
      </c>
      <c r="X49" s="914">
        <f>'Baseline data (from input)'!AS35*W49</f>
        <v>4430.8375059700011</v>
      </c>
      <c r="Y49" s="908">
        <f>Parameters!S150</f>
        <v>0.71500000000000008</v>
      </c>
      <c r="Z49" s="908">
        <f t="shared" si="9"/>
        <v>0.4</v>
      </c>
      <c r="AA49" s="906">
        <f t="shared" si="10"/>
        <v>633.60976335371026</v>
      </c>
      <c r="AB49" s="906">
        <f t="shared" si="11"/>
        <v>633.60976335371026</v>
      </c>
      <c r="AC49" s="286">
        <f t="shared" si="12"/>
        <v>0</v>
      </c>
      <c r="AD49" s="906">
        <f t="shared" si="13"/>
        <v>6311.9904968081782</v>
      </c>
      <c r="AE49" s="906">
        <f t="shared" si="14"/>
        <v>291.13680584470205</v>
      </c>
      <c r="AF49" s="1072">
        <f t="shared" si="15"/>
        <v>194.09120389646804</v>
      </c>
      <c r="AG49" s="1450">
        <f t="shared" si="16"/>
        <v>0.13527885904981399</v>
      </c>
      <c r="AH49" s="914">
        <f>'Baseline data (from input)'!AS35*AG49</f>
        <v>4430.8375059700011</v>
      </c>
      <c r="AI49" s="908">
        <f>Parameters!S150</f>
        <v>0.71500000000000008</v>
      </c>
      <c r="AJ49" s="908">
        <f t="shared" si="17"/>
        <v>0.4</v>
      </c>
      <c r="AK49" s="906">
        <f t="shared" si="18"/>
        <v>633.60976335371026</v>
      </c>
      <c r="AL49" s="906">
        <f t="shared" si="19"/>
        <v>633.60976335371026</v>
      </c>
      <c r="AM49" s="286">
        <f t="shared" si="20"/>
        <v>0</v>
      </c>
      <c r="AN49" s="906">
        <f t="shared" si="21"/>
        <v>6311.9904968081782</v>
      </c>
      <c r="AO49" s="906">
        <f t="shared" si="22"/>
        <v>291.13680584470205</v>
      </c>
      <c r="AP49" s="1072">
        <f t="shared" si="23"/>
        <v>194.09120389646804</v>
      </c>
      <c r="AR49" s="914">
        <v>0</v>
      </c>
      <c r="AS49" s="907">
        <v>1</v>
      </c>
      <c r="AT49" s="907">
        <f t="shared" si="24"/>
        <v>0.05</v>
      </c>
      <c r="AU49" s="906">
        <f t="shared" si="25"/>
        <v>0</v>
      </c>
      <c r="AV49" s="906">
        <f t="shared" si="26"/>
        <v>0</v>
      </c>
      <c r="AW49" s="198">
        <f t="shared" si="27"/>
        <v>0</v>
      </c>
      <c r="AX49" s="922">
        <f t="shared" si="28"/>
        <v>0</v>
      </c>
      <c r="AY49" s="922">
        <f t="shared" si="29"/>
        <v>0</v>
      </c>
      <c r="AZ49" s="1072">
        <f t="shared" si="30"/>
        <v>0</v>
      </c>
      <c r="BB49" s="300">
        <f t="shared" si="31"/>
        <v>146.53379843492979</v>
      </c>
      <c r="BC49" s="301">
        <f t="shared" si="32"/>
        <v>194.09120389646804</v>
      </c>
      <c r="BD49" s="1080">
        <f t="shared" si="33"/>
        <v>0</v>
      </c>
      <c r="BE49" s="301">
        <f t="shared" si="34"/>
        <v>340.62500233139781</v>
      </c>
      <c r="BF49" s="104">
        <v>0</v>
      </c>
      <c r="BG49" s="302">
        <f t="shared" si="35"/>
        <v>340.62500233139781</v>
      </c>
      <c r="BI49" s="300">
        <f t="shared" si="36"/>
        <v>146.53379843492979</v>
      </c>
      <c r="BJ49" s="301">
        <f t="shared" si="37"/>
        <v>194.09120389646804</v>
      </c>
      <c r="BK49" s="1080">
        <f t="shared" si="38"/>
        <v>0</v>
      </c>
      <c r="BL49" s="301">
        <f t="shared" si="39"/>
        <v>340.62500233139781</v>
      </c>
      <c r="BM49" s="104">
        <v>0</v>
      </c>
      <c r="BN49" s="302">
        <f t="shared" si="40"/>
        <v>340.62500233139781</v>
      </c>
    </row>
    <row r="50" spans="1:66">
      <c r="A50" s="127">
        <f>'Input data'!A80</f>
        <v>1980</v>
      </c>
      <c r="B50" s="866">
        <f>'Input data'!B80</f>
        <v>25.094160000000002</v>
      </c>
      <c r="C50" s="866">
        <f>'Baseline data (from input)'!B36</f>
        <v>578.73</v>
      </c>
      <c r="D50" s="777">
        <f>'Baseline data (from input)'!T36</f>
        <v>0.8</v>
      </c>
      <c r="E50" s="777">
        <f t="shared" si="43"/>
        <v>0.24001298204245269</v>
      </c>
      <c r="F50" s="777">
        <f t="shared" si="43"/>
        <v>0.30440139352934503</v>
      </c>
      <c r="G50" s="777">
        <f t="shared" si="43"/>
        <v>5.8998240613430578E-2</v>
      </c>
      <c r="H50" s="777">
        <f t="shared" si="43"/>
        <v>0</v>
      </c>
      <c r="I50" s="777">
        <f t="shared" si="43"/>
        <v>0</v>
      </c>
      <c r="J50" s="777">
        <f t="shared" si="43"/>
        <v>0</v>
      </c>
      <c r="K50" s="777">
        <f t="shared" si="43"/>
        <v>0.39658738381477154</v>
      </c>
      <c r="L50" s="874">
        <f t="shared" si="42"/>
        <v>0.99999999999999989</v>
      </c>
      <c r="N50" s="300">
        <f t="shared" si="1"/>
        <v>11618.194573440001</v>
      </c>
      <c r="O50" s="908">
        <f>Parameters!R151</f>
        <v>0.73</v>
      </c>
      <c r="P50" s="908">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906">
        <f t="shared" si="2"/>
        <v>510.91888535399806</v>
      </c>
      <c r="R50" s="906">
        <f t="shared" si="3"/>
        <v>510.91888535399806</v>
      </c>
      <c r="S50" s="286">
        <f t="shared" si="4"/>
        <v>0</v>
      </c>
      <c r="T50" s="906">
        <f t="shared" si="5"/>
        <v>5063.677195736861</v>
      </c>
      <c r="U50" s="906">
        <f t="shared" si="6"/>
        <v>233.4249101083841</v>
      </c>
      <c r="V50" s="1072">
        <f t="shared" si="7"/>
        <v>155.61660673892274</v>
      </c>
      <c r="W50" s="1450">
        <f t="shared" si="8"/>
        <v>0.13527885904981399</v>
      </c>
      <c r="X50" s="914">
        <f>'Baseline data (from input)'!AS36*W50</f>
        <v>4724.1848728536042</v>
      </c>
      <c r="Y50" s="908">
        <f>Parameters!S151</f>
        <v>0.71500000000000008</v>
      </c>
      <c r="Z50" s="908">
        <f t="shared" si="9"/>
        <v>0.4</v>
      </c>
      <c r="AA50" s="906">
        <f t="shared" si="10"/>
        <v>675.5584368180655</v>
      </c>
      <c r="AB50" s="906">
        <f t="shared" si="11"/>
        <v>675.5584368180655</v>
      </c>
      <c r="AC50" s="286">
        <f t="shared" si="12"/>
        <v>0</v>
      </c>
      <c r="AD50" s="906">
        <f t="shared" si="13"/>
        <v>6679.7095245508845</v>
      </c>
      <c r="AE50" s="906">
        <f t="shared" si="14"/>
        <v>307.8394090753589</v>
      </c>
      <c r="AF50" s="1072">
        <f t="shared" si="15"/>
        <v>205.22627271690592</v>
      </c>
      <c r="AG50" s="1450">
        <f t="shared" si="16"/>
        <v>0.13527885904981399</v>
      </c>
      <c r="AH50" s="914">
        <f>'Baseline data (from input)'!AS36*AG50</f>
        <v>4724.1848728536042</v>
      </c>
      <c r="AI50" s="908">
        <f>Parameters!S151</f>
        <v>0.71500000000000008</v>
      </c>
      <c r="AJ50" s="908">
        <f t="shared" si="17"/>
        <v>0.4</v>
      </c>
      <c r="AK50" s="906">
        <f t="shared" si="18"/>
        <v>675.5584368180655</v>
      </c>
      <c r="AL50" s="906">
        <f t="shared" si="19"/>
        <v>675.5584368180655</v>
      </c>
      <c r="AM50" s="286">
        <f t="shared" si="20"/>
        <v>0</v>
      </c>
      <c r="AN50" s="906">
        <f t="shared" si="21"/>
        <v>6679.7095245508845</v>
      </c>
      <c r="AO50" s="906">
        <f t="shared" si="22"/>
        <v>307.8394090753589</v>
      </c>
      <c r="AP50" s="1072">
        <f t="shared" si="23"/>
        <v>205.22627271690592</v>
      </c>
      <c r="AR50" s="914">
        <v>0</v>
      </c>
      <c r="AS50" s="907">
        <v>1</v>
      </c>
      <c r="AT50" s="907">
        <f t="shared" si="24"/>
        <v>0.05</v>
      </c>
      <c r="AU50" s="906">
        <f t="shared" si="25"/>
        <v>0</v>
      </c>
      <c r="AV50" s="906">
        <f t="shared" si="26"/>
        <v>0</v>
      </c>
      <c r="AW50" s="198">
        <f t="shared" si="27"/>
        <v>0</v>
      </c>
      <c r="AX50" s="922">
        <f t="shared" ref="AX50:AX113" si="44">AV50+(AX49*$E$8)</f>
        <v>0</v>
      </c>
      <c r="AY50" s="922">
        <f t="shared" si="29"/>
        <v>0</v>
      </c>
      <c r="AZ50" s="1072">
        <f t="shared" si="30"/>
        <v>0</v>
      </c>
      <c r="BB50" s="300">
        <f t="shared" si="31"/>
        <v>155.61660673892274</v>
      </c>
      <c r="BC50" s="301">
        <f t="shared" si="32"/>
        <v>205.22627271690592</v>
      </c>
      <c r="BD50" s="1080">
        <f t="shared" si="33"/>
        <v>0</v>
      </c>
      <c r="BE50" s="301">
        <f t="shared" si="34"/>
        <v>360.84287945582867</v>
      </c>
      <c r="BF50" s="104">
        <v>0</v>
      </c>
      <c r="BG50" s="302">
        <f t="shared" si="35"/>
        <v>360.84287945582867</v>
      </c>
      <c r="BI50" s="300">
        <f t="shared" si="36"/>
        <v>155.61660673892274</v>
      </c>
      <c r="BJ50" s="301">
        <f t="shared" si="37"/>
        <v>205.22627271690592</v>
      </c>
      <c r="BK50" s="1080">
        <f t="shared" si="38"/>
        <v>0</v>
      </c>
      <c r="BL50" s="301">
        <f t="shared" si="39"/>
        <v>360.84287945582867</v>
      </c>
      <c r="BM50" s="104">
        <v>0</v>
      </c>
      <c r="BN50" s="302">
        <f t="shared" si="40"/>
        <v>360.84287945582867</v>
      </c>
    </row>
    <row r="51" spans="1:66">
      <c r="A51" s="127">
        <f>'Input data'!A81</f>
        <v>1981</v>
      </c>
      <c r="B51" s="866">
        <f>'Input data'!B81</f>
        <v>25.712049999999998</v>
      </c>
      <c r="C51" s="866">
        <f>'Baseline data (from input)'!B37</f>
        <v>578.73</v>
      </c>
      <c r="D51" s="777">
        <f>'Baseline data (from input)'!T37</f>
        <v>0.8</v>
      </c>
      <c r="E51" s="777">
        <f t="shared" si="43"/>
        <v>0.24001298204245269</v>
      </c>
      <c r="F51" s="777">
        <f t="shared" si="43"/>
        <v>0.30440139352934503</v>
      </c>
      <c r="G51" s="777">
        <f t="shared" si="43"/>
        <v>5.8998240613430578E-2</v>
      </c>
      <c r="H51" s="777">
        <f t="shared" si="43"/>
        <v>0</v>
      </c>
      <c r="I51" s="777">
        <f t="shared" si="43"/>
        <v>0</v>
      </c>
      <c r="J51" s="777">
        <f t="shared" si="43"/>
        <v>0</v>
      </c>
      <c r="K51" s="777">
        <f t="shared" si="43"/>
        <v>0.39658738381477154</v>
      </c>
      <c r="L51" s="874">
        <f t="shared" si="42"/>
        <v>0.99999999999999989</v>
      </c>
      <c r="N51" s="300">
        <f t="shared" si="1"/>
        <v>11904.267757200001</v>
      </c>
      <c r="O51" s="908">
        <f>Parameters!R152</f>
        <v>0.73</v>
      </c>
      <c r="P51" s="908">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906">
        <f t="shared" si="2"/>
        <v>523.49916977361522</v>
      </c>
      <c r="R51" s="906">
        <f t="shared" si="3"/>
        <v>523.49916977361522</v>
      </c>
      <c r="S51" s="286">
        <f t="shared" si="4"/>
        <v>0</v>
      </c>
      <c r="T51" s="906">
        <f t="shared" si="5"/>
        <v>5340.2179145317787</v>
      </c>
      <c r="U51" s="906">
        <f t="shared" si="6"/>
        <v>246.9584509786973</v>
      </c>
      <c r="V51" s="1072">
        <f t="shared" si="7"/>
        <v>164.63896731913152</v>
      </c>
      <c r="W51" s="1450">
        <f t="shared" si="8"/>
        <v>0.13527885904981399</v>
      </c>
      <c r="X51" s="914">
        <f>'Baseline data (from input)'!AS37*W51</f>
        <v>4977.4360190754041</v>
      </c>
      <c r="Y51" s="908">
        <f>Parameters!S152</f>
        <v>0.71500000000000008</v>
      </c>
      <c r="Z51" s="908">
        <f t="shared" si="9"/>
        <v>0.4</v>
      </c>
      <c r="AA51" s="906">
        <f t="shared" si="10"/>
        <v>711.77335072778294</v>
      </c>
      <c r="AB51" s="906">
        <f t="shared" si="11"/>
        <v>711.77335072778294</v>
      </c>
      <c r="AC51" s="286">
        <f t="shared" si="12"/>
        <v>0</v>
      </c>
      <c r="AD51" s="906">
        <f t="shared" si="13"/>
        <v>7065.7095975982584</v>
      </c>
      <c r="AE51" s="906">
        <f t="shared" si="14"/>
        <v>325.77327768040857</v>
      </c>
      <c r="AF51" s="1072">
        <f t="shared" si="15"/>
        <v>217.18218512027238</v>
      </c>
      <c r="AG51" s="1450">
        <f t="shared" si="16"/>
        <v>0.13527885904981399</v>
      </c>
      <c r="AH51" s="914">
        <f>'Baseline data (from input)'!AS37*AG51</f>
        <v>4977.4360190754041</v>
      </c>
      <c r="AI51" s="908">
        <f>Parameters!S152</f>
        <v>0.71500000000000008</v>
      </c>
      <c r="AJ51" s="908">
        <f t="shared" si="17"/>
        <v>0.4</v>
      </c>
      <c r="AK51" s="906">
        <f t="shared" si="18"/>
        <v>711.77335072778294</v>
      </c>
      <c r="AL51" s="906">
        <f t="shared" si="19"/>
        <v>711.77335072778294</v>
      </c>
      <c r="AM51" s="286">
        <f t="shared" si="20"/>
        <v>0</v>
      </c>
      <c r="AN51" s="906">
        <f t="shared" si="21"/>
        <v>7065.7095975982584</v>
      </c>
      <c r="AO51" s="906">
        <f t="shared" si="22"/>
        <v>325.77327768040857</v>
      </c>
      <c r="AP51" s="1072">
        <f t="shared" si="23"/>
        <v>217.18218512027238</v>
      </c>
      <c r="AR51" s="914">
        <v>0</v>
      </c>
      <c r="AS51" s="907">
        <v>1</v>
      </c>
      <c r="AT51" s="907">
        <f t="shared" si="24"/>
        <v>0.05</v>
      </c>
      <c r="AU51" s="906">
        <f t="shared" si="25"/>
        <v>0</v>
      </c>
      <c r="AV51" s="906">
        <f t="shared" si="26"/>
        <v>0</v>
      </c>
      <c r="AW51" s="198">
        <f t="shared" si="27"/>
        <v>0</v>
      </c>
      <c r="AX51" s="922">
        <f t="shared" si="44"/>
        <v>0</v>
      </c>
      <c r="AY51" s="922">
        <f t="shared" si="29"/>
        <v>0</v>
      </c>
      <c r="AZ51" s="1072">
        <f t="shared" si="30"/>
        <v>0</v>
      </c>
      <c r="BB51" s="300">
        <f t="shared" si="31"/>
        <v>164.63896731913152</v>
      </c>
      <c r="BC51" s="301">
        <f t="shared" si="32"/>
        <v>217.18218512027238</v>
      </c>
      <c r="BD51" s="1080">
        <f t="shared" si="33"/>
        <v>0</v>
      </c>
      <c r="BE51" s="301">
        <f t="shared" si="34"/>
        <v>381.82115243940393</v>
      </c>
      <c r="BF51" s="104">
        <v>0</v>
      </c>
      <c r="BG51" s="302">
        <f t="shared" si="35"/>
        <v>381.82115243940393</v>
      </c>
      <c r="BI51" s="300">
        <f t="shared" si="36"/>
        <v>164.63896731913152</v>
      </c>
      <c r="BJ51" s="301">
        <f t="shared" si="37"/>
        <v>217.18218512027238</v>
      </c>
      <c r="BK51" s="1080">
        <f t="shared" si="38"/>
        <v>0</v>
      </c>
      <c r="BL51" s="301">
        <f t="shared" si="39"/>
        <v>381.82115243940393</v>
      </c>
      <c r="BM51" s="104">
        <v>0</v>
      </c>
      <c r="BN51" s="302">
        <f t="shared" si="40"/>
        <v>381.82115243940393</v>
      </c>
    </row>
    <row r="52" spans="1:66">
      <c r="A52" s="127">
        <f>'Input data'!A82</f>
        <v>1982</v>
      </c>
      <c r="B52" s="866">
        <f>'Input data'!B82</f>
        <v>26.364520000000002</v>
      </c>
      <c r="C52" s="866">
        <f>'Baseline data (from input)'!B38</f>
        <v>578.73</v>
      </c>
      <c r="D52" s="777">
        <f>'Baseline data (from input)'!T38</f>
        <v>0.8</v>
      </c>
      <c r="E52" s="777">
        <f t="shared" si="43"/>
        <v>0.24001298204245269</v>
      </c>
      <c r="F52" s="777">
        <f t="shared" si="43"/>
        <v>0.30440139352934503</v>
      </c>
      <c r="G52" s="777">
        <f t="shared" si="43"/>
        <v>5.8998240613430578E-2</v>
      </c>
      <c r="H52" s="777">
        <f t="shared" si="43"/>
        <v>0</v>
      </c>
      <c r="I52" s="777">
        <f t="shared" si="43"/>
        <v>0</v>
      </c>
      <c r="J52" s="777">
        <f t="shared" si="43"/>
        <v>0</v>
      </c>
      <c r="K52" s="777">
        <f t="shared" si="43"/>
        <v>0.39658738381477154</v>
      </c>
      <c r="L52" s="874">
        <f t="shared" si="42"/>
        <v>0.99999999999999989</v>
      </c>
      <c r="N52" s="300">
        <f t="shared" si="1"/>
        <v>12206.350927680003</v>
      </c>
      <c r="O52" s="908">
        <f>Parameters!R153</f>
        <v>0.73</v>
      </c>
      <c r="P52" s="908">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906">
        <f t="shared" si="2"/>
        <v>536.78350545677517</v>
      </c>
      <c r="R52" s="906">
        <f t="shared" si="3"/>
        <v>536.78350545677517</v>
      </c>
      <c r="S52" s="286">
        <f t="shared" si="4"/>
        <v>0</v>
      </c>
      <c r="T52" s="906">
        <f t="shared" si="5"/>
        <v>5616.5559190052418</v>
      </c>
      <c r="U52" s="906">
        <f t="shared" si="6"/>
        <v>260.44550098331166</v>
      </c>
      <c r="V52" s="1072">
        <f t="shared" si="7"/>
        <v>173.63033398887444</v>
      </c>
      <c r="W52" s="1450">
        <f t="shared" si="8"/>
        <v>0.13527885904981399</v>
      </c>
      <c r="X52" s="914">
        <f>'Baseline data (from input)'!AS38*W52</f>
        <v>4958.3529888453886</v>
      </c>
      <c r="Y52" s="908">
        <f>Parameters!S153</f>
        <v>0.71500000000000008</v>
      </c>
      <c r="Z52" s="908">
        <f t="shared" si="9"/>
        <v>0.4</v>
      </c>
      <c r="AA52" s="906">
        <f t="shared" si="10"/>
        <v>709.0444774048907</v>
      </c>
      <c r="AB52" s="906">
        <f t="shared" si="11"/>
        <v>709.0444774048907</v>
      </c>
      <c r="AC52" s="286">
        <f t="shared" si="12"/>
        <v>0</v>
      </c>
      <c r="AD52" s="906">
        <f t="shared" si="13"/>
        <v>7430.1553516174536</v>
      </c>
      <c r="AE52" s="906">
        <f t="shared" si="14"/>
        <v>344.59872338569545</v>
      </c>
      <c r="AF52" s="1072">
        <f t="shared" si="15"/>
        <v>229.7324822571303</v>
      </c>
      <c r="AG52" s="1450">
        <f t="shared" si="16"/>
        <v>0.13527885904981399</v>
      </c>
      <c r="AH52" s="914">
        <f>'Baseline data (from input)'!AS38*AG52</f>
        <v>4958.3529888453886</v>
      </c>
      <c r="AI52" s="908">
        <f>Parameters!S153</f>
        <v>0.71500000000000008</v>
      </c>
      <c r="AJ52" s="908">
        <f t="shared" si="17"/>
        <v>0.4</v>
      </c>
      <c r="AK52" s="906">
        <f t="shared" si="18"/>
        <v>709.0444774048907</v>
      </c>
      <c r="AL52" s="906">
        <f t="shared" si="19"/>
        <v>709.0444774048907</v>
      </c>
      <c r="AM52" s="286">
        <f t="shared" si="20"/>
        <v>0</v>
      </c>
      <c r="AN52" s="906">
        <f t="shared" si="21"/>
        <v>7430.1553516174536</v>
      </c>
      <c r="AO52" s="906">
        <f t="shared" si="22"/>
        <v>344.59872338569545</v>
      </c>
      <c r="AP52" s="1072">
        <f t="shared" si="23"/>
        <v>229.7324822571303</v>
      </c>
      <c r="AR52" s="914">
        <v>0</v>
      </c>
      <c r="AS52" s="907">
        <v>1</v>
      </c>
      <c r="AT52" s="907">
        <f t="shared" si="24"/>
        <v>0.05</v>
      </c>
      <c r="AU52" s="906">
        <f t="shared" si="25"/>
        <v>0</v>
      </c>
      <c r="AV52" s="906">
        <f t="shared" si="26"/>
        <v>0</v>
      </c>
      <c r="AW52" s="198">
        <f t="shared" si="27"/>
        <v>0</v>
      </c>
      <c r="AX52" s="922">
        <f t="shared" si="44"/>
        <v>0</v>
      </c>
      <c r="AY52" s="922">
        <f t="shared" si="29"/>
        <v>0</v>
      </c>
      <c r="AZ52" s="1072">
        <f t="shared" si="30"/>
        <v>0</v>
      </c>
      <c r="BB52" s="300">
        <f t="shared" si="31"/>
        <v>173.63033398887444</v>
      </c>
      <c r="BC52" s="301">
        <f t="shared" si="32"/>
        <v>229.7324822571303</v>
      </c>
      <c r="BD52" s="1080">
        <f t="shared" si="33"/>
        <v>0</v>
      </c>
      <c r="BE52" s="301">
        <f t="shared" si="34"/>
        <v>403.36281624600474</v>
      </c>
      <c r="BF52" s="104">
        <v>0</v>
      </c>
      <c r="BG52" s="302">
        <f t="shared" si="35"/>
        <v>403.36281624600474</v>
      </c>
      <c r="BI52" s="300">
        <f t="shared" si="36"/>
        <v>173.63033398887444</v>
      </c>
      <c r="BJ52" s="301">
        <f t="shared" si="37"/>
        <v>229.7324822571303</v>
      </c>
      <c r="BK52" s="1080">
        <f t="shared" si="38"/>
        <v>0</v>
      </c>
      <c r="BL52" s="301">
        <f t="shared" si="39"/>
        <v>403.36281624600474</v>
      </c>
      <c r="BM52" s="104">
        <v>0</v>
      </c>
      <c r="BN52" s="302">
        <f t="shared" si="40"/>
        <v>403.36281624600474</v>
      </c>
    </row>
    <row r="53" spans="1:66">
      <c r="A53" s="127">
        <f>'Input data'!A83</f>
        <v>1983</v>
      </c>
      <c r="B53" s="866">
        <f>'Input data'!B83</f>
        <v>27.048839999999998</v>
      </c>
      <c r="C53" s="866">
        <f>'Baseline data (from input)'!B39</f>
        <v>578.73</v>
      </c>
      <c r="D53" s="777">
        <f>'Baseline data (from input)'!T39</f>
        <v>0.8</v>
      </c>
      <c r="E53" s="777">
        <f t="shared" si="43"/>
        <v>0.24001298204245269</v>
      </c>
      <c r="F53" s="777">
        <f t="shared" si="43"/>
        <v>0.30440139352934503</v>
      </c>
      <c r="G53" s="777">
        <f t="shared" si="43"/>
        <v>5.8998240613430578E-2</v>
      </c>
      <c r="H53" s="777">
        <f t="shared" si="43"/>
        <v>0</v>
      </c>
      <c r="I53" s="777">
        <f t="shared" si="43"/>
        <v>0</v>
      </c>
      <c r="J53" s="777">
        <f t="shared" si="43"/>
        <v>0</v>
      </c>
      <c r="K53" s="777">
        <f t="shared" si="43"/>
        <v>0.39658738381477154</v>
      </c>
      <c r="L53" s="874">
        <f t="shared" si="42"/>
        <v>0.99999999999999989</v>
      </c>
      <c r="N53" s="300">
        <f t="shared" si="1"/>
        <v>12523.180138560001</v>
      </c>
      <c r="O53" s="908">
        <f>Parameters!R154</f>
        <v>0.73</v>
      </c>
      <c r="P53" s="908">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906">
        <f t="shared" si="2"/>
        <v>550.7163094089874</v>
      </c>
      <c r="R53" s="906">
        <f t="shared" si="3"/>
        <v>550.7163094089874</v>
      </c>
      <c r="S53" s="286">
        <f t="shared" si="4"/>
        <v>0</v>
      </c>
      <c r="T53" s="906">
        <f t="shared" si="5"/>
        <v>5893.349563920422</v>
      </c>
      <c r="U53" s="906">
        <f t="shared" si="6"/>
        <v>273.92266449380674</v>
      </c>
      <c r="V53" s="1072">
        <f t="shared" si="7"/>
        <v>182.61510966253783</v>
      </c>
      <c r="W53" s="1450">
        <f t="shared" si="8"/>
        <v>0.13527885904981399</v>
      </c>
      <c r="X53" s="914">
        <f>'Baseline data (from input)'!AS39*W53</f>
        <v>4866.7947955796999</v>
      </c>
      <c r="Y53" s="908">
        <f>Parameters!S154</f>
        <v>0.71500000000000008</v>
      </c>
      <c r="Z53" s="908">
        <f t="shared" si="9"/>
        <v>0.4</v>
      </c>
      <c r="AA53" s="906">
        <f t="shared" si="10"/>
        <v>695.95165576789725</v>
      </c>
      <c r="AB53" s="906">
        <f t="shared" si="11"/>
        <v>695.95165576789725</v>
      </c>
      <c r="AC53" s="286">
        <f t="shared" si="12"/>
        <v>0</v>
      </c>
      <c r="AD53" s="906">
        <f t="shared" si="13"/>
        <v>7763.7340548378679</v>
      </c>
      <c r="AE53" s="906">
        <f t="shared" si="14"/>
        <v>362.37295254748284</v>
      </c>
      <c r="AF53" s="1072">
        <f t="shared" si="15"/>
        <v>241.58196836498857</v>
      </c>
      <c r="AG53" s="1450">
        <f t="shared" si="16"/>
        <v>0.13527885904981399</v>
      </c>
      <c r="AH53" s="914">
        <f>'Baseline data (from input)'!AS39*AG53</f>
        <v>4866.7947955796999</v>
      </c>
      <c r="AI53" s="908">
        <f>Parameters!S154</f>
        <v>0.71500000000000008</v>
      </c>
      <c r="AJ53" s="908">
        <f t="shared" si="17"/>
        <v>0.4</v>
      </c>
      <c r="AK53" s="906">
        <f t="shared" si="18"/>
        <v>695.95165576789725</v>
      </c>
      <c r="AL53" s="906">
        <f t="shared" si="19"/>
        <v>695.95165576789725</v>
      </c>
      <c r="AM53" s="286">
        <f t="shared" si="20"/>
        <v>0</v>
      </c>
      <c r="AN53" s="906">
        <f t="shared" si="21"/>
        <v>7763.7340548378679</v>
      </c>
      <c r="AO53" s="906">
        <f t="shared" si="22"/>
        <v>362.37295254748284</v>
      </c>
      <c r="AP53" s="1072">
        <f t="shared" si="23"/>
        <v>241.58196836498857</v>
      </c>
      <c r="AR53" s="914">
        <v>0</v>
      </c>
      <c r="AS53" s="907">
        <v>1</v>
      </c>
      <c r="AT53" s="907">
        <f t="shared" si="24"/>
        <v>0.05</v>
      </c>
      <c r="AU53" s="906">
        <f t="shared" si="25"/>
        <v>0</v>
      </c>
      <c r="AV53" s="906">
        <f t="shared" si="26"/>
        <v>0</v>
      </c>
      <c r="AW53" s="198">
        <f t="shared" si="27"/>
        <v>0</v>
      </c>
      <c r="AX53" s="922">
        <f t="shared" si="44"/>
        <v>0</v>
      </c>
      <c r="AY53" s="922">
        <f t="shared" si="29"/>
        <v>0</v>
      </c>
      <c r="AZ53" s="1072">
        <f t="shared" si="30"/>
        <v>0</v>
      </c>
      <c r="BB53" s="300">
        <f t="shared" si="31"/>
        <v>182.61510966253783</v>
      </c>
      <c r="BC53" s="301">
        <f t="shared" si="32"/>
        <v>241.58196836498857</v>
      </c>
      <c r="BD53" s="1080">
        <f t="shared" si="33"/>
        <v>0</v>
      </c>
      <c r="BE53" s="301">
        <f t="shared" si="34"/>
        <v>424.1970780275264</v>
      </c>
      <c r="BF53" s="104">
        <v>0</v>
      </c>
      <c r="BG53" s="302">
        <f t="shared" si="35"/>
        <v>424.1970780275264</v>
      </c>
      <c r="BI53" s="300">
        <f t="shared" si="36"/>
        <v>182.61510966253783</v>
      </c>
      <c r="BJ53" s="301">
        <f t="shared" si="37"/>
        <v>241.58196836498857</v>
      </c>
      <c r="BK53" s="1080">
        <f t="shared" si="38"/>
        <v>0</v>
      </c>
      <c r="BL53" s="301">
        <f t="shared" si="39"/>
        <v>424.1970780275264</v>
      </c>
      <c r="BM53" s="104">
        <v>0</v>
      </c>
      <c r="BN53" s="302">
        <f t="shared" si="40"/>
        <v>424.1970780275264</v>
      </c>
    </row>
    <row r="54" spans="1:66">
      <c r="A54" s="127">
        <f>'Input data'!A84</f>
        <v>1984</v>
      </c>
      <c r="B54" s="866">
        <f>'Input data'!B84</f>
        <v>27.759549999999997</v>
      </c>
      <c r="C54" s="866">
        <f>'Baseline data (from input)'!B40</f>
        <v>578.73</v>
      </c>
      <c r="D54" s="777">
        <f>'Baseline data (from input)'!T40</f>
        <v>0.8</v>
      </c>
      <c r="E54" s="777">
        <f t="shared" ref="E54:K69" si="45">E53</f>
        <v>0.24001298204245269</v>
      </c>
      <c r="F54" s="777">
        <f t="shared" si="45"/>
        <v>0.30440139352934503</v>
      </c>
      <c r="G54" s="777">
        <f t="shared" si="45"/>
        <v>5.8998240613430578E-2</v>
      </c>
      <c r="H54" s="777">
        <f t="shared" si="45"/>
        <v>0</v>
      </c>
      <c r="I54" s="777">
        <f t="shared" si="45"/>
        <v>0</v>
      </c>
      <c r="J54" s="777">
        <f t="shared" si="45"/>
        <v>0</v>
      </c>
      <c r="K54" s="777">
        <f t="shared" si="45"/>
        <v>0.39658738381477154</v>
      </c>
      <c r="L54" s="874">
        <f t="shared" si="42"/>
        <v>0.99999999999999989</v>
      </c>
      <c r="N54" s="300">
        <f t="shared" si="1"/>
        <v>12852.2274972</v>
      </c>
      <c r="O54" s="908">
        <f>Parameters!R155</f>
        <v>0.73</v>
      </c>
      <c r="P54" s="908">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906">
        <f t="shared" si="2"/>
        <v>565.18641564127176</v>
      </c>
      <c r="R54" s="906">
        <f t="shared" si="3"/>
        <v>565.18641564127176</v>
      </c>
      <c r="S54" s="286">
        <f t="shared" si="4"/>
        <v>0</v>
      </c>
      <c r="T54" s="906">
        <f t="shared" si="5"/>
        <v>6171.1139297108293</v>
      </c>
      <c r="U54" s="906">
        <f t="shared" si="6"/>
        <v>287.42204985086505</v>
      </c>
      <c r="V54" s="1072">
        <f t="shared" si="7"/>
        <v>191.61469990057671</v>
      </c>
      <c r="W54" s="1450">
        <f t="shared" si="8"/>
        <v>0.13527885904981399</v>
      </c>
      <c r="X54" s="914">
        <f>'Baseline data (from input)'!AS40*W54</f>
        <v>5114.9582546402071</v>
      </c>
      <c r="Y54" s="908">
        <f>Parameters!S155</f>
        <v>0.71500000000000008</v>
      </c>
      <c r="Z54" s="908">
        <f t="shared" si="9"/>
        <v>0.4</v>
      </c>
      <c r="AA54" s="906">
        <f t="shared" si="10"/>
        <v>731.43903041354974</v>
      </c>
      <c r="AB54" s="906">
        <f t="shared" si="11"/>
        <v>731.43903041354974</v>
      </c>
      <c r="AC54" s="286">
        <f t="shared" si="12"/>
        <v>0</v>
      </c>
      <c r="AD54" s="906">
        <f t="shared" si="13"/>
        <v>8116.5313073735697</v>
      </c>
      <c r="AE54" s="906">
        <f t="shared" si="14"/>
        <v>378.64177787784797</v>
      </c>
      <c r="AF54" s="1072">
        <f t="shared" si="15"/>
        <v>252.42785191856532</v>
      </c>
      <c r="AG54" s="1450">
        <f t="shared" si="16"/>
        <v>0.13527885904981399</v>
      </c>
      <c r="AH54" s="914">
        <f>'Baseline data (from input)'!AS40*AG54</f>
        <v>5114.9582546402071</v>
      </c>
      <c r="AI54" s="908">
        <f>Parameters!S155</f>
        <v>0.71500000000000008</v>
      </c>
      <c r="AJ54" s="908">
        <f t="shared" si="17"/>
        <v>0.4</v>
      </c>
      <c r="AK54" s="906">
        <f t="shared" si="18"/>
        <v>731.43903041354974</v>
      </c>
      <c r="AL54" s="906">
        <f t="shared" si="19"/>
        <v>731.43903041354974</v>
      </c>
      <c r="AM54" s="286">
        <f t="shared" si="20"/>
        <v>0</v>
      </c>
      <c r="AN54" s="906">
        <f t="shared" si="21"/>
        <v>8116.5313073735697</v>
      </c>
      <c r="AO54" s="906">
        <f t="shared" si="22"/>
        <v>378.64177787784797</v>
      </c>
      <c r="AP54" s="1072">
        <f t="shared" si="23"/>
        <v>252.42785191856532</v>
      </c>
      <c r="AR54" s="914">
        <v>0</v>
      </c>
      <c r="AS54" s="907">
        <v>1</v>
      </c>
      <c r="AT54" s="907">
        <f t="shared" si="24"/>
        <v>0.05</v>
      </c>
      <c r="AU54" s="906">
        <f t="shared" si="25"/>
        <v>0</v>
      </c>
      <c r="AV54" s="906">
        <f t="shared" si="26"/>
        <v>0</v>
      </c>
      <c r="AW54" s="198">
        <f t="shared" si="27"/>
        <v>0</v>
      </c>
      <c r="AX54" s="922">
        <f t="shared" si="44"/>
        <v>0</v>
      </c>
      <c r="AY54" s="922">
        <f t="shared" si="29"/>
        <v>0</v>
      </c>
      <c r="AZ54" s="1072">
        <f t="shared" si="30"/>
        <v>0</v>
      </c>
      <c r="BB54" s="300">
        <f t="shared" si="31"/>
        <v>191.61469990057671</v>
      </c>
      <c r="BC54" s="301">
        <f t="shared" si="32"/>
        <v>252.42785191856532</v>
      </c>
      <c r="BD54" s="1080">
        <f t="shared" si="33"/>
        <v>0</v>
      </c>
      <c r="BE54" s="301">
        <f t="shared" si="34"/>
        <v>444.04255181914203</v>
      </c>
      <c r="BF54" s="104">
        <v>0</v>
      </c>
      <c r="BG54" s="302">
        <f t="shared" si="35"/>
        <v>444.04255181914203</v>
      </c>
      <c r="BI54" s="300">
        <f t="shared" si="36"/>
        <v>191.61469990057671</v>
      </c>
      <c r="BJ54" s="301">
        <f t="shared" si="37"/>
        <v>252.42785191856532</v>
      </c>
      <c r="BK54" s="1080">
        <f t="shared" si="38"/>
        <v>0</v>
      </c>
      <c r="BL54" s="301">
        <f t="shared" si="39"/>
        <v>444.04255181914203</v>
      </c>
      <c r="BM54" s="104">
        <v>0</v>
      </c>
      <c r="BN54" s="302">
        <f t="shared" si="40"/>
        <v>444.04255181914203</v>
      </c>
    </row>
    <row r="55" spans="1:66">
      <c r="A55" s="127">
        <f>'Input data'!A85</f>
        <v>1985</v>
      </c>
      <c r="B55" s="866">
        <f>'Input data'!B85</f>
        <v>28.490279999999998</v>
      </c>
      <c r="C55" s="866">
        <f>'Baseline data (from input)'!B41</f>
        <v>578.73</v>
      </c>
      <c r="D55" s="777">
        <f>'Baseline data (from input)'!T41</f>
        <v>0.8</v>
      </c>
      <c r="E55" s="777">
        <f t="shared" si="45"/>
        <v>0.24001298204245269</v>
      </c>
      <c r="F55" s="777">
        <f t="shared" si="45"/>
        <v>0.30440139352934503</v>
      </c>
      <c r="G55" s="777">
        <f t="shared" si="45"/>
        <v>5.8998240613430578E-2</v>
      </c>
      <c r="H55" s="777">
        <f t="shared" si="45"/>
        <v>0</v>
      </c>
      <c r="I55" s="777">
        <f t="shared" si="45"/>
        <v>0</v>
      </c>
      <c r="J55" s="777">
        <f t="shared" si="45"/>
        <v>0</v>
      </c>
      <c r="K55" s="777">
        <f t="shared" si="45"/>
        <v>0.39658738381477154</v>
      </c>
      <c r="L55" s="874">
        <f t="shared" si="42"/>
        <v>0.99999999999999989</v>
      </c>
      <c r="N55" s="300">
        <f t="shared" si="1"/>
        <v>13190.543795520001</v>
      </c>
      <c r="O55" s="908">
        <f>Parameters!R156</f>
        <v>0.73</v>
      </c>
      <c r="P55" s="908">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906">
        <f t="shared" si="2"/>
        <v>580.06413049981757</v>
      </c>
      <c r="R55" s="906">
        <f t="shared" si="3"/>
        <v>580.06413049981757</v>
      </c>
      <c r="S55" s="286">
        <f t="shared" si="4"/>
        <v>0</v>
      </c>
      <c r="T55" s="906">
        <f t="shared" si="5"/>
        <v>6450.2092823869898</v>
      </c>
      <c r="U55" s="906">
        <f t="shared" si="6"/>
        <v>300.96877782365743</v>
      </c>
      <c r="V55" s="1072">
        <f t="shared" si="7"/>
        <v>200.64585188243828</v>
      </c>
      <c r="W55" s="1450">
        <f t="shared" si="8"/>
        <v>0.13527885904981399</v>
      </c>
      <c r="X55" s="914">
        <f>'Baseline data (from input)'!AS41*W55</f>
        <v>5052.9913681515936</v>
      </c>
      <c r="Y55" s="908">
        <f>Parameters!S156</f>
        <v>0.71500000000000008</v>
      </c>
      <c r="Z55" s="908">
        <f t="shared" si="9"/>
        <v>0.4</v>
      </c>
      <c r="AA55" s="906">
        <f t="shared" si="10"/>
        <v>722.57776564567803</v>
      </c>
      <c r="AB55" s="906">
        <f t="shared" si="11"/>
        <v>722.57776564567803</v>
      </c>
      <c r="AC55" s="286">
        <f t="shared" si="12"/>
        <v>0</v>
      </c>
      <c r="AD55" s="906">
        <f t="shared" si="13"/>
        <v>8443.2611701006663</v>
      </c>
      <c r="AE55" s="906">
        <f t="shared" si="14"/>
        <v>395.84790291858104</v>
      </c>
      <c r="AF55" s="1072">
        <f t="shared" si="15"/>
        <v>263.89860194572071</v>
      </c>
      <c r="AG55" s="1450">
        <f t="shared" si="16"/>
        <v>0.13527885904981399</v>
      </c>
      <c r="AH55" s="914">
        <f>'Baseline data (from input)'!AS41*AG55</f>
        <v>5052.9913681515936</v>
      </c>
      <c r="AI55" s="908">
        <f>Parameters!S156</f>
        <v>0.71500000000000008</v>
      </c>
      <c r="AJ55" s="908">
        <f t="shared" si="17"/>
        <v>0.4</v>
      </c>
      <c r="AK55" s="906">
        <f t="shared" si="18"/>
        <v>722.57776564567803</v>
      </c>
      <c r="AL55" s="906">
        <f t="shared" si="19"/>
        <v>722.57776564567803</v>
      </c>
      <c r="AM55" s="286">
        <f t="shared" si="20"/>
        <v>0</v>
      </c>
      <c r="AN55" s="906">
        <f t="shared" si="21"/>
        <v>8443.2611701006663</v>
      </c>
      <c r="AO55" s="906">
        <f t="shared" si="22"/>
        <v>395.84790291858104</v>
      </c>
      <c r="AP55" s="1072">
        <f t="shared" si="23"/>
        <v>263.89860194572071</v>
      </c>
      <c r="AR55" s="914">
        <v>0</v>
      </c>
      <c r="AS55" s="907">
        <v>1</v>
      </c>
      <c r="AT55" s="907">
        <f t="shared" si="24"/>
        <v>0.05</v>
      </c>
      <c r="AU55" s="906">
        <f t="shared" si="25"/>
        <v>0</v>
      </c>
      <c r="AV55" s="906">
        <f t="shared" si="26"/>
        <v>0</v>
      </c>
      <c r="AW55" s="198">
        <f t="shared" si="27"/>
        <v>0</v>
      </c>
      <c r="AX55" s="922">
        <f t="shared" si="44"/>
        <v>0</v>
      </c>
      <c r="AY55" s="922">
        <f t="shared" si="29"/>
        <v>0</v>
      </c>
      <c r="AZ55" s="1072">
        <f t="shared" si="30"/>
        <v>0</v>
      </c>
      <c r="BB55" s="300">
        <f t="shared" si="31"/>
        <v>200.64585188243828</v>
      </c>
      <c r="BC55" s="301">
        <f t="shared" si="32"/>
        <v>263.89860194572071</v>
      </c>
      <c r="BD55" s="1080">
        <f t="shared" si="33"/>
        <v>0</v>
      </c>
      <c r="BE55" s="301">
        <f t="shared" si="34"/>
        <v>464.54445382815902</v>
      </c>
      <c r="BF55" s="104">
        <v>0</v>
      </c>
      <c r="BG55" s="302">
        <f t="shared" si="35"/>
        <v>464.54445382815902</v>
      </c>
      <c r="BI55" s="300">
        <f t="shared" si="36"/>
        <v>200.64585188243828</v>
      </c>
      <c r="BJ55" s="301">
        <f t="shared" si="37"/>
        <v>263.89860194572071</v>
      </c>
      <c r="BK55" s="1080">
        <f t="shared" si="38"/>
        <v>0</v>
      </c>
      <c r="BL55" s="301">
        <f t="shared" si="39"/>
        <v>464.54445382815902</v>
      </c>
      <c r="BM55" s="104">
        <v>0</v>
      </c>
      <c r="BN55" s="302">
        <f t="shared" si="40"/>
        <v>464.54445382815902</v>
      </c>
    </row>
    <row r="56" spans="1:66">
      <c r="A56" s="127">
        <f>'Input data'!A86</f>
        <v>1986</v>
      </c>
      <c r="B56" s="866">
        <f>'Input data'!B86</f>
        <v>29.230110000000003</v>
      </c>
      <c r="C56" s="866">
        <f>'Baseline data (from input)'!B42</f>
        <v>578.73</v>
      </c>
      <c r="D56" s="777">
        <f>'Baseline data (from input)'!T42</f>
        <v>0.8</v>
      </c>
      <c r="E56" s="777">
        <f t="shared" si="45"/>
        <v>0.24001298204245269</v>
      </c>
      <c r="F56" s="777">
        <f t="shared" si="45"/>
        <v>0.30440139352934503</v>
      </c>
      <c r="G56" s="777">
        <f t="shared" si="45"/>
        <v>5.8998240613430578E-2</v>
      </c>
      <c r="H56" s="777">
        <f t="shared" si="45"/>
        <v>0</v>
      </c>
      <c r="I56" s="777">
        <f t="shared" si="45"/>
        <v>0</v>
      </c>
      <c r="J56" s="777">
        <f t="shared" si="45"/>
        <v>0</v>
      </c>
      <c r="K56" s="777">
        <f t="shared" si="45"/>
        <v>0.39658738381477154</v>
      </c>
      <c r="L56" s="874">
        <f t="shared" si="42"/>
        <v>0.99999999999999989</v>
      </c>
      <c r="N56" s="300">
        <f t="shared" si="1"/>
        <v>13533.073248240004</v>
      </c>
      <c r="O56" s="908">
        <f>Parameters!R157</f>
        <v>0.73</v>
      </c>
      <c r="P56" s="908">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906">
        <f t="shared" si="2"/>
        <v>595.12712200666419</v>
      </c>
      <c r="R56" s="906">
        <f t="shared" si="3"/>
        <v>595.12712200666419</v>
      </c>
      <c r="S56" s="286">
        <f t="shared" si="4"/>
        <v>0</v>
      </c>
      <c r="T56" s="906">
        <f t="shared" si="5"/>
        <v>6730.7559856008047</v>
      </c>
      <c r="U56" s="906">
        <f t="shared" si="6"/>
        <v>314.58041879284997</v>
      </c>
      <c r="V56" s="1072">
        <f t="shared" si="7"/>
        <v>209.7202791952333</v>
      </c>
      <c r="W56" s="1450">
        <f t="shared" si="8"/>
        <v>0.13527885904981399</v>
      </c>
      <c r="X56" s="914">
        <f>'Baseline data (from input)'!AS42*W56</f>
        <v>5053.8925579444631</v>
      </c>
      <c r="Y56" s="908">
        <f>Parameters!S157</f>
        <v>0.71500000000000008</v>
      </c>
      <c r="Z56" s="908">
        <f t="shared" si="9"/>
        <v>0.4</v>
      </c>
      <c r="AA56" s="906">
        <f t="shared" si="10"/>
        <v>722.70663578605831</v>
      </c>
      <c r="AB56" s="906">
        <f t="shared" si="11"/>
        <v>722.70663578605831</v>
      </c>
      <c r="AC56" s="286">
        <f t="shared" si="12"/>
        <v>0</v>
      </c>
      <c r="AD56" s="906">
        <f t="shared" si="13"/>
        <v>8754.1850995301393</v>
      </c>
      <c r="AE56" s="906">
        <f t="shared" si="14"/>
        <v>411.78270635658424</v>
      </c>
      <c r="AF56" s="1072">
        <f t="shared" si="15"/>
        <v>274.52180423772285</v>
      </c>
      <c r="AG56" s="1450">
        <f t="shared" si="16"/>
        <v>0.13527885904981399</v>
      </c>
      <c r="AH56" s="914">
        <f>'Baseline data (from input)'!AS42*AG56</f>
        <v>5053.8925579444631</v>
      </c>
      <c r="AI56" s="908">
        <f>Parameters!S157</f>
        <v>0.71500000000000008</v>
      </c>
      <c r="AJ56" s="908">
        <f t="shared" si="17"/>
        <v>0.4</v>
      </c>
      <c r="AK56" s="906">
        <f t="shared" si="18"/>
        <v>722.70663578605831</v>
      </c>
      <c r="AL56" s="906">
        <f t="shared" si="19"/>
        <v>722.70663578605831</v>
      </c>
      <c r="AM56" s="286">
        <f t="shared" si="20"/>
        <v>0</v>
      </c>
      <c r="AN56" s="906">
        <f t="shared" si="21"/>
        <v>8754.1850995301393</v>
      </c>
      <c r="AO56" s="906">
        <f t="shared" si="22"/>
        <v>411.78270635658424</v>
      </c>
      <c r="AP56" s="1072">
        <f t="shared" si="23"/>
        <v>274.52180423772285</v>
      </c>
      <c r="AR56" s="914">
        <v>0</v>
      </c>
      <c r="AS56" s="907">
        <v>1</v>
      </c>
      <c r="AT56" s="907">
        <f t="shared" si="24"/>
        <v>0.05</v>
      </c>
      <c r="AU56" s="906">
        <f t="shared" si="25"/>
        <v>0</v>
      </c>
      <c r="AV56" s="906">
        <f t="shared" si="26"/>
        <v>0</v>
      </c>
      <c r="AW56" s="198">
        <f t="shared" si="27"/>
        <v>0</v>
      </c>
      <c r="AX56" s="922">
        <f t="shared" si="44"/>
        <v>0</v>
      </c>
      <c r="AY56" s="922">
        <f t="shared" si="29"/>
        <v>0</v>
      </c>
      <c r="AZ56" s="1072">
        <f t="shared" si="30"/>
        <v>0</v>
      </c>
      <c r="BB56" s="300">
        <f t="shared" si="31"/>
        <v>209.7202791952333</v>
      </c>
      <c r="BC56" s="301">
        <f t="shared" si="32"/>
        <v>274.52180423772285</v>
      </c>
      <c r="BD56" s="1080">
        <f t="shared" si="33"/>
        <v>0</v>
      </c>
      <c r="BE56" s="301">
        <f t="shared" si="34"/>
        <v>484.24208343295618</v>
      </c>
      <c r="BF56" s="104">
        <v>0</v>
      </c>
      <c r="BG56" s="302">
        <f t="shared" si="35"/>
        <v>484.24208343295618</v>
      </c>
      <c r="BI56" s="300">
        <f t="shared" si="36"/>
        <v>209.7202791952333</v>
      </c>
      <c r="BJ56" s="301">
        <f t="shared" si="37"/>
        <v>274.52180423772285</v>
      </c>
      <c r="BK56" s="1080">
        <f t="shared" si="38"/>
        <v>0</v>
      </c>
      <c r="BL56" s="301">
        <f t="shared" si="39"/>
        <v>484.24208343295618</v>
      </c>
      <c r="BM56" s="104">
        <v>0</v>
      </c>
      <c r="BN56" s="302">
        <f t="shared" si="40"/>
        <v>484.24208343295618</v>
      </c>
    </row>
    <row r="57" spans="1:66">
      <c r="A57" s="127">
        <f>'Input data'!A87</f>
        <v>1987</v>
      </c>
      <c r="B57" s="866">
        <f>'Input data'!B87</f>
        <v>29.96903</v>
      </c>
      <c r="C57" s="866">
        <f>'Baseline data (from input)'!B43</f>
        <v>578.73</v>
      </c>
      <c r="D57" s="777">
        <f>'Baseline data (from input)'!T43</f>
        <v>0.8</v>
      </c>
      <c r="E57" s="777">
        <f t="shared" si="45"/>
        <v>0.24001298204245269</v>
      </c>
      <c r="F57" s="777">
        <f t="shared" si="45"/>
        <v>0.30440139352934503</v>
      </c>
      <c r="G57" s="777">
        <f t="shared" si="45"/>
        <v>5.8998240613430578E-2</v>
      </c>
      <c r="H57" s="777">
        <f t="shared" si="45"/>
        <v>0</v>
      </c>
      <c r="I57" s="777">
        <f t="shared" si="45"/>
        <v>0</v>
      </c>
      <c r="J57" s="777">
        <f t="shared" si="45"/>
        <v>0</v>
      </c>
      <c r="K57" s="777">
        <f t="shared" si="45"/>
        <v>0.39658738381477154</v>
      </c>
      <c r="L57" s="874">
        <f t="shared" si="42"/>
        <v>0.99999999999999989</v>
      </c>
      <c r="N57" s="300">
        <f t="shared" si="1"/>
        <v>13875.181385520002</v>
      </c>
      <c r="O57" s="908">
        <f>Parameters!R158</f>
        <v>0.73</v>
      </c>
      <c r="P57" s="908">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906">
        <f t="shared" si="2"/>
        <v>610.17158584868059</v>
      </c>
      <c r="R57" s="906">
        <f t="shared" si="3"/>
        <v>610.17158584868059</v>
      </c>
      <c r="S57" s="286">
        <f t="shared" si="4"/>
        <v>0</v>
      </c>
      <c r="T57" s="906">
        <f t="shared" si="5"/>
        <v>7012.6647284864703</v>
      </c>
      <c r="U57" s="906">
        <f t="shared" si="6"/>
        <v>328.26284296301509</v>
      </c>
      <c r="V57" s="1072">
        <f t="shared" si="7"/>
        <v>218.84189530867673</v>
      </c>
      <c r="W57" s="1450">
        <f t="shared" si="8"/>
        <v>0.13527885904981399</v>
      </c>
      <c r="X57" s="914">
        <f>'Baseline data (from input)'!AS43*W57</f>
        <v>5160.0614589407005</v>
      </c>
      <c r="Y57" s="908">
        <f>Parameters!S158</f>
        <v>0.71500000000000008</v>
      </c>
      <c r="Z57" s="908">
        <f t="shared" si="9"/>
        <v>0.4</v>
      </c>
      <c r="AA57" s="906">
        <f t="shared" si="10"/>
        <v>737.88878862852027</v>
      </c>
      <c r="AB57" s="906">
        <f t="shared" si="11"/>
        <v>737.88878862852027</v>
      </c>
      <c r="AC57" s="286">
        <f t="shared" si="12"/>
        <v>0</v>
      </c>
      <c r="AD57" s="906">
        <f t="shared" si="13"/>
        <v>9065.1272428273005</v>
      </c>
      <c r="AE57" s="906">
        <f t="shared" si="14"/>
        <v>426.94664533135904</v>
      </c>
      <c r="AF57" s="1072">
        <f t="shared" si="15"/>
        <v>284.63109688757271</v>
      </c>
      <c r="AG57" s="1450">
        <f t="shared" si="16"/>
        <v>0.13527885904981399</v>
      </c>
      <c r="AH57" s="914">
        <f>'Baseline data (from input)'!AS43*AG57</f>
        <v>5160.0614589407005</v>
      </c>
      <c r="AI57" s="908">
        <f>Parameters!S158</f>
        <v>0.71500000000000008</v>
      </c>
      <c r="AJ57" s="908">
        <f t="shared" si="17"/>
        <v>0.4</v>
      </c>
      <c r="AK57" s="906">
        <f t="shared" si="18"/>
        <v>737.88878862852027</v>
      </c>
      <c r="AL57" s="906">
        <f t="shared" si="19"/>
        <v>737.88878862852027</v>
      </c>
      <c r="AM57" s="286">
        <f t="shared" si="20"/>
        <v>0</v>
      </c>
      <c r="AN57" s="906">
        <f t="shared" si="21"/>
        <v>9065.1272428273005</v>
      </c>
      <c r="AO57" s="906">
        <f t="shared" si="22"/>
        <v>426.94664533135904</v>
      </c>
      <c r="AP57" s="1072">
        <f t="shared" si="23"/>
        <v>284.63109688757271</v>
      </c>
      <c r="AR57" s="914">
        <v>0</v>
      </c>
      <c r="AS57" s="907">
        <v>1</v>
      </c>
      <c r="AT57" s="907">
        <f t="shared" si="24"/>
        <v>0.05</v>
      </c>
      <c r="AU57" s="906">
        <f t="shared" si="25"/>
        <v>0</v>
      </c>
      <c r="AV57" s="906">
        <f t="shared" si="26"/>
        <v>0</v>
      </c>
      <c r="AW57" s="198">
        <f t="shared" si="27"/>
        <v>0</v>
      </c>
      <c r="AX57" s="922">
        <f t="shared" si="44"/>
        <v>0</v>
      </c>
      <c r="AY57" s="922">
        <f t="shared" si="29"/>
        <v>0</v>
      </c>
      <c r="AZ57" s="1072">
        <f t="shared" si="30"/>
        <v>0</v>
      </c>
      <c r="BB57" s="300">
        <f t="shared" si="31"/>
        <v>218.84189530867673</v>
      </c>
      <c r="BC57" s="301">
        <f t="shared" si="32"/>
        <v>284.63109688757271</v>
      </c>
      <c r="BD57" s="1080">
        <f t="shared" si="33"/>
        <v>0</v>
      </c>
      <c r="BE57" s="301">
        <f t="shared" si="34"/>
        <v>503.47299219624944</v>
      </c>
      <c r="BF57" s="104">
        <v>0</v>
      </c>
      <c r="BG57" s="302">
        <f t="shared" si="35"/>
        <v>503.47299219624944</v>
      </c>
      <c r="BI57" s="300">
        <f t="shared" si="36"/>
        <v>218.84189530867673</v>
      </c>
      <c r="BJ57" s="301">
        <f t="shared" si="37"/>
        <v>284.63109688757271</v>
      </c>
      <c r="BK57" s="1080">
        <f t="shared" si="38"/>
        <v>0</v>
      </c>
      <c r="BL57" s="301">
        <f t="shared" si="39"/>
        <v>503.47299219624944</v>
      </c>
      <c r="BM57" s="104">
        <v>0</v>
      </c>
      <c r="BN57" s="302">
        <f t="shared" si="40"/>
        <v>503.47299219624944</v>
      </c>
    </row>
    <row r="58" spans="1:66">
      <c r="A58" s="127">
        <f>'Input data'!A88</f>
        <v>1988</v>
      </c>
      <c r="B58" s="866">
        <f>'Input data'!B88</f>
        <v>30.692480000000003</v>
      </c>
      <c r="C58" s="866">
        <f>'Baseline data (from input)'!B44</f>
        <v>578.73</v>
      </c>
      <c r="D58" s="777">
        <f>'Baseline data (from input)'!T44</f>
        <v>0.8</v>
      </c>
      <c r="E58" s="777">
        <f t="shared" si="45"/>
        <v>0.24001298204245269</v>
      </c>
      <c r="F58" s="777">
        <f t="shared" si="45"/>
        <v>0.30440139352934503</v>
      </c>
      <c r="G58" s="777">
        <f t="shared" si="45"/>
        <v>5.8998240613430578E-2</v>
      </c>
      <c r="H58" s="777">
        <f t="shared" si="45"/>
        <v>0</v>
      </c>
      <c r="I58" s="777">
        <f t="shared" si="45"/>
        <v>0</v>
      </c>
      <c r="J58" s="777">
        <f t="shared" si="45"/>
        <v>0</v>
      </c>
      <c r="K58" s="777">
        <f t="shared" si="45"/>
        <v>0.39658738381477154</v>
      </c>
      <c r="L58" s="874">
        <f t="shared" si="42"/>
        <v>0.99999999999999989</v>
      </c>
      <c r="N58" s="300">
        <f t="shared" si="1"/>
        <v>14210.127160320004</v>
      </c>
      <c r="O58" s="908">
        <f>Parameters!R159</f>
        <v>0.73</v>
      </c>
      <c r="P58" s="908">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906">
        <f t="shared" si="2"/>
        <v>624.90107938858603</v>
      </c>
      <c r="R58" s="906">
        <f t="shared" si="3"/>
        <v>624.90107938858603</v>
      </c>
      <c r="S58" s="286">
        <f t="shared" si="4"/>
        <v>0</v>
      </c>
      <c r="T58" s="906">
        <f t="shared" si="5"/>
        <v>7295.5541132832277</v>
      </c>
      <c r="U58" s="906">
        <f t="shared" si="6"/>
        <v>342.01169459182927</v>
      </c>
      <c r="V58" s="1072">
        <f t="shared" si="7"/>
        <v>228.00779639455286</v>
      </c>
      <c r="W58" s="1450">
        <f t="shared" si="8"/>
        <v>0.13527885904981399</v>
      </c>
      <c r="X58" s="914">
        <f>'Baseline data (from input)'!AS44*W58</f>
        <v>5376.7908798260733</v>
      </c>
      <c r="Y58" s="908">
        <f>Parameters!S159</f>
        <v>0.71500000000000008</v>
      </c>
      <c r="Z58" s="908">
        <f t="shared" si="9"/>
        <v>0.4</v>
      </c>
      <c r="AA58" s="906">
        <f t="shared" si="10"/>
        <v>768.88109581512867</v>
      </c>
      <c r="AB58" s="906">
        <f t="shared" si="11"/>
        <v>768.88109581512867</v>
      </c>
      <c r="AC58" s="286">
        <f t="shared" si="12"/>
        <v>0</v>
      </c>
      <c r="AD58" s="906">
        <f t="shared" si="13"/>
        <v>9391.8968660354858</v>
      </c>
      <c r="AE58" s="906">
        <f t="shared" si="14"/>
        <v>442.11147260694304</v>
      </c>
      <c r="AF58" s="1072">
        <f t="shared" si="15"/>
        <v>294.74098173796204</v>
      </c>
      <c r="AG58" s="1450">
        <f t="shared" si="16"/>
        <v>0.13527885904981399</v>
      </c>
      <c r="AH58" s="914">
        <f>'Baseline data (from input)'!AS44*AG58</f>
        <v>5376.7908798260733</v>
      </c>
      <c r="AI58" s="908">
        <f>Parameters!S159</f>
        <v>0.71500000000000008</v>
      </c>
      <c r="AJ58" s="908">
        <f t="shared" si="17"/>
        <v>0.4</v>
      </c>
      <c r="AK58" s="906">
        <f t="shared" si="18"/>
        <v>768.88109581512867</v>
      </c>
      <c r="AL58" s="906">
        <f t="shared" si="19"/>
        <v>768.88109581512867</v>
      </c>
      <c r="AM58" s="286">
        <f t="shared" si="20"/>
        <v>0</v>
      </c>
      <c r="AN58" s="906">
        <f t="shared" si="21"/>
        <v>9391.8968660354858</v>
      </c>
      <c r="AO58" s="906">
        <f t="shared" si="22"/>
        <v>442.11147260694304</v>
      </c>
      <c r="AP58" s="1072">
        <f t="shared" si="23"/>
        <v>294.74098173796204</v>
      </c>
      <c r="AR58" s="914">
        <v>0</v>
      </c>
      <c r="AS58" s="907">
        <v>1</v>
      </c>
      <c r="AT58" s="907">
        <f t="shared" si="24"/>
        <v>0.05</v>
      </c>
      <c r="AU58" s="906">
        <f t="shared" si="25"/>
        <v>0</v>
      </c>
      <c r="AV58" s="906">
        <f t="shared" si="26"/>
        <v>0</v>
      </c>
      <c r="AW58" s="198">
        <f t="shared" si="27"/>
        <v>0</v>
      </c>
      <c r="AX58" s="922">
        <f t="shared" si="44"/>
        <v>0</v>
      </c>
      <c r="AY58" s="922">
        <f t="shared" si="29"/>
        <v>0</v>
      </c>
      <c r="AZ58" s="1072">
        <f t="shared" si="30"/>
        <v>0</v>
      </c>
      <c r="BB58" s="300">
        <f t="shared" si="31"/>
        <v>228.00779639455286</v>
      </c>
      <c r="BC58" s="301">
        <f t="shared" si="32"/>
        <v>294.74098173796204</v>
      </c>
      <c r="BD58" s="1080">
        <f t="shared" si="33"/>
        <v>0</v>
      </c>
      <c r="BE58" s="301">
        <f t="shared" si="34"/>
        <v>522.74877813251487</v>
      </c>
      <c r="BF58" s="104">
        <v>0</v>
      </c>
      <c r="BG58" s="302">
        <f t="shared" si="35"/>
        <v>522.74877813251487</v>
      </c>
      <c r="BI58" s="300">
        <f t="shared" si="36"/>
        <v>228.00779639455286</v>
      </c>
      <c r="BJ58" s="301">
        <f t="shared" si="37"/>
        <v>294.74098173796204</v>
      </c>
      <c r="BK58" s="1080">
        <f t="shared" si="38"/>
        <v>0</v>
      </c>
      <c r="BL58" s="301">
        <f t="shared" si="39"/>
        <v>522.74877813251487</v>
      </c>
      <c r="BM58" s="104">
        <v>0</v>
      </c>
      <c r="BN58" s="302">
        <f t="shared" si="40"/>
        <v>522.74877813251487</v>
      </c>
    </row>
    <row r="59" spans="1:66">
      <c r="A59" s="127">
        <f>'Input data'!A89</f>
        <v>1989</v>
      </c>
      <c r="B59" s="866">
        <f>'Input data'!B89</f>
        <v>31.386810000000001</v>
      </c>
      <c r="C59" s="866">
        <f>'Baseline data (from input)'!B45</f>
        <v>578.73</v>
      </c>
      <c r="D59" s="777">
        <f>'Baseline data (from input)'!T45</f>
        <v>0.8</v>
      </c>
      <c r="E59" s="777">
        <f t="shared" si="45"/>
        <v>0.24001298204245269</v>
      </c>
      <c r="F59" s="777">
        <f t="shared" si="45"/>
        <v>0.30440139352934503</v>
      </c>
      <c r="G59" s="777">
        <f t="shared" si="45"/>
        <v>5.8998240613430578E-2</v>
      </c>
      <c r="H59" s="777">
        <f t="shared" si="45"/>
        <v>0</v>
      </c>
      <c r="I59" s="777">
        <f t="shared" si="45"/>
        <v>0</v>
      </c>
      <c r="J59" s="777">
        <f t="shared" si="45"/>
        <v>0</v>
      </c>
      <c r="K59" s="777">
        <f t="shared" si="45"/>
        <v>0.39658738381477154</v>
      </c>
      <c r="L59" s="874">
        <f t="shared" si="42"/>
        <v>0.99999999999999989</v>
      </c>
      <c r="N59" s="300">
        <f t="shared" si="1"/>
        <v>14531.590841040001</v>
      </c>
      <c r="O59" s="908">
        <f>Parameters!R160</f>
        <v>0.73</v>
      </c>
      <c r="P59" s="908">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906">
        <f t="shared" si="2"/>
        <v>639.03768765392897</v>
      </c>
      <c r="R59" s="906">
        <f t="shared" si="3"/>
        <v>639.03768765392897</v>
      </c>
      <c r="S59" s="286">
        <f t="shared" si="4"/>
        <v>0</v>
      </c>
      <c r="T59" s="906">
        <f t="shared" si="5"/>
        <v>7578.7834282461499</v>
      </c>
      <c r="U59" s="906">
        <f t="shared" si="6"/>
        <v>355.80837269100607</v>
      </c>
      <c r="V59" s="1072">
        <f t="shared" si="7"/>
        <v>237.20558179400405</v>
      </c>
      <c r="W59" s="1450">
        <f t="shared" si="8"/>
        <v>0.13527885904981399</v>
      </c>
      <c r="X59" s="914">
        <f>'Baseline data (from input)'!AS45*W59</f>
        <v>5505.5534160787047</v>
      </c>
      <c r="Y59" s="908">
        <f>Parameters!S160</f>
        <v>0.71500000000000008</v>
      </c>
      <c r="Z59" s="908">
        <f t="shared" si="9"/>
        <v>0.4</v>
      </c>
      <c r="AA59" s="906">
        <f t="shared" si="10"/>
        <v>787.29413849925481</v>
      </c>
      <c r="AB59" s="906">
        <f t="shared" si="11"/>
        <v>787.29413849925481</v>
      </c>
      <c r="AC59" s="286">
        <f t="shared" si="12"/>
        <v>0</v>
      </c>
      <c r="AD59" s="906">
        <f t="shared" si="13"/>
        <v>9721.1427893482505</v>
      </c>
      <c r="AE59" s="906">
        <f t="shared" si="14"/>
        <v>458.04821518649106</v>
      </c>
      <c r="AF59" s="1072">
        <f t="shared" si="15"/>
        <v>305.36547679099402</v>
      </c>
      <c r="AG59" s="1450">
        <f t="shared" si="16"/>
        <v>0.13527885904981399</v>
      </c>
      <c r="AH59" s="914">
        <f>'Baseline data (from input)'!AS45*AG59</f>
        <v>5505.5534160787047</v>
      </c>
      <c r="AI59" s="908">
        <f>Parameters!S160</f>
        <v>0.71500000000000008</v>
      </c>
      <c r="AJ59" s="908">
        <f t="shared" si="17"/>
        <v>0.4</v>
      </c>
      <c r="AK59" s="906">
        <f t="shared" si="18"/>
        <v>787.29413849925481</v>
      </c>
      <c r="AL59" s="906">
        <f t="shared" si="19"/>
        <v>787.29413849925481</v>
      </c>
      <c r="AM59" s="286">
        <f t="shared" si="20"/>
        <v>0</v>
      </c>
      <c r="AN59" s="906">
        <f t="shared" si="21"/>
        <v>9721.1427893482505</v>
      </c>
      <c r="AO59" s="906">
        <f t="shared" si="22"/>
        <v>458.04821518649106</v>
      </c>
      <c r="AP59" s="1072">
        <f t="shared" si="23"/>
        <v>305.36547679099402</v>
      </c>
      <c r="AR59" s="914">
        <v>0</v>
      </c>
      <c r="AS59" s="907">
        <v>1</v>
      </c>
      <c r="AT59" s="907">
        <f t="shared" si="24"/>
        <v>0.05</v>
      </c>
      <c r="AU59" s="906">
        <f t="shared" si="25"/>
        <v>0</v>
      </c>
      <c r="AV59" s="906">
        <f t="shared" si="26"/>
        <v>0</v>
      </c>
      <c r="AW59" s="198">
        <f t="shared" si="27"/>
        <v>0</v>
      </c>
      <c r="AX59" s="922">
        <f t="shared" si="44"/>
        <v>0</v>
      </c>
      <c r="AY59" s="922">
        <f t="shared" si="29"/>
        <v>0</v>
      </c>
      <c r="AZ59" s="1072">
        <f t="shared" si="30"/>
        <v>0</v>
      </c>
      <c r="BB59" s="300">
        <f t="shared" si="31"/>
        <v>237.20558179400405</v>
      </c>
      <c r="BC59" s="301">
        <f t="shared" si="32"/>
        <v>305.36547679099402</v>
      </c>
      <c r="BD59" s="1080">
        <f t="shared" si="33"/>
        <v>0</v>
      </c>
      <c r="BE59" s="301">
        <f t="shared" si="34"/>
        <v>542.57105858499813</v>
      </c>
      <c r="BF59" s="104">
        <v>0</v>
      </c>
      <c r="BG59" s="302">
        <f t="shared" si="35"/>
        <v>542.57105858499813</v>
      </c>
      <c r="BI59" s="300">
        <f t="shared" si="36"/>
        <v>237.20558179400405</v>
      </c>
      <c r="BJ59" s="301">
        <f t="shared" si="37"/>
        <v>305.36547679099402</v>
      </c>
      <c r="BK59" s="1080">
        <f t="shared" si="38"/>
        <v>0</v>
      </c>
      <c r="BL59" s="301">
        <f t="shared" si="39"/>
        <v>542.57105858499813</v>
      </c>
      <c r="BM59" s="104">
        <v>0</v>
      </c>
      <c r="BN59" s="302">
        <f t="shared" si="40"/>
        <v>542.57105858499813</v>
      </c>
    </row>
    <row r="60" spans="1:66">
      <c r="A60" s="127">
        <f>'Input data'!A90</f>
        <v>1990</v>
      </c>
      <c r="B60" s="866">
        <f>'Input data'!B90</f>
        <v>32.032000000000004</v>
      </c>
      <c r="C60" s="866">
        <f>'Baseline data (from input)'!B46</f>
        <v>578.73</v>
      </c>
      <c r="D60" s="777">
        <f>'Baseline data (from input)'!T46</f>
        <v>0.8</v>
      </c>
      <c r="E60" s="777">
        <f t="shared" si="45"/>
        <v>0.24001298204245269</v>
      </c>
      <c r="F60" s="777">
        <f t="shared" si="45"/>
        <v>0.30440139352934503</v>
      </c>
      <c r="G60" s="777">
        <f t="shared" si="45"/>
        <v>5.8998240613430578E-2</v>
      </c>
      <c r="H60" s="777">
        <f t="shared" si="45"/>
        <v>0</v>
      </c>
      <c r="I60" s="777">
        <f t="shared" si="45"/>
        <v>0</v>
      </c>
      <c r="J60" s="777">
        <f t="shared" si="45"/>
        <v>0</v>
      </c>
      <c r="K60" s="777">
        <f t="shared" si="45"/>
        <v>0.39658738381477154</v>
      </c>
      <c r="L60" s="874">
        <f t="shared" si="42"/>
        <v>0.99999999999999989</v>
      </c>
      <c r="N60" s="300">
        <f t="shared" si="1"/>
        <v>14830.303488000003</v>
      </c>
      <c r="O60" s="908">
        <f>Parameters!R161</f>
        <v>0.73</v>
      </c>
      <c r="P60" s="908">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906">
        <f t="shared" si="2"/>
        <v>652.17380201844844</v>
      </c>
      <c r="R60" s="906">
        <f t="shared" si="3"/>
        <v>652.17380201844844</v>
      </c>
      <c r="S60" s="286">
        <f t="shared" si="4"/>
        <v>0</v>
      </c>
      <c r="T60" s="906">
        <f t="shared" si="5"/>
        <v>7861.3356008845822</v>
      </c>
      <c r="U60" s="906">
        <f t="shared" si="6"/>
        <v>369.62162938001632</v>
      </c>
      <c r="V60" s="1072">
        <f t="shared" si="7"/>
        <v>246.41441958667755</v>
      </c>
      <c r="W60" s="1450">
        <f t="shared" si="8"/>
        <v>0.13527885904981399</v>
      </c>
      <c r="X60" s="914">
        <f>'Baseline data (from input)'!AS46*W60</f>
        <v>5488.0575559378776</v>
      </c>
      <c r="Y60" s="908">
        <f>Parameters!S161</f>
        <v>0.71500000000000008</v>
      </c>
      <c r="Z60" s="908">
        <f t="shared" si="9"/>
        <v>0.4</v>
      </c>
      <c r="AA60" s="906">
        <f t="shared" si="10"/>
        <v>784.79223049911661</v>
      </c>
      <c r="AB60" s="906">
        <f t="shared" si="11"/>
        <v>784.79223049911661</v>
      </c>
      <c r="AC60" s="286">
        <f t="shared" si="12"/>
        <v>0</v>
      </c>
      <c r="AD60" s="906">
        <f t="shared" si="13"/>
        <v>10031.829291500118</v>
      </c>
      <c r="AE60" s="906">
        <f t="shared" si="14"/>
        <v>474.10572834724837</v>
      </c>
      <c r="AF60" s="1072">
        <f t="shared" si="15"/>
        <v>316.07048556483227</v>
      </c>
      <c r="AG60" s="1450">
        <f t="shared" si="16"/>
        <v>0.13527885904981399</v>
      </c>
      <c r="AH60" s="914">
        <f>'Baseline data (from input)'!AS46*AG60</f>
        <v>5488.0575559378776</v>
      </c>
      <c r="AI60" s="908">
        <f>Parameters!S161</f>
        <v>0.71500000000000008</v>
      </c>
      <c r="AJ60" s="908">
        <f t="shared" si="17"/>
        <v>0.4</v>
      </c>
      <c r="AK60" s="906">
        <f t="shared" si="18"/>
        <v>784.79223049911661</v>
      </c>
      <c r="AL60" s="906">
        <f t="shared" si="19"/>
        <v>784.79223049911661</v>
      </c>
      <c r="AM60" s="286">
        <f t="shared" si="20"/>
        <v>0</v>
      </c>
      <c r="AN60" s="906">
        <f t="shared" si="21"/>
        <v>10031.829291500118</v>
      </c>
      <c r="AO60" s="906">
        <f t="shared" si="22"/>
        <v>474.10572834724837</v>
      </c>
      <c r="AP60" s="1072">
        <f t="shared" si="23"/>
        <v>316.07048556483227</v>
      </c>
      <c r="AR60" s="914">
        <v>0</v>
      </c>
      <c r="AS60" s="907">
        <v>1</v>
      </c>
      <c r="AT60" s="907">
        <f t="shared" si="24"/>
        <v>0.05</v>
      </c>
      <c r="AU60" s="906">
        <f t="shared" si="25"/>
        <v>0</v>
      </c>
      <c r="AV60" s="906">
        <f t="shared" si="26"/>
        <v>0</v>
      </c>
      <c r="AW60" s="198">
        <f t="shared" si="27"/>
        <v>0</v>
      </c>
      <c r="AX60" s="922">
        <f t="shared" si="44"/>
        <v>0</v>
      </c>
      <c r="AY60" s="922">
        <f t="shared" si="29"/>
        <v>0</v>
      </c>
      <c r="AZ60" s="1072">
        <f t="shared" si="30"/>
        <v>0</v>
      </c>
      <c r="BB60" s="300">
        <f t="shared" si="31"/>
        <v>246.41441958667755</v>
      </c>
      <c r="BC60" s="301">
        <f t="shared" si="32"/>
        <v>316.07048556483227</v>
      </c>
      <c r="BD60" s="1080">
        <f t="shared" si="33"/>
        <v>0</v>
      </c>
      <c r="BE60" s="301">
        <f t="shared" si="34"/>
        <v>562.48490515150979</v>
      </c>
      <c r="BF60" s="104">
        <v>0</v>
      </c>
      <c r="BG60" s="302">
        <f t="shared" si="35"/>
        <v>562.48490515150979</v>
      </c>
      <c r="BI60" s="300">
        <f t="shared" si="36"/>
        <v>246.41441958667755</v>
      </c>
      <c r="BJ60" s="301">
        <f t="shared" si="37"/>
        <v>316.07048556483227</v>
      </c>
      <c r="BK60" s="1080">
        <f t="shared" si="38"/>
        <v>0</v>
      </c>
      <c r="BL60" s="301">
        <f t="shared" si="39"/>
        <v>562.48490515150979</v>
      </c>
      <c r="BM60" s="104">
        <v>0</v>
      </c>
      <c r="BN60" s="302">
        <f t="shared" si="40"/>
        <v>562.48490515150979</v>
      </c>
    </row>
    <row r="61" spans="1:66">
      <c r="A61" s="127">
        <f>'Input data'!A91</f>
        <v>1991</v>
      </c>
      <c r="B61" s="866">
        <f>'Input data'!B91</f>
        <v>32.69903</v>
      </c>
      <c r="C61" s="866">
        <f>'Baseline data (from input)'!B47</f>
        <v>578.73</v>
      </c>
      <c r="D61" s="777">
        <f>'Baseline data (from input)'!T47</f>
        <v>0.8</v>
      </c>
      <c r="E61" s="777">
        <f t="shared" si="45"/>
        <v>0.24001298204245269</v>
      </c>
      <c r="F61" s="777">
        <f t="shared" si="45"/>
        <v>0.30440139352934503</v>
      </c>
      <c r="G61" s="777">
        <f t="shared" si="45"/>
        <v>5.8998240613430578E-2</v>
      </c>
      <c r="H61" s="777">
        <f t="shared" si="45"/>
        <v>0</v>
      </c>
      <c r="I61" s="777">
        <f t="shared" si="45"/>
        <v>0</v>
      </c>
      <c r="J61" s="777">
        <f t="shared" si="45"/>
        <v>0</v>
      </c>
      <c r="K61" s="777">
        <f t="shared" si="45"/>
        <v>0.39658738381477154</v>
      </c>
      <c r="L61" s="874">
        <f t="shared" si="42"/>
        <v>0.99999999999999989</v>
      </c>
      <c r="N61" s="300">
        <f t="shared" si="1"/>
        <v>15139.127705520003</v>
      </c>
      <c r="O61" s="908">
        <f>Parameters!R162</f>
        <v>0.73</v>
      </c>
      <c r="P61" s="908">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906">
        <f t="shared" si="2"/>
        <v>665.75458033888935</v>
      </c>
      <c r="R61" s="906">
        <f t="shared" si="3"/>
        <v>665.75458033888935</v>
      </c>
      <c r="S61" s="286">
        <f t="shared" si="4"/>
        <v>0</v>
      </c>
      <c r="T61" s="906">
        <f t="shared" si="5"/>
        <v>8143.688319775305</v>
      </c>
      <c r="U61" s="906">
        <f t="shared" si="6"/>
        <v>383.40186144816624</v>
      </c>
      <c r="V61" s="1072">
        <f t="shared" si="7"/>
        <v>255.60124096544416</v>
      </c>
      <c r="W61" s="1450">
        <f t="shared" si="8"/>
        <v>0.13527885904981399</v>
      </c>
      <c r="X61" s="914">
        <f>'Baseline data (from input)'!AS47*W61</f>
        <v>5432.177063261639</v>
      </c>
      <c r="Y61" s="908">
        <f>Parameters!S162</f>
        <v>0.71500000000000008</v>
      </c>
      <c r="Z61" s="908">
        <f t="shared" si="9"/>
        <v>0.4</v>
      </c>
      <c r="AA61" s="906">
        <f t="shared" si="10"/>
        <v>776.8013200464145</v>
      </c>
      <c r="AB61" s="906">
        <f t="shared" si="11"/>
        <v>776.8013200464145</v>
      </c>
      <c r="AC61" s="286">
        <f t="shared" si="12"/>
        <v>0</v>
      </c>
      <c r="AD61" s="906">
        <f t="shared" si="13"/>
        <v>10319.372523689477</v>
      </c>
      <c r="AE61" s="906">
        <f t="shared" si="14"/>
        <v>489.25808785705516</v>
      </c>
      <c r="AF61" s="1072">
        <f t="shared" si="15"/>
        <v>326.17205857137009</v>
      </c>
      <c r="AG61" s="1450">
        <f t="shared" si="16"/>
        <v>0.13527885904981399</v>
      </c>
      <c r="AH61" s="914">
        <f>'Baseline data (from input)'!AS47*AG61</f>
        <v>5432.177063261639</v>
      </c>
      <c r="AI61" s="908">
        <f>Parameters!S162</f>
        <v>0.71500000000000008</v>
      </c>
      <c r="AJ61" s="908">
        <f t="shared" si="17"/>
        <v>0.4</v>
      </c>
      <c r="AK61" s="906">
        <f t="shared" si="18"/>
        <v>776.8013200464145</v>
      </c>
      <c r="AL61" s="906">
        <f t="shared" si="19"/>
        <v>776.8013200464145</v>
      </c>
      <c r="AM61" s="286">
        <f t="shared" si="20"/>
        <v>0</v>
      </c>
      <c r="AN61" s="906">
        <f t="shared" si="21"/>
        <v>10319.372523689477</v>
      </c>
      <c r="AO61" s="906">
        <f t="shared" si="22"/>
        <v>489.25808785705516</v>
      </c>
      <c r="AP61" s="1072">
        <f t="shared" si="23"/>
        <v>326.17205857137009</v>
      </c>
      <c r="AR61" s="914">
        <v>0</v>
      </c>
      <c r="AS61" s="907">
        <v>1</v>
      </c>
      <c r="AT61" s="907">
        <f t="shared" si="24"/>
        <v>0.05</v>
      </c>
      <c r="AU61" s="906">
        <f t="shared" si="25"/>
        <v>0</v>
      </c>
      <c r="AV61" s="906">
        <f t="shared" si="26"/>
        <v>0</v>
      </c>
      <c r="AW61" s="198">
        <f t="shared" si="27"/>
        <v>0</v>
      </c>
      <c r="AX61" s="922">
        <f t="shared" si="44"/>
        <v>0</v>
      </c>
      <c r="AY61" s="922">
        <f t="shared" si="29"/>
        <v>0</v>
      </c>
      <c r="AZ61" s="1072">
        <f t="shared" si="30"/>
        <v>0</v>
      </c>
      <c r="BB61" s="300">
        <f t="shared" si="31"/>
        <v>255.60124096544416</v>
      </c>
      <c r="BC61" s="301">
        <f t="shared" si="32"/>
        <v>326.17205857137009</v>
      </c>
      <c r="BD61" s="1080">
        <f t="shared" si="33"/>
        <v>0</v>
      </c>
      <c r="BE61" s="301">
        <f t="shared" si="34"/>
        <v>581.77329953681419</v>
      </c>
      <c r="BF61" s="104">
        <v>0</v>
      </c>
      <c r="BG61" s="302">
        <f t="shared" si="35"/>
        <v>581.77329953681419</v>
      </c>
      <c r="BI61" s="300">
        <f t="shared" si="36"/>
        <v>255.60124096544416</v>
      </c>
      <c r="BJ61" s="301">
        <f t="shared" si="37"/>
        <v>326.17205857137009</v>
      </c>
      <c r="BK61" s="1080">
        <f t="shared" si="38"/>
        <v>0</v>
      </c>
      <c r="BL61" s="301">
        <f t="shared" si="39"/>
        <v>581.77329953681419</v>
      </c>
      <c r="BM61" s="104">
        <v>0</v>
      </c>
      <c r="BN61" s="302">
        <f t="shared" si="40"/>
        <v>581.77329953681419</v>
      </c>
    </row>
    <row r="62" spans="1:66">
      <c r="A62" s="127">
        <f>'Input data'!A92</f>
        <v>1992</v>
      </c>
      <c r="B62" s="866">
        <f>'Input data'!B92</f>
        <v>33.388809999999999</v>
      </c>
      <c r="C62" s="866">
        <f>'Baseline data (from input)'!B48</f>
        <v>578.73</v>
      </c>
      <c r="D62" s="777">
        <f>'Baseline data (from input)'!T48</f>
        <v>0.8</v>
      </c>
      <c r="E62" s="777">
        <f t="shared" si="45"/>
        <v>0.24001298204245269</v>
      </c>
      <c r="F62" s="777">
        <f t="shared" si="45"/>
        <v>0.30440139352934503</v>
      </c>
      <c r="G62" s="777">
        <f t="shared" si="45"/>
        <v>5.8998240613430578E-2</v>
      </c>
      <c r="H62" s="777">
        <f t="shared" si="45"/>
        <v>0</v>
      </c>
      <c r="I62" s="777">
        <f t="shared" si="45"/>
        <v>0</v>
      </c>
      <c r="J62" s="777">
        <f t="shared" si="45"/>
        <v>0</v>
      </c>
      <c r="K62" s="777">
        <f t="shared" si="45"/>
        <v>0.39658738381477154</v>
      </c>
      <c r="L62" s="874">
        <f t="shared" si="42"/>
        <v>0.99999999999999989</v>
      </c>
      <c r="N62" s="300">
        <f t="shared" si="1"/>
        <v>15458.484809039999</v>
      </c>
      <c r="O62" s="908">
        <f>Parameters!R163</f>
        <v>0.73</v>
      </c>
      <c r="P62" s="908">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906">
        <f t="shared" si="2"/>
        <v>679.79855028008194</v>
      </c>
      <c r="R62" s="906">
        <f t="shared" si="3"/>
        <v>679.79855028008194</v>
      </c>
      <c r="S62" s="286">
        <f t="shared" si="4"/>
        <v>0</v>
      </c>
      <c r="T62" s="906">
        <f t="shared" si="5"/>
        <v>8426.3145040131312</v>
      </c>
      <c r="U62" s="906">
        <f t="shared" si="6"/>
        <v>397.17236604225491</v>
      </c>
      <c r="V62" s="1072">
        <f t="shared" si="7"/>
        <v>264.78157736150325</v>
      </c>
      <c r="W62" s="1450">
        <f t="shared" si="8"/>
        <v>0.13527885904981399</v>
      </c>
      <c r="X62" s="914">
        <f>'Baseline data (from input)'!AS48*W62</f>
        <v>5316.0883491085297</v>
      </c>
      <c r="Y62" s="908">
        <f>Parameters!S163</f>
        <v>0.71500000000000008</v>
      </c>
      <c r="Z62" s="908">
        <f t="shared" si="9"/>
        <v>0.4</v>
      </c>
      <c r="AA62" s="906">
        <f t="shared" si="10"/>
        <v>760.20063392251996</v>
      </c>
      <c r="AB62" s="906">
        <f t="shared" si="11"/>
        <v>760.20063392251996</v>
      </c>
      <c r="AC62" s="286">
        <f t="shared" si="12"/>
        <v>0</v>
      </c>
      <c r="AD62" s="906">
        <f t="shared" si="13"/>
        <v>10576.291420840142</v>
      </c>
      <c r="AE62" s="906">
        <f t="shared" si="14"/>
        <v>503.28173677185498</v>
      </c>
      <c r="AF62" s="1072">
        <f t="shared" si="15"/>
        <v>335.52115784790334</v>
      </c>
      <c r="AG62" s="1450">
        <f t="shared" si="16"/>
        <v>0.13527885904981399</v>
      </c>
      <c r="AH62" s="914">
        <f>'Baseline data (from input)'!AS48*AG62</f>
        <v>5316.0883491085297</v>
      </c>
      <c r="AI62" s="908">
        <f>Parameters!S163</f>
        <v>0.71500000000000008</v>
      </c>
      <c r="AJ62" s="908">
        <f t="shared" si="17"/>
        <v>0.4</v>
      </c>
      <c r="AK62" s="906">
        <f t="shared" si="18"/>
        <v>760.20063392251996</v>
      </c>
      <c r="AL62" s="906">
        <f t="shared" si="19"/>
        <v>760.20063392251996</v>
      </c>
      <c r="AM62" s="286">
        <f t="shared" si="20"/>
        <v>0</v>
      </c>
      <c r="AN62" s="906">
        <f t="shared" si="21"/>
        <v>10576.291420840142</v>
      </c>
      <c r="AO62" s="906">
        <f t="shared" si="22"/>
        <v>503.28173677185498</v>
      </c>
      <c r="AP62" s="1072">
        <f t="shared" si="23"/>
        <v>335.52115784790334</v>
      </c>
      <c r="AR62" s="914">
        <v>0</v>
      </c>
      <c r="AS62" s="907">
        <v>1</v>
      </c>
      <c r="AT62" s="907">
        <f t="shared" si="24"/>
        <v>0.05</v>
      </c>
      <c r="AU62" s="906">
        <f t="shared" si="25"/>
        <v>0</v>
      </c>
      <c r="AV62" s="906">
        <f t="shared" si="26"/>
        <v>0</v>
      </c>
      <c r="AW62" s="198">
        <f t="shared" si="27"/>
        <v>0</v>
      </c>
      <c r="AX62" s="922">
        <f t="shared" si="44"/>
        <v>0</v>
      </c>
      <c r="AY62" s="922">
        <f t="shared" si="29"/>
        <v>0</v>
      </c>
      <c r="AZ62" s="1072">
        <f t="shared" si="30"/>
        <v>0</v>
      </c>
      <c r="BB62" s="300">
        <f t="shared" si="31"/>
        <v>264.78157736150325</v>
      </c>
      <c r="BC62" s="301">
        <f t="shared" si="32"/>
        <v>335.52115784790334</v>
      </c>
      <c r="BD62" s="1080">
        <f t="shared" si="33"/>
        <v>0</v>
      </c>
      <c r="BE62" s="301">
        <f t="shared" si="34"/>
        <v>600.30273520940659</v>
      </c>
      <c r="BF62" s="104">
        <v>0</v>
      </c>
      <c r="BG62" s="302">
        <f t="shared" si="35"/>
        <v>600.30273520940659</v>
      </c>
      <c r="BI62" s="300">
        <f t="shared" si="36"/>
        <v>264.78157736150325</v>
      </c>
      <c r="BJ62" s="301">
        <f t="shared" si="37"/>
        <v>335.52115784790334</v>
      </c>
      <c r="BK62" s="1080">
        <f t="shared" si="38"/>
        <v>0</v>
      </c>
      <c r="BL62" s="301">
        <f t="shared" si="39"/>
        <v>600.30273520940659</v>
      </c>
      <c r="BM62" s="104">
        <v>0</v>
      </c>
      <c r="BN62" s="302">
        <f t="shared" si="40"/>
        <v>600.30273520940659</v>
      </c>
    </row>
    <row r="63" spans="1:66">
      <c r="A63" s="127">
        <f>'Input data'!A93</f>
        <v>1993</v>
      </c>
      <c r="B63" s="866">
        <f>'Input data'!B93</f>
        <v>34.101339999999993</v>
      </c>
      <c r="C63" s="866">
        <f>'Baseline data (from input)'!B49</f>
        <v>578.73</v>
      </c>
      <c r="D63" s="777">
        <f>'Baseline data (from input)'!T49</f>
        <v>0.8</v>
      </c>
      <c r="E63" s="777">
        <f t="shared" si="45"/>
        <v>0.24001298204245269</v>
      </c>
      <c r="F63" s="777">
        <f t="shared" si="45"/>
        <v>0.30440139352934503</v>
      </c>
      <c r="G63" s="777">
        <f t="shared" si="45"/>
        <v>5.8998240613430578E-2</v>
      </c>
      <c r="H63" s="777">
        <f t="shared" si="45"/>
        <v>0</v>
      </c>
      <c r="I63" s="777">
        <f t="shared" si="45"/>
        <v>0</v>
      </c>
      <c r="J63" s="777">
        <f t="shared" si="45"/>
        <v>0</v>
      </c>
      <c r="K63" s="777">
        <f t="shared" si="45"/>
        <v>0.39658738381477154</v>
      </c>
      <c r="L63" s="874">
        <f t="shared" si="42"/>
        <v>0.99999999999999989</v>
      </c>
      <c r="N63" s="300">
        <f t="shared" si="1"/>
        <v>15788.374798559998</v>
      </c>
      <c r="O63" s="908">
        <f>Parameters!R164</f>
        <v>0.73</v>
      </c>
      <c r="P63" s="908">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906">
        <f t="shared" si="2"/>
        <v>694.30571184202631</v>
      </c>
      <c r="R63" s="906">
        <f t="shared" si="3"/>
        <v>694.30571184202631</v>
      </c>
      <c r="S63" s="286">
        <f t="shared" si="4"/>
        <v>0</v>
      </c>
      <c r="T63" s="906">
        <f t="shared" si="5"/>
        <v>8709.6640081564565</v>
      </c>
      <c r="U63" s="906">
        <f t="shared" si="6"/>
        <v>410.95620769870095</v>
      </c>
      <c r="V63" s="1072">
        <f t="shared" si="7"/>
        <v>273.97080513246732</v>
      </c>
      <c r="W63" s="1450">
        <f t="shared" si="8"/>
        <v>0.13527885904981399</v>
      </c>
      <c r="X63" s="914">
        <f>'Baseline data (from input)'!AS49*W63</f>
        <v>5381.6633574874559</v>
      </c>
      <c r="Y63" s="908">
        <f>Parameters!S164</f>
        <v>0.71500000000000008</v>
      </c>
      <c r="Z63" s="908">
        <f t="shared" si="9"/>
        <v>0.4</v>
      </c>
      <c r="AA63" s="906">
        <f t="shared" si="10"/>
        <v>769.5778601207063</v>
      </c>
      <c r="AB63" s="906">
        <f t="shared" si="11"/>
        <v>769.5778601207063</v>
      </c>
      <c r="AC63" s="286">
        <f t="shared" si="12"/>
        <v>0</v>
      </c>
      <c r="AD63" s="906">
        <f t="shared" si="13"/>
        <v>10830.057461718312</v>
      </c>
      <c r="AE63" s="906">
        <f t="shared" si="14"/>
        <v>515.81181924253474</v>
      </c>
      <c r="AF63" s="1072">
        <f t="shared" si="15"/>
        <v>343.87454616168981</v>
      </c>
      <c r="AG63" s="1450">
        <f t="shared" si="16"/>
        <v>0.13527885904981399</v>
      </c>
      <c r="AH63" s="914">
        <f>'Baseline data (from input)'!AS49*AG63</f>
        <v>5381.6633574874559</v>
      </c>
      <c r="AI63" s="908">
        <f>Parameters!S164</f>
        <v>0.71500000000000008</v>
      </c>
      <c r="AJ63" s="908">
        <f t="shared" si="17"/>
        <v>0.4</v>
      </c>
      <c r="AK63" s="906">
        <f t="shared" si="18"/>
        <v>769.5778601207063</v>
      </c>
      <c r="AL63" s="906">
        <f t="shared" si="19"/>
        <v>769.5778601207063</v>
      </c>
      <c r="AM63" s="286">
        <f t="shared" si="20"/>
        <v>0</v>
      </c>
      <c r="AN63" s="906">
        <f t="shared" si="21"/>
        <v>10830.057461718312</v>
      </c>
      <c r="AO63" s="906">
        <f t="shared" si="22"/>
        <v>515.81181924253474</v>
      </c>
      <c r="AP63" s="1072">
        <f t="shared" si="23"/>
        <v>343.87454616168981</v>
      </c>
      <c r="AR63" s="914">
        <v>0</v>
      </c>
      <c r="AS63" s="907">
        <v>1</v>
      </c>
      <c r="AT63" s="907">
        <f t="shared" si="24"/>
        <v>0.05</v>
      </c>
      <c r="AU63" s="906">
        <f t="shared" si="25"/>
        <v>0</v>
      </c>
      <c r="AV63" s="906">
        <f t="shared" si="26"/>
        <v>0</v>
      </c>
      <c r="AW63" s="198">
        <f t="shared" si="27"/>
        <v>0</v>
      </c>
      <c r="AX63" s="922">
        <f t="shared" si="44"/>
        <v>0</v>
      </c>
      <c r="AY63" s="922">
        <f t="shared" si="29"/>
        <v>0</v>
      </c>
      <c r="AZ63" s="1072">
        <f t="shared" si="30"/>
        <v>0</v>
      </c>
      <c r="BB63" s="300">
        <f t="shared" si="31"/>
        <v>273.97080513246732</v>
      </c>
      <c r="BC63" s="301">
        <f t="shared" si="32"/>
        <v>343.87454616168981</v>
      </c>
      <c r="BD63" s="1080">
        <f t="shared" si="33"/>
        <v>0</v>
      </c>
      <c r="BE63" s="301">
        <f t="shared" si="34"/>
        <v>617.84535129415713</v>
      </c>
      <c r="BF63" s="104">
        <v>0</v>
      </c>
      <c r="BG63" s="302">
        <f t="shared" si="35"/>
        <v>617.84535129415713</v>
      </c>
      <c r="BI63" s="300">
        <f t="shared" si="36"/>
        <v>273.97080513246732</v>
      </c>
      <c r="BJ63" s="301">
        <f t="shared" si="37"/>
        <v>343.87454616168981</v>
      </c>
      <c r="BK63" s="1080">
        <f t="shared" si="38"/>
        <v>0</v>
      </c>
      <c r="BL63" s="301">
        <f t="shared" si="39"/>
        <v>617.84535129415713</v>
      </c>
      <c r="BM63" s="104">
        <v>0</v>
      </c>
      <c r="BN63" s="302">
        <f t="shared" si="40"/>
        <v>617.84535129415713</v>
      </c>
    </row>
    <row r="64" spans="1:66">
      <c r="A64" s="127">
        <f>'Input data'!A94</f>
        <v>1994</v>
      </c>
      <c r="B64" s="866">
        <f>'Input data'!B94</f>
        <v>34.837530000000001</v>
      </c>
      <c r="C64" s="866">
        <f>'Baseline data (from input)'!B50</f>
        <v>578.73</v>
      </c>
      <c r="D64" s="777">
        <f>'Baseline data (from input)'!T50</f>
        <v>0.8</v>
      </c>
      <c r="E64" s="777">
        <f t="shared" si="45"/>
        <v>0.24001298204245269</v>
      </c>
      <c r="F64" s="777">
        <f t="shared" si="45"/>
        <v>0.30440139352934503</v>
      </c>
      <c r="G64" s="777">
        <f t="shared" si="45"/>
        <v>5.8998240613430578E-2</v>
      </c>
      <c r="H64" s="777">
        <f t="shared" si="45"/>
        <v>0</v>
      </c>
      <c r="I64" s="777">
        <f t="shared" si="45"/>
        <v>0</v>
      </c>
      <c r="J64" s="777">
        <f t="shared" si="45"/>
        <v>0</v>
      </c>
      <c r="K64" s="777">
        <f t="shared" si="45"/>
        <v>0.39658738381477154</v>
      </c>
      <c r="L64" s="874">
        <f t="shared" si="42"/>
        <v>0.99999999999999989</v>
      </c>
      <c r="N64" s="300">
        <f t="shared" si="1"/>
        <v>16129.218989520003</v>
      </c>
      <c r="O64" s="908">
        <f>Parameters!R165</f>
        <v>0.73</v>
      </c>
      <c r="P64" s="908">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906">
        <f t="shared" si="2"/>
        <v>709.29459268955281</v>
      </c>
      <c r="R64" s="906">
        <f t="shared" si="3"/>
        <v>709.29459268955281</v>
      </c>
      <c r="S64" s="286">
        <f t="shared" si="4"/>
        <v>0</v>
      </c>
      <c r="T64" s="906">
        <f t="shared" si="5"/>
        <v>8994.1832747628014</v>
      </c>
      <c r="U64" s="906">
        <f t="shared" si="6"/>
        <v>424.77532608320826</v>
      </c>
      <c r="V64" s="1072">
        <f t="shared" si="7"/>
        <v>283.18355072213882</v>
      </c>
      <c r="W64" s="1450">
        <f t="shared" si="8"/>
        <v>0.13527885904981399</v>
      </c>
      <c r="X64" s="914">
        <f>'Baseline data (from input)'!AS50*W64</f>
        <v>5553.8766413807025</v>
      </c>
      <c r="Y64" s="908">
        <f>Parameters!S165</f>
        <v>0.71500000000000008</v>
      </c>
      <c r="Z64" s="908">
        <f t="shared" si="9"/>
        <v>0.4</v>
      </c>
      <c r="AA64" s="906">
        <f t="shared" si="10"/>
        <v>794.20435971744052</v>
      </c>
      <c r="AB64" s="906">
        <f t="shared" si="11"/>
        <v>794.20435971744052</v>
      </c>
      <c r="AC64" s="286">
        <f t="shared" si="12"/>
        <v>0</v>
      </c>
      <c r="AD64" s="906">
        <f t="shared" si="13"/>
        <v>11096.073686337413</v>
      </c>
      <c r="AE64" s="906">
        <f t="shared" si="14"/>
        <v>528.18813509833842</v>
      </c>
      <c r="AF64" s="1072">
        <f t="shared" si="15"/>
        <v>352.12542339889228</v>
      </c>
      <c r="AG64" s="1450">
        <f t="shared" si="16"/>
        <v>0.13527885904981399</v>
      </c>
      <c r="AH64" s="914">
        <f>'Baseline data (from input)'!AS50*AG64</f>
        <v>5553.8766413807025</v>
      </c>
      <c r="AI64" s="908">
        <f>Parameters!S165</f>
        <v>0.71500000000000008</v>
      </c>
      <c r="AJ64" s="908">
        <f t="shared" si="17"/>
        <v>0.4</v>
      </c>
      <c r="AK64" s="906">
        <f t="shared" si="18"/>
        <v>794.20435971744052</v>
      </c>
      <c r="AL64" s="906">
        <f t="shared" si="19"/>
        <v>794.20435971744052</v>
      </c>
      <c r="AM64" s="286">
        <f t="shared" si="20"/>
        <v>0</v>
      </c>
      <c r="AN64" s="906">
        <f t="shared" si="21"/>
        <v>11096.073686337413</v>
      </c>
      <c r="AO64" s="906">
        <f t="shared" si="22"/>
        <v>528.18813509833842</v>
      </c>
      <c r="AP64" s="1072">
        <f t="shared" si="23"/>
        <v>352.12542339889228</v>
      </c>
      <c r="AR64" s="914">
        <v>0</v>
      </c>
      <c r="AS64" s="907">
        <v>1</v>
      </c>
      <c r="AT64" s="907">
        <f t="shared" si="24"/>
        <v>0.05</v>
      </c>
      <c r="AU64" s="906">
        <f t="shared" si="25"/>
        <v>0</v>
      </c>
      <c r="AV64" s="906">
        <f t="shared" si="26"/>
        <v>0</v>
      </c>
      <c r="AW64" s="198">
        <f t="shared" si="27"/>
        <v>0</v>
      </c>
      <c r="AX64" s="922">
        <f t="shared" si="44"/>
        <v>0</v>
      </c>
      <c r="AY64" s="922">
        <f t="shared" si="29"/>
        <v>0</v>
      </c>
      <c r="AZ64" s="1072">
        <f t="shared" si="30"/>
        <v>0</v>
      </c>
      <c r="BB64" s="300">
        <f t="shared" si="31"/>
        <v>283.18355072213882</v>
      </c>
      <c r="BC64" s="301">
        <f t="shared" si="32"/>
        <v>352.12542339889228</v>
      </c>
      <c r="BD64" s="1080">
        <f t="shared" si="33"/>
        <v>0</v>
      </c>
      <c r="BE64" s="301">
        <f t="shared" si="34"/>
        <v>635.30897412103104</v>
      </c>
      <c r="BF64" s="104">
        <v>0</v>
      </c>
      <c r="BG64" s="302">
        <f t="shared" si="35"/>
        <v>635.30897412103104</v>
      </c>
      <c r="BI64" s="300">
        <f t="shared" si="36"/>
        <v>283.18355072213882</v>
      </c>
      <c r="BJ64" s="301">
        <f t="shared" si="37"/>
        <v>352.12542339889228</v>
      </c>
      <c r="BK64" s="1080">
        <f t="shared" si="38"/>
        <v>0</v>
      </c>
      <c r="BL64" s="301">
        <f t="shared" si="39"/>
        <v>635.30897412103104</v>
      </c>
      <c r="BM64" s="104">
        <v>0</v>
      </c>
      <c r="BN64" s="302">
        <f t="shared" si="40"/>
        <v>635.30897412103104</v>
      </c>
    </row>
    <row r="65" spans="1:73">
      <c r="A65" s="127">
        <f>'Input data'!A95</f>
        <v>1995</v>
      </c>
      <c r="B65" s="866">
        <f>'Input data'!B95</f>
        <v>35.599199999999996</v>
      </c>
      <c r="C65" s="866">
        <f>'Baseline data (from input)'!B51</f>
        <v>578.73</v>
      </c>
      <c r="D65" s="777">
        <f>'Baseline data (from input)'!T51</f>
        <v>0.8</v>
      </c>
      <c r="E65" s="777">
        <f t="shared" si="45"/>
        <v>0.24001298204245269</v>
      </c>
      <c r="F65" s="777">
        <f t="shared" si="45"/>
        <v>0.30440139352934503</v>
      </c>
      <c r="G65" s="777">
        <f t="shared" si="45"/>
        <v>5.8998240613430578E-2</v>
      </c>
      <c r="H65" s="777">
        <f t="shared" si="45"/>
        <v>0</v>
      </c>
      <c r="I65" s="777">
        <f t="shared" si="45"/>
        <v>0</v>
      </c>
      <c r="J65" s="777">
        <f t="shared" si="45"/>
        <v>0</v>
      </c>
      <c r="K65" s="777">
        <f t="shared" si="45"/>
        <v>0.39658738381477154</v>
      </c>
      <c r="L65" s="874">
        <f t="shared" si="42"/>
        <v>0.99999999999999989</v>
      </c>
      <c r="N65" s="300">
        <f t="shared" si="1"/>
        <v>16481.8600128</v>
      </c>
      <c r="O65" s="908">
        <f>Parameters!R166</f>
        <v>0.73</v>
      </c>
      <c r="P65" s="908">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906">
        <f t="shared" si="2"/>
        <v>724.80224815232089</v>
      </c>
      <c r="R65" s="906">
        <f t="shared" si="3"/>
        <v>724.80224815232089</v>
      </c>
      <c r="S65" s="286">
        <f t="shared" si="4"/>
        <v>0</v>
      </c>
      <c r="T65" s="906">
        <f t="shared" si="5"/>
        <v>9280.3340284588867</v>
      </c>
      <c r="U65" s="906">
        <f t="shared" si="6"/>
        <v>438.65149445623445</v>
      </c>
      <c r="V65" s="1072">
        <f t="shared" si="7"/>
        <v>292.43432963748961</v>
      </c>
      <c r="W65" s="1450">
        <f t="shared" si="8"/>
        <v>0.13527885904981399</v>
      </c>
      <c r="X65" s="914">
        <f>'Baseline data (from input)'!AS51*W65</f>
        <v>5726.0465627848771</v>
      </c>
      <c r="Y65" s="908">
        <f>Parameters!S166</f>
        <v>0.71500000000000008</v>
      </c>
      <c r="Z65" s="908">
        <f t="shared" si="9"/>
        <v>0.4</v>
      </c>
      <c r="AA65" s="906">
        <f t="shared" si="10"/>
        <v>818.82465847823755</v>
      </c>
      <c r="AB65" s="906">
        <f t="shared" si="11"/>
        <v>818.82465847823755</v>
      </c>
      <c r="AC65" s="286">
        <f t="shared" si="12"/>
        <v>0</v>
      </c>
      <c r="AD65" s="906">
        <f t="shared" si="13"/>
        <v>11373.736445350491</v>
      </c>
      <c r="AE65" s="906">
        <f t="shared" si="14"/>
        <v>541.16189946515931</v>
      </c>
      <c r="AF65" s="1072">
        <f t="shared" si="15"/>
        <v>360.77459964343956</v>
      </c>
      <c r="AG65" s="1450">
        <f t="shared" si="16"/>
        <v>0.13527885904981399</v>
      </c>
      <c r="AH65" s="914">
        <f>'Baseline data (from input)'!AS51*AG65</f>
        <v>5726.0465627848771</v>
      </c>
      <c r="AI65" s="908">
        <f>Parameters!S166</f>
        <v>0.71500000000000008</v>
      </c>
      <c r="AJ65" s="908">
        <f t="shared" si="17"/>
        <v>0.4</v>
      </c>
      <c r="AK65" s="906">
        <f t="shared" si="18"/>
        <v>818.82465847823755</v>
      </c>
      <c r="AL65" s="906">
        <f t="shared" si="19"/>
        <v>818.82465847823755</v>
      </c>
      <c r="AM65" s="286">
        <f t="shared" si="20"/>
        <v>0</v>
      </c>
      <c r="AN65" s="906">
        <f t="shared" si="21"/>
        <v>11373.736445350491</v>
      </c>
      <c r="AO65" s="906">
        <f t="shared" si="22"/>
        <v>541.16189946515931</v>
      </c>
      <c r="AP65" s="1072">
        <f t="shared" si="23"/>
        <v>360.77459964343956</v>
      </c>
      <c r="AR65" s="914">
        <v>0</v>
      </c>
      <c r="AS65" s="907">
        <v>1</v>
      </c>
      <c r="AT65" s="907">
        <f t="shared" si="24"/>
        <v>0.05</v>
      </c>
      <c r="AU65" s="906">
        <f t="shared" si="25"/>
        <v>0</v>
      </c>
      <c r="AV65" s="906">
        <f t="shared" si="26"/>
        <v>0</v>
      </c>
      <c r="AW65" s="198">
        <f t="shared" si="27"/>
        <v>0</v>
      </c>
      <c r="AX65" s="922">
        <f t="shared" si="44"/>
        <v>0</v>
      </c>
      <c r="AY65" s="922">
        <f t="shared" si="29"/>
        <v>0</v>
      </c>
      <c r="AZ65" s="1072">
        <f t="shared" si="30"/>
        <v>0</v>
      </c>
      <c r="BB65" s="300">
        <f t="shared" si="31"/>
        <v>292.43432963748961</v>
      </c>
      <c r="BC65" s="301">
        <f t="shared" si="32"/>
        <v>360.77459964343956</v>
      </c>
      <c r="BD65" s="1080">
        <f t="shared" si="33"/>
        <v>0</v>
      </c>
      <c r="BE65" s="301">
        <f t="shared" si="34"/>
        <v>653.20892928092917</v>
      </c>
      <c r="BF65" s="104">
        <v>0</v>
      </c>
      <c r="BG65" s="302">
        <f t="shared" si="35"/>
        <v>653.20892928092917</v>
      </c>
      <c r="BI65" s="300">
        <f t="shared" si="36"/>
        <v>292.43432963748961</v>
      </c>
      <c r="BJ65" s="301">
        <f t="shared" si="37"/>
        <v>360.77459964343956</v>
      </c>
      <c r="BK65" s="1080">
        <f t="shared" si="38"/>
        <v>0</v>
      </c>
      <c r="BL65" s="301">
        <f t="shared" si="39"/>
        <v>653.20892928092917</v>
      </c>
      <c r="BM65" s="104">
        <v>0</v>
      </c>
      <c r="BN65" s="302">
        <f t="shared" si="40"/>
        <v>653.20892928092917</v>
      </c>
    </row>
    <row r="66" spans="1:73">
      <c r="A66" s="127">
        <f>'Input data'!A96</f>
        <v>1996</v>
      </c>
      <c r="B66" s="866">
        <f>'Input data'!B96</f>
        <v>36.4</v>
      </c>
      <c r="C66" s="866">
        <f>'Baseline data (from input)'!B52</f>
        <v>578.73</v>
      </c>
      <c r="D66" s="777">
        <f>'Baseline data (from input)'!T52</f>
        <v>0.8</v>
      </c>
      <c r="E66" s="777">
        <f t="shared" si="45"/>
        <v>0.24001298204245269</v>
      </c>
      <c r="F66" s="777">
        <f t="shared" si="45"/>
        <v>0.30440139352934503</v>
      </c>
      <c r="G66" s="777">
        <f t="shared" si="45"/>
        <v>5.8998240613430578E-2</v>
      </c>
      <c r="H66" s="777">
        <f t="shared" si="45"/>
        <v>0</v>
      </c>
      <c r="I66" s="777">
        <f t="shared" si="45"/>
        <v>0</v>
      </c>
      <c r="J66" s="777">
        <f t="shared" si="45"/>
        <v>0</v>
      </c>
      <c r="K66" s="777">
        <f t="shared" si="45"/>
        <v>0.39658738381477154</v>
      </c>
      <c r="L66" s="874">
        <f t="shared" si="42"/>
        <v>0.99999999999999989</v>
      </c>
      <c r="N66" s="300">
        <f t="shared" si="1"/>
        <v>16852.617600000001</v>
      </c>
      <c r="O66" s="908">
        <f>Parameters!R167</f>
        <v>0.73</v>
      </c>
      <c r="P66" s="908">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906">
        <f t="shared" si="2"/>
        <v>741.10659320278216</v>
      </c>
      <c r="R66" s="906">
        <f t="shared" si="3"/>
        <v>741.10659320278216</v>
      </c>
      <c r="S66" s="286">
        <f t="shared" si="4"/>
        <v>0</v>
      </c>
      <c r="T66" s="906">
        <f t="shared" si="5"/>
        <v>9568.8333902681206</v>
      </c>
      <c r="U66" s="906">
        <f t="shared" si="6"/>
        <v>452.60723139354695</v>
      </c>
      <c r="V66" s="1072">
        <f t="shared" si="7"/>
        <v>301.73815426236462</v>
      </c>
      <c r="W66" s="1450">
        <f t="shared" si="8"/>
        <v>0.13527885904981399</v>
      </c>
      <c r="X66" s="914">
        <f>'Baseline data (from input)'!AS52*W66</f>
        <v>5972.2665054910021</v>
      </c>
      <c r="Y66" s="908">
        <f>Parameters!S167</f>
        <v>0.71500000000000008</v>
      </c>
      <c r="Z66" s="908">
        <f t="shared" si="9"/>
        <v>0.4</v>
      </c>
      <c r="AA66" s="906">
        <f t="shared" si="10"/>
        <v>854.03411028521339</v>
      </c>
      <c r="AB66" s="906">
        <f t="shared" si="11"/>
        <v>854.03411028521339</v>
      </c>
      <c r="AC66" s="286">
        <f t="shared" si="12"/>
        <v>0</v>
      </c>
      <c r="AD66" s="906">
        <f t="shared" si="13"/>
        <v>11673.066883618756</v>
      </c>
      <c r="AE66" s="906">
        <f t="shared" si="14"/>
        <v>554.70367201694671</v>
      </c>
      <c r="AF66" s="1072">
        <f t="shared" si="15"/>
        <v>369.80244801129783</v>
      </c>
      <c r="AG66" s="1450">
        <f t="shared" si="16"/>
        <v>0.13527885904981399</v>
      </c>
      <c r="AH66" s="914">
        <f>'Baseline data (from input)'!AS52*AG66</f>
        <v>5972.2665054910021</v>
      </c>
      <c r="AI66" s="908">
        <f>Parameters!S167</f>
        <v>0.71500000000000008</v>
      </c>
      <c r="AJ66" s="908">
        <f t="shared" si="17"/>
        <v>0.4</v>
      </c>
      <c r="AK66" s="906">
        <f t="shared" si="18"/>
        <v>854.03411028521339</v>
      </c>
      <c r="AL66" s="906">
        <f t="shared" si="19"/>
        <v>854.03411028521339</v>
      </c>
      <c r="AM66" s="286">
        <f t="shared" si="20"/>
        <v>0</v>
      </c>
      <c r="AN66" s="906">
        <f t="shared" si="21"/>
        <v>11673.066883618756</v>
      </c>
      <c r="AO66" s="906">
        <f t="shared" si="22"/>
        <v>554.70367201694671</v>
      </c>
      <c r="AP66" s="1072">
        <f t="shared" si="23"/>
        <v>369.80244801129783</v>
      </c>
      <c r="AR66" s="914">
        <v>0</v>
      </c>
      <c r="AS66" s="907">
        <v>1</v>
      </c>
      <c r="AT66" s="907">
        <f t="shared" si="24"/>
        <v>0.05</v>
      </c>
      <c r="AU66" s="906">
        <f t="shared" si="25"/>
        <v>0</v>
      </c>
      <c r="AV66" s="906">
        <f t="shared" si="26"/>
        <v>0</v>
      </c>
      <c r="AW66" s="198">
        <f t="shared" si="27"/>
        <v>0</v>
      </c>
      <c r="AX66" s="922">
        <f t="shared" si="44"/>
        <v>0</v>
      </c>
      <c r="AY66" s="922">
        <f t="shared" si="29"/>
        <v>0</v>
      </c>
      <c r="AZ66" s="1072">
        <f t="shared" si="30"/>
        <v>0</v>
      </c>
      <c r="BB66" s="300">
        <f t="shared" si="31"/>
        <v>301.73815426236462</v>
      </c>
      <c r="BC66" s="301">
        <f t="shared" si="32"/>
        <v>369.80244801129783</v>
      </c>
      <c r="BD66" s="1080">
        <f t="shared" si="33"/>
        <v>0</v>
      </c>
      <c r="BE66" s="301">
        <f t="shared" si="34"/>
        <v>671.54060227366244</v>
      </c>
      <c r="BF66" s="104">
        <v>0</v>
      </c>
      <c r="BG66" s="302">
        <f t="shared" si="35"/>
        <v>671.54060227366244</v>
      </c>
      <c r="BI66" s="300">
        <f t="shared" si="36"/>
        <v>301.73815426236462</v>
      </c>
      <c r="BJ66" s="301">
        <f t="shared" si="37"/>
        <v>369.80244801129783</v>
      </c>
      <c r="BK66" s="1080">
        <f t="shared" si="38"/>
        <v>0</v>
      </c>
      <c r="BL66" s="301">
        <f t="shared" si="39"/>
        <v>671.54060227366244</v>
      </c>
      <c r="BM66" s="104">
        <v>0</v>
      </c>
      <c r="BN66" s="302">
        <f t="shared" si="40"/>
        <v>671.54060227366244</v>
      </c>
    </row>
    <row r="67" spans="1:73">
      <c r="A67" s="127">
        <f>'Input data'!A97</f>
        <v>1997</v>
      </c>
      <c r="B67" s="866">
        <f>'Input data'!B97</f>
        <v>37.242660000000001</v>
      </c>
      <c r="C67" s="866">
        <f>'Baseline data (from input)'!B53</f>
        <v>578.73</v>
      </c>
      <c r="D67" s="777">
        <f>'Baseline data (from input)'!T53</f>
        <v>0.8</v>
      </c>
      <c r="E67" s="777">
        <f t="shared" si="45"/>
        <v>0.24001298204245269</v>
      </c>
      <c r="F67" s="777">
        <f t="shared" si="45"/>
        <v>0.30440139352934503</v>
      </c>
      <c r="G67" s="777">
        <f t="shared" si="45"/>
        <v>5.8998240613430578E-2</v>
      </c>
      <c r="H67" s="777">
        <f t="shared" si="45"/>
        <v>0</v>
      </c>
      <c r="I67" s="777">
        <f t="shared" si="45"/>
        <v>0</v>
      </c>
      <c r="J67" s="777">
        <f t="shared" si="45"/>
        <v>0</v>
      </c>
      <c r="K67" s="777">
        <f t="shared" si="45"/>
        <v>0.39658738381477154</v>
      </c>
      <c r="L67" s="874">
        <f t="shared" si="42"/>
        <v>0.99999999999999989</v>
      </c>
      <c r="N67" s="300">
        <f t="shared" si="1"/>
        <v>17242.755697440003</v>
      </c>
      <c r="O67" s="908">
        <f>Parameters!R168</f>
        <v>0.73</v>
      </c>
      <c r="P67" s="908">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906">
        <f t="shared" si="2"/>
        <v>758.26321083542666</v>
      </c>
      <c r="R67" s="906">
        <f t="shared" si="3"/>
        <v>758.26321083542666</v>
      </c>
      <c r="S67" s="286">
        <f t="shared" si="4"/>
        <v>0</v>
      </c>
      <c r="T67" s="906">
        <f t="shared" si="5"/>
        <v>9860.4190898033867</v>
      </c>
      <c r="U67" s="906">
        <f t="shared" si="6"/>
        <v>466.67751130016006</v>
      </c>
      <c r="V67" s="1072">
        <f t="shared" si="7"/>
        <v>311.11834086677339</v>
      </c>
      <c r="W67" s="1450">
        <f t="shared" si="8"/>
        <v>0.13527885904981399</v>
      </c>
      <c r="X67" s="914">
        <f>'Baseline data (from input)'!AS53*W67</f>
        <v>6127.5455610069275</v>
      </c>
      <c r="Y67" s="908">
        <f>Parameters!S168</f>
        <v>0.71500000000000008</v>
      </c>
      <c r="Z67" s="908">
        <f t="shared" si="9"/>
        <v>0.4</v>
      </c>
      <c r="AA67" s="906">
        <f t="shared" si="10"/>
        <v>876.23901522399069</v>
      </c>
      <c r="AB67" s="906">
        <f t="shared" si="11"/>
        <v>876.23901522399069</v>
      </c>
      <c r="AC67" s="286">
        <f t="shared" si="12"/>
        <v>0</v>
      </c>
      <c r="AD67" s="906">
        <f t="shared" si="13"/>
        <v>11980.003709087005</v>
      </c>
      <c r="AE67" s="906">
        <f t="shared" si="14"/>
        <v>569.30218975574348</v>
      </c>
      <c r="AF67" s="1072">
        <f t="shared" si="15"/>
        <v>379.53479317049567</v>
      </c>
      <c r="AG67" s="1450">
        <f t="shared" si="16"/>
        <v>0.13527885904981399</v>
      </c>
      <c r="AH67" s="914">
        <f>'Baseline data (from input)'!AS53*AG67</f>
        <v>6127.5455610069275</v>
      </c>
      <c r="AI67" s="908">
        <f>Parameters!S168</f>
        <v>0.71500000000000008</v>
      </c>
      <c r="AJ67" s="908">
        <f t="shared" si="17"/>
        <v>0.4</v>
      </c>
      <c r="AK67" s="906">
        <f t="shared" si="18"/>
        <v>876.23901522399069</v>
      </c>
      <c r="AL67" s="906">
        <f t="shared" si="19"/>
        <v>876.23901522399069</v>
      </c>
      <c r="AM67" s="286">
        <f t="shared" si="20"/>
        <v>0</v>
      </c>
      <c r="AN67" s="906">
        <f t="shared" si="21"/>
        <v>11980.003709087005</v>
      </c>
      <c r="AO67" s="906">
        <f t="shared" si="22"/>
        <v>569.30218975574348</v>
      </c>
      <c r="AP67" s="1072">
        <f t="shared" si="23"/>
        <v>379.53479317049567</v>
      </c>
      <c r="AR67" s="914">
        <v>0</v>
      </c>
      <c r="AS67" s="907">
        <v>1</v>
      </c>
      <c r="AT67" s="907">
        <f t="shared" si="24"/>
        <v>0.05</v>
      </c>
      <c r="AU67" s="906">
        <f t="shared" si="25"/>
        <v>0</v>
      </c>
      <c r="AV67" s="906">
        <f t="shared" si="26"/>
        <v>0</v>
      </c>
      <c r="AW67" s="198">
        <f t="shared" si="27"/>
        <v>0</v>
      </c>
      <c r="AX67" s="922">
        <f t="shared" si="44"/>
        <v>0</v>
      </c>
      <c r="AY67" s="922">
        <f t="shared" si="29"/>
        <v>0</v>
      </c>
      <c r="AZ67" s="1072">
        <f t="shared" si="30"/>
        <v>0</v>
      </c>
      <c r="BB67" s="300">
        <f t="shared" si="31"/>
        <v>311.11834086677339</v>
      </c>
      <c r="BC67" s="301">
        <f t="shared" si="32"/>
        <v>379.53479317049567</v>
      </c>
      <c r="BD67" s="1080">
        <f t="shared" si="33"/>
        <v>0</v>
      </c>
      <c r="BE67" s="301">
        <f t="shared" si="34"/>
        <v>690.65313403726907</v>
      </c>
      <c r="BF67" s="104">
        <v>0</v>
      </c>
      <c r="BG67" s="302">
        <f t="shared" si="35"/>
        <v>690.65313403726907</v>
      </c>
      <c r="BI67" s="300">
        <f t="shared" si="36"/>
        <v>311.11834086677339</v>
      </c>
      <c r="BJ67" s="301">
        <f t="shared" si="37"/>
        <v>379.53479317049567</v>
      </c>
      <c r="BK67" s="1080">
        <f t="shared" si="38"/>
        <v>0</v>
      </c>
      <c r="BL67" s="301">
        <f t="shared" si="39"/>
        <v>690.65313403726907</v>
      </c>
      <c r="BM67" s="104">
        <v>0</v>
      </c>
      <c r="BN67" s="302">
        <f t="shared" si="40"/>
        <v>690.65313403726907</v>
      </c>
    </row>
    <row r="68" spans="1:73">
      <c r="A68" s="127">
        <f>'Input data'!A98</f>
        <v>1998</v>
      </c>
      <c r="B68" s="866">
        <f>'Input data'!B98</f>
        <v>38.128999999999998</v>
      </c>
      <c r="C68" s="866">
        <f>'Baseline data (from input)'!B54</f>
        <v>578.73</v>
      </c>
      <c r="D68" s="777">
        <f>'Baseline data (from input)'!T54</f>
        <v>0.8</v>
      </c>
      <c r="E68" s="777">
        <f t="shared" si="45"/>
        <v>0.24001298204245269</v>
      </c>
      <c r="F68" s="777">
        <f t="shared" si="45"/>
        <v>0.30440139352934503</v>
      </c>
      <c r="G68" s="777">
        <f t="shared" si="45"/>
        <v>5.8998240613430578E-2</v>
      </c>
      <c r="H68" s="777">
        <f t="shared" si="45"/>
        <v>0</v>
      </c>
      <c r="I68" s="777">
        <f t="shared" si="45"/>
        <v>0</v>
      </c>
      <c r="J68" s="777">
        <f t="shared" si="45"/>
        <v>0</v>
      </c>
      <c r="K68" s="777">
        <f t="shared" si="45"/>
        <v>0.39658738381477154</v>
      </c>
      <c r="L68" s="874">
        <f t="shared" si="42"/>
        <v>0.99999999999999989</v>
      </c>
      <c r="N68" s="300">
        <f t="shared" si="1"/>
        <v>17653.116936000002</v>
      </c>
      <c r="O68" s="908">
        <f>Parameters!R169</f>
        <v>0.73</v>
      </c>
      <c r="P68" s="908">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906">
        <f t="shared" si="2"/>
        <v>776.30915637991438</v>
      </c>
      <c r="R68" s="906">
        <f t="shared" si="3"/>
        <v>776.30915637991438</v>
      </c>
      <c r="S68" s="286">
        <f t="shared" si="4"/>
        <v>0</v>
      </c>
      <c r="T68" s="906">
        <f t="shared" si="5"/>
        <v>10155.829932509445</v>
      </c>
      <c r="U68" s="906">
        <f t="shared" si="6"/>
        <v>480.89831367385688</v>
      </c>
      <c r="V68" s="1072">
        <f t="shared" si="7"/>
        <v>320.59887578257127</v>
      </c>
      <c r="W68" s="1450">
        <f t="shared" si="8"/>
        <v>0.13527885904981399</v>
      </c>
      <c r="X68" s="914">
        <f>'Baseline data (from input)'!AS54*W68</f>
        <v>6158.1833442662501</v>
      </c>
      <c r="Y68" s="908">
        <f>Parameters!S169</f>
        <v>0.71500000000000008</v>
      </c>
      <c r="Z68" s="908">
        <f t="shared" si="9"/>
        <v>0.4</v>
      </c>
      <c r="AA68" s="906">
        <f t="shared" si="10"/>
        <v>880.62021823007387</v>
      </c>
      <c r="AB68" s="906">
        <f t="shared" si="11"/>
        <v>880.62021823007387</v>
      </c>
      <c r="AC68" s="286">
        <f t="shared" si="12"/>
        <v>0</v>
      </c>
      <c r="AD68" s="906">
        <f t="shared" si="13"/>
        <v>12276.352251941324</v>
      </c>
      <c r="AE68" s="906">
        <f t="shared" si="14"/>
        <v>584.27167537575383</v>
      </c>
      <c r="AF68" s="1072">
        <f t="shared" si="15"/>
        <v>389.51445025050253</v>
      </c>
      <c r="AG68" s="1450">
        <f t="shared" si="16"/>
        <v>0.13527885904981399</v>
      </c>
      <c r="AH68" s="914">
        <f>'Baseline data (from input)'!AS54*AG68</f>
        <v>6158.1833442662501</v>
      </c>
      <c r="AI68" s="908">
        <f>Parameters!S169</f>
        <v>0.71500000000000008</v>
      </c>
      <c r="AJ68" s="908">
        <f t="shared" si="17"/>
        <v>0.4</v>
      </c>
      <c r="AK68" s="906">
        <f t="shared" si="18"/>
        <v>880.62021823007387</v>
      </c>
      <c r="AL68" s="906">
        <f t="shared" si="19"/>
        <v>880.62021823007387</v>
      </c>
      <c r="AM68" s="286">
        <f t="shared" si="20"/>
        <v>0</v>
      </c>
      <c r="AN68" s="906">
        <f t="shared" si="21"/>
        <v>12276.352251941324</v>
      </c>
      <c r="AO68" s="906">
        <f t="shared" si="22"/>
        <v>584.27167537575383</v>
      </c>
      <c r="AP68" s="1072">
        <f t="shared" si="23"/>
        <v>389.51445025050253</v>
      </c>
      <c r="AR68" s="914">
        <v>0</v>
      </c>
      <c r="AS68" s="907">
        <v>1</v>
      </c>
      <c r="AT68" s="907">
        <f t="shared" si="24"/>
        <v>0.05</v>
      </c>
      <c r="AU68" s="906">
        <f t="shared" si="25"/>
        <v>0</v>
      </c>
      <c r="AV68" s="906">
        <f t="shared" si="26"/>
        <v>0</v>
      </c>
      <c r="AW68" s="198">
        <f t="shared" si="27"/>
        <v>0</v>
      </c>
      <c r="AX68" s="922">
        <f t="shared" si="44"/>
        <v>0</v>
      </c>
      <c r="AY68" s="922">
        <f t="shared" si="29"/>
        <v>0</v>
      </c>
      <c r="AZ68" s="1072">
        <f t="shared" si="30"/>
        <v>0</v>
      </c>
      <c r="BB68" s="300">
        <f t="shared" si="31"/>
        <v>320.59887578257127</v>
      </c>
      <c r="BC68" s="301">
        <f t="shared" si="32"/>
        <v>389.51445025050253</v>
      </c>
      <c r="BD68" s="1080">
        <f t="shared" si="33"/>
        <v>0</v>
      </c>
      <c r="BE68" s="301">
        <f t="shared" si="34"/>
        <v>710.1133260330738</v>
      </c>
      <c r="BF68" s="104">
        <v>0</v>
      </c>
      <c r="BG68" s="302">
        <f t="shared" si="35"/>
        <v>710.1133260330738</v>
      </c>
      <c r="BI68" s="300">
        <f t="shared" si="36"/>
        <v>320.59887578257127</v>
      </c>
      <c r="BJ68" s="301">
        <f t="shared" si="37"/>
        <v>389.51445025050253</v>
      </c>
      <c r="BK68" s="1080">
        <f t="shared" si="38"/>
        <v>0</v>
      </c>
      <c r="BL68" s="301">
        <f t="shared" si="39"/>
        <v>710.1133260330738</v>
      </c>
      <c r="BM68" s="104">
        <v>0</v>
      </c>
      <c r="BN68" s="302">
        <f t="shared" si="40"/>
        <v>710.1133260330738</v>
      </c>
    </row>
    <row r="69" spans="1:73" ht="15.75" thickBot="1">
      <c r="A69" s="127">
        <f>'Input data'!A99</f>
        <v>1999</v>
      </c>
      <c r="B69" s="866">
        <f>'Input data'!B99</f>
        <v>39.059930000000001</v>
      </c>
      <c r="C69" s="866">
        <f>'Baseline data (from input)'!B55</f>
        <v>578.73</v>
      </c>
      <c r="D69" s="777">
        <f>'Baseline data (from input)'!T55</f>
        <v>0.8</v>
      </c>
      <c r="E69" s="777">
        <f t="shared" si="45"/>
        <v>0.24001298204245269</v>
      </c>
      <c r="F69" s="777">
        <f t="shared" si="45"/>
        <v>0.30440139352934503</v>
      </c>
      <c r="G69" s="777">
        <f t="shared" si="45"/>
        <v>5.8998240613430578E-2</v>
      </c>
      <c r="H69" s="777">
        <f t="shared" si="45"/>
        <v>0</v>
      </c>
      <c r="I69" s="777">
        <f t="shared" si="45"/>
        <v>0</v>
      </c>
      <c r="J69" s="777">
        <f t="shared" si="45"/>
        <v>0</v>
      </c>
      <c r="K69" s="777">
        <f t="shared" si="45"/>
        <v>0.39658738381477154</v>
      </c>
      <c r="L69" s="874">
        <f t="shared" si="42"/>
        <v>0.99999999999999989</v>
      </c>
      <c r="N69" s="916">
        <f t="shared" si="1"/>
        <v>18084.122631120001</v>
      </c>
      <c r="O69" s="917">
        <f>Parameters!R170</f>
        <v>0.73</v>
      </c>
      <c r="P69" s="917">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918">
        <f t="shared" si="2"/>
        <v>795.26295750107545</v>
      </c>
      <c r="R69" s="918">
        <f t="shared" si="3"/>
        <v>795.26295750107545</v>
      </c>
      <c r="S69" s="919">
        <f t="shared" si="4"/>
        <v>0</v>
      </c>
      <c r="T69" s="918">
        <f t="shared" si="5"/>
        <v>10455.78721952916</v>
      </c>
      <c r="U69" s="918">
        <f t="shared" si="6"/>
        <v>495.30567048136038</v>
      </c>
      <c r="V69" s="1077">
        <f t="shared" si="7"/>
        <v>330.2037803209069</v>
      </c>
      <c r="W69" s="1450">
        <f t="shared" si="8"/>
        <v>0.13527885904981399</v>
      </c>
      <c r="X69" s="914">
        <f>'Baseline data (from input)'!AS55*W69</f>
        <v>6305.9795132888557</v>
      </c>
      <c r="Y69" s="917">
        <f>Parameters!S170</f>
        <v>0.71500000000000008</v>
      </c>
      <c r="Z69" s="917">
        <f t="shared" si="9"/>
        <v>0.4</v>
      </c>
      <c r="AA69" s="918">
        <f t="shared" si="10"/>
        <v>901.75507040030652</v>
      </c>
      <c r="AB69" s="918">
        <f t="shared" si="11"/>
        <v>901.75507040030652</v>
      </c>
      <c r="AC69" s="919">
        <f t="shared" si="12"/>
        <v>0</v>
      </c>
      <c r="AD69" s="918">
        <f t="shared" si="13"/>
        <v>12579.382557982495</v>
      </c>
      <c r="AE69" s="918">
        <f t="shared" si="14"/>
        <v>598.72476435913381</v>
      </c>
      <c r="AF69" s="1077">
        <f t="shared" si="15"/>
        <v>399.14984290608919</v>
      </c>
      <c r="AG69" s="1450">
        <f t="shared" si="16"/>
        <v>0.13527885904981399</v>
      </c>
      <c r="AH69" s="914">
        <f>'Baseline data (from input)'!AS55*AG69</f>
        <v>6305.9795132888557</v>
      </c>
      <c r="AI69" s="917">
        <f>Parameters!S170</f>
        <v>0.71500000000000008</v>
      </c>
      <c r="AJ69" s="917">
        <f t="shared" si="17"/>
        <v>0.4</v>
      </c>
      <c r="AK69" s="918">
        <f t="shared" si="18"/>
        <v>901.75507040030652</v>
      </c>
      <c r="AL69" s="918">
        <f t="shared" si="19"/>
        <v>901.75507040030652</v>
      </c>
      <c r="AM69" s="919">
        <f t="shared" si="20"/>
        <v>0</v>
      </c>
      <c r="AN69" s="918">
        <f t="shared" si="21"/>
        <v>12579.382557982495</v>
      </c>
      <c r="AO69" s="918">
        <f t="shared" si="22"/>
        <v>598.72476435913381</v>
      </c>
      <c r="AP69" s="1077">
        <f t="shared" si="23"/>
        <v>399.14984290608919</v>
      </c>
      <c r="AR69" s="914">
        <v>0</v>
      </c>
      <c r="AS69" s="907">
        <v>1</v>
      </c>
      <c r="AT69" s="907">
        <f t="shared" si="24"/>
        <v>0.05</v>
      </c>
      <c r="AU69" s="906">
        <f t="shared" si="25"/>
        <v>0</v>
      </c>
      <c r="AV69" s="906">
        <f t="shared" si="26"/>
        <v>0</v>
      </c>
      <c r="AW69" s="198">
        <f t="shared" si="27"/>
        <v>0</v>
      </c>
      <c r="AX69" s="922">
        <f t="shared" si="44"/>
        <v>0</v>
      </c>
      <c r="AY69" s="922">
        <f t="shared" si="29"/>
        <v>0</v>
      </c>
      <c r="AZ69" s="1072">
        <f t="shared" si="30"/>
        <v>0</v>
      </c>
      <c r="BB69" s="300">
        <f t="shared" si="31"/>
        <v>330.2037803209069</v>
      </c>
      <c r="BC69" s="301">
        <f t="shared" si="32"/>
        <v>399.14984290608919</v>
      </c>
      <c r="BD69" s="1080">
        <f t="shared" si="33"/>
        <v>0</v>
      </c>
      <c r="BE69" s="301">
        <f t="shared" si="34"/>
        <v>729.35362322699609</v>
      </c>
      <c r="BF69" s="104">
        <v>0</v>
      </c>
      <c r="BG69" s="302">
        <f t="shared" si="35"/>
        <v>729.35362322699609</v>
      </c>
      <c r="BI69" s="300">
        <f t="shared" si="36"/>
        <v>330.2037803209069</v>
      </c>
      <c r="BJ69" s="301">
        <f t="shared" si="37"/>
        <v>399.14984290608919</v>
      </c>
      <c r="BK69" s="1080">
        <f t="shared" si="38"/>
        <v>0</v>
      </c>
      <c r="BL69" s="301">
        <f t="shared" si="39"/>
        <v>729.35362322699609</v>
      </c>
      <c r="BM69" s="104">
        <v>0</v>
      </c>
      <c r="BN69" s="302">
        <f t="shared" si="40"/>
        <v>729.35362322699609</v>
      </c>
    </row>
    <row r="70" spans="1:73">
      <c r="A70" s="880">
        <f>'Input data'!A100</f>
        <v>2000</v>
      </c>
      <c r="B70" s="881">
        <f>'Input data'!B100</f>
        <v>44</v>
      </c>
      <c r="C70" s="881">
        <f>'Baseline data (from input)'!B56</f>
        <v>578.73</v>
      </c>
      <c r="D70" s="882">
        <f>'Baseline data (from input)'!T56</f>
        <v>0.8</v>
      </c>
      <c r="E70" s="882">
        <f t="shared" ref="E70:K85" si="46">E69</f>
        <v>0.24001298204245269</v>
      </c>
      <c r="F70" s="882">
        <f t="shared" si="46"/>
        <v>0.30440139352934503</v>
      </c>
      <c r="G70" s="882">
        <f t="shared" si="46"/>
        <v>5.8998240613430578E-2</v>
      </c>
      <c r="H70" s="882">
        <f t="shared" si="46"/>
        <v>0</v>
      </c>
      <c r="I70" s="882">
        <f t="shared" si="46"/>
        <v>0</v>
      </c>
      <c r="J70" s="882">
        <f t="shared" si="46"/>
        <v>0</v>
      </c>
      <c r="K70" s="882">
        <f t="shared" si="46"/>
        <v>0.39658738381477154</v>
      </c>
      <c r="L70" s="883">
        <f t="shared" si="42"/>
        <v>0.99999999999999989</v>
      </c>
      <c r="N70" s="891">
        <f t="shared" si="1"/>
        <v>20371.296000000002</v>
      </c>
      <c r="O70" s="885">
        <f>Parameters!R171</f>
        <v>0.73</v>
      </c>
      <c r="P70" s="885">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884">
        <f t="shared" si="2"/>
        <v>895.84313464072579</v>
      </c>
      <c r="R70" s="884">
        <f t="shared" si="3"/>
        <v>895.84313464072579</v>
      </c>
      <c r="S70" s="886">
        <f t="shared" si="4"/>
        <v>0</v>
      </c>
      <c r="T70" s="884">
        <f t="shared" si="5"/>
        <v>10841.695594175369</v>
      </c>
      <c r="U70" s="884">
        <f t="shared" si="6"/>
        <v>509.93475999451641</v>
      </c>
      <c r="V70" s="897">
        <f t="shared" si="7"/>
        <v>339.95650666301094</v>
      </c>
      <c r="W70" s="1450">
        <f t="shared" si="8"/>
        <v>0.13527885904981399</v>
      </c>
      <c r="X70" s="887">
        <f>'Baseline data (from input)'!AS56*W70</f>
        <v>6570.8308720428358</v>
      </c>
      <c r="Y70" s="888">
        <f>Parameters!S171</f>
        <v>0.71500000000000008</v>
      </c>
      <c r="Z70" s="888">
        <f t="shared" si="9"/>
        <v>0.4</v>
      </c>
      <c r="AA70" s="889">
        <f t="shared" si="10"/>
        <v>939.62881470212574</v>
      </c>
      <c r="AB70" s="889">
        <f t="shared" si="11"/>
        <v>939.62881470212574</v>
      </c>
      <c r="AC70" s="890">
        <f t="shared" si="12"/>
        <v>0</v>
      </c>
      <c r="AD70" s="889">
        <f t="shared" si="13"/>
        <v>12905.507645906135</v>
      </c>
      <c r="AE70" s="889">
        <f t="shared" si="14"/>
        <v>613.50372677848657</v>
      </c>
      <c r="AF70" s="896">
        <f t="shared" si="15"/>
        <v>409.00248451899103</v>
      </c>
      <c r="AG70" s="1450">
        <f t="shared" si="16"/>
        <v>0.13527885904981399</v>
      </c>
      <c r="AH70" s="887">
        <f>'Baseline data (from input)'!AS56*AG70</f>
        <v>6570.8308720428358</v>
      </c>
      <c r="AI70" s="888">
        <f>Parameters!S171</f>
        <v>0.71500000000000008</v>
      </c>
      <c r="AJ70" s="888">
        <f t="shared" si="17"/>
        <v>0.4</v>
      </c>
      <c r="AK70" s="889">
        <f t="shared" si="18"/>
        <v>939.62881470212574</v>
      </c>
      <c r="AL70" s="889">
        <f t="shared" si="19"/>
        <v>939.62881470212574</v>
      </c>
      <c r="AM70" s="890">
        <f t="shared" si="20"/>
        <v>0</v>
      </c>
      <c r="AN70" s="889">
        <f t="shared" si="21"/>
        <v>12905.507645906135</v>
      </c>
      <c r="AO70" s="889">
        <f t="shared" si="22"/>
        <v>613.50372677848657</v>
      </c>
      <c r="AP70" s="896">
        <f t="shared" si="23"/>
        <v>409.00248451899103</v>
      </c>
      <c r="AR70" s="1599">
        <v>501</v>
      </c>
      <c r="AS70" s="888">
        <v>1</v>
      </c>
      <c r="AT70" s="888">
        <f t="shared" si="24"/>
        <v>0.05</v>
      </c>
      <c r="AU70" s="889">
        <f t="shared" si="25"/>
        <v>12.525</v>
      </c>
      <c r="AV70" s="889">
        <f t="shared" si="26"/>
        <v>12.525</v>
      </c>
      <c r="AW70" s="890">
        <f t="shared" si="27"/>
        <v>0</v>
      </c>
      <c r="AX70" s="889">
        <f t="shared" si="44"/>
        <v>12.525</v>
      </c>
      <c r="AY70" s="889">
        <f>AW70+AX69*(1-$E$8)</f>
        <v>0</v>
      </c>
      <c r="AZ70" s="1600">
        <f>AY70*16/12*$E$11</f>
        <v>0</v>
      </c>
      <c r="BB70" s="1601">
        <f t="shared" si="31"/>
        <v>339.95650666301094</v>
      </c>
      <c r="BC70" s="1602">
        <f t="shared" si="32"/>
        <v>409.00248451899103</v>
      </c>
      <c r="BD70" s="1603">
        <f>AZ70</f>
        <v>0</v>
      </c>
      <c r="BE70" s="1602">
        <f t="shared" si="34"/>
        <v>748.95899118200191</v>
      </c>
      <c r="BF70" s="495">
        <v>0</v>
      </c>
      <c r="BG70" s="1604">
        <f t="shared" si="35"/>
        <v>748.95899118200191</v>
      </c>
      <c r="BI70" s="1601">
        <f t="shared" si="36"/>
        <v>339.95650666301094</v>
      </c>
      <c r="BJ70" s="1602">
        <f t="shared" si="37"/>
        <v>409.00248451899103</v>
      </c>
      <c r="BK70" s="1603">
        <f t="shared" si="38"/>
        <v>0</v>
      </c>
      <c r="BL70" s="1602">
        <f t="shared" si="39"/>
        <v>748.95899118200191</v>
      </c>
      <c r="BM70" s="495">
        <v>0</v>
      </c>
      <c r="BN70" s="1604">
        <f t="shared" si="40"/>
        <v>748.95899118200191</v>
      </c>
      <c r="BU70" s="314"/>
    </row>
    <row r="71" spans="1:73">
      <c r="A71" s="819">
        <f>'Input data'!A101</f>
        <v>2001</v>
      </c>
      <c r="B71" s="867">
        <f>'Input data'!B101</f>
        <v>44.91</v>
      </c>
      <c r="C71" s="867">
        <f>'Baseline data (from input)'!B57</f>
        <v>578.73</v>
      </c>
      <c r="D71" s="868">
        <f>'Baseline data (from input)'!T57</f>
        <v>0.8</v>
      </c>
      <c r="E71" s="868">
        <f t="shared" si="46"/>
        <v>0.24001298204245269</v>
      </c>
      <c r="F71" s="868">
        <f t="shared" si="46"/>
        <v>0.30440139352934503</v>
      </c>
      <c r="G71" s="868">
        <f t="shared" si="46"/>
        <v>5.8998240613430578E-2</v>
      </c>
      <c r="H71" s="868">
        <f t="shared" si="46"/>
        <v>0</v>
      </c>
      <c r="I71" s="868">
        <f t="shared" si="46"/>
        <v>0</v>
      </c>
      <c r="J71" s="868">
        <f t="shared" si="46"/>
        <v>0</v>
      </c>
      <c r="K71" s="868">
        <f t="shared" si="46"/>
        <v>0.39658738381477154</v>
      </c>
      <c r="L71" s="875">
        <f t="shared" si="42"/>
        <v>0.99999999999999989</v>
      </c>
      <c r="N71" s="891">
        <f t="shared" si="1"/>
        <v>20792.611440000001</v>
      </c>
      <c r="O71" s="885">
        <f>Parameters!R172</f>
        <v>0.73</v>
      </c>
      <c r="P71" s="885">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884">
        <f t="shared" si="2"/>
        <v>914.37079947079519</v>
      </c>
      <c r="R71" s="884">
        <f t="shared" si="3"/>
        <v>914.37079947079519</v>
      </c>
      <c r="S71" s="886">
        <f t="shared" si="4"/>
        <v>0</v>
      </c>
      <c r="T71" s="884">
        <f t="shared" si="5"/>
        <v>11227.310660130159</v>
      </c>
      <c r="U71" s="884">
        <f t="shared" si="6"/>
        <v>528.7557335160061</v>
      </c>
      <c r="V71" s="897">
        <f t="shared" si="7"/>
        <v>352.50382234400405</v>
      </c>
      <c r="W71" s="1450">
        <f t="shared" si="8"/>
        <v>0.13527885904981399</v>
      </c>
      <c r="X71" s="891">
        <f>'Baseline data (from input)'!AS57*W71</f>
        <v>6748.2429485947514</v>
      </c>
      <c r="Y71" s="885">
        <f>Parameters!S172</f>
        <v>0.71500000000000008</v>
      </c>
      <c r="Z71" s="885">
        <f t="shared" si="9"/>
        <v>0.4</v>
      </c>
      <c r="AA71" s="884">
        <f t="shared" si="10"/>
        <v>964.99874164904963</v>
      </c>
      <c r="AB71" s="884">
        <f t="shared" si="11"/>
        <v>964.99874164904963</v>
      </c>
      <c r="AC71" s="886">
        <f t="shared" si="12"/>
        <v>0</v>
      </c>
      <c r="AD71" s="884">
        <f t="shared" si="13"/>
        <v>13241.097352553907</v>
      </c>
      <c r="AE71" s="884">
        <f t="shared" si="14"/>
        <v>629.40903500127763</v>
      </c>
      <c r="AF71" s="897">
        <f t="shared" si="15"/>
        <v>419.60602333418507</v>
      </c>
      <c r="AG71" s="1450">
        <f>$D$12</f>
        <v>0.13527885904981399</v>
      </c>
      <c r="AH71" s="891">
        <f>'Baseline data (from input)'!AS57*AG71</f>
        <v>6748.2429485947514</v>
      </c>
      <c r="AI71" s="885">
        <f>Parameters!S172</f>
        <v>0.71500000000000008</v>
      </c>
      <c r="AJ71" s="885">
        <f t="shared" si="17"/>
        <v>0.4</v>
      </c>
      <c r="AK71" s="884">
        <f t="shared" si="18"/>
        <v>964.99874164904963</v>
      </c>
      <c r="AL71" s="884">
        <f t="shared" si="19"/>
        <v>964.99874164904963</v>
      </c>
      <c r="AM71" s="886">
        <f t="shared" si="20"/>
        <v>0</v>
      </c>
      <c r="AN71" s="884">
        <f t="shared" si="21"/>
        <v>13241.097352553907</v>
      </c>
      <c r="AO71" s="884">
        <f t="shared" si="22"/>
        <v>629.40903500127763</v>
      </c>
      <c r="AP71" s="897">
        <f t="shared" si="23"/>
        <v>419.60602333418507</v>
      </c>
      <c r="AR71" s="899">
        <v>501</v>
      </c>
      <c r="AS71" s="885">
        <v>1</v>
      </c>
      <c r="AT71" s="885">
        <f t="shared" si="24"/>
        <v>0.05</v>
      </c>
      <c r="AU71" s="884">
        <f t="shared" si="25"/>
        <v>12.525</v>
      </c>
      <c r="AV71" s="884">
        <f t="shared" si="26"/>
        <v>12.525</v>
      </c>
      <c r="AW71" s="886">
        <f t="shared" si="27"/>
        <v>0</v>
      </c>
      <c r="AX71" s="884">
        <f t="shared" si="44"/>
        <v>24.320600783142716</v>
      </c>
      <c r="AY71" s="884">
        <f>AW71+AX70*(1-$E$8)</f>
        <v>0.72939921685728482</v>
      </c>
      <c r="AZ71" s="900">
        <f t="shared" ref="AZ71:AZ120" si="47">AY71*16/12*$E$11</f>
        <v>0.48626614457152323</v>
      </c>
      <c r="BB71" s="1605">
        <f t="shared" si="31"/>
        <v>352.50382234400405</v>
      </c>
      <c r="BC71" s="1606">
        <f t="shared" si="32"/>
        <v>419.60602333418507</v>
      </c>
      <c r="BD71" s="1607">
        <f t="shared" ref="BD71:BD87" si="48">AZ71</f>
        <v>0.48626614457152323</v>
      </c>
      <c r="BE71" s="1606">
        <f t="shared" si="34"/>
        <v>772.59611182276069</v>
      </c>
      <c r="BF71" s="1608">
        <v>0</v>
      </c>
      <c r="BG71" s="1609">
        <f t="shared" si="35"/>
        <v>772.59611182276069</v>
      </c>
      <c r="BI71" s="1605">
        <f t="shared" si="36"/>
        <v>352.50382234400405</v>
      </c>
      <c r="BJ71" s="1606">
        <f t="shared" si="37"/>
        <v>419.60602333418507</v>
      </c>
      <c r="BK71" s="1607">
        <f t="shared" si="38"/>
        <v>0.48626614457152323</v>
      </c>
      <c r="BL71" s="1606">
        <f t="shared" si="39"/>
        <v>772.59611182276069</v>
      </c>
      <c r="BM71" s="1608">
        <v>0</v>
      </c>
      <c r="BN71" s="1609">
        <f t="shared" si="40"/>
        <v>772.59611182276069</v>
      </c>
      <c r="BU71" s="314"/>
    </row>
    <row r="72" spans="1:73">
      <c r="A72" s="819">
        <f>'Input data'!A102</f>
        <v>2002</v>
      </c>
      <c r="B72" s="867">
        <f>'Input data'!B102</f>
        <v>45.533000000000001</v>
      </c>
      <c r="C72" s="867">
        <f>'Baseline data (from input)'!B58</f>
        <v>578.73</v>
      </c>
      <c r="D72" s="868">
        <f>'Baseline data (from input)'!T58</f>
        <v>0.8</v>
      </c>
      <c r="E72" s="868">
        <f t="shared" si="46"/>
        <v>0.24001298204245269</v>
      </c>
      <c r="F72" s="868">
        <f t="shared" si="46"/>
        <v>0.30440139352934503</v>
      </c>
      <c r="G72" s="868">
        <f t="shared" si="46"/>
        <v>5.8998240613430578E-2</v>
      </c>
      <c r="H72" s="868">
        <f t="shared" si="46"/>
        <v>0</v>
      </c>
      <c r="I72" s="868">
        <f t="shared" si="46"/>
        <v>0</v>
      </c>
      <c r="J72" s="868">
        <f t="shared" si="46"/>
        <v>0</v>
      </c>
      <c r="K72" s="868">
        <f t="shared" si="46"/>
        <v>0.39658738381477154</v>
      </c>
      <c r="L72" s="875">
        <f t="shared" si="42"/>
        <v>0.99999999999999989</v>
      </c>
      <c r="N72" s="891">
        <f t="shared" si="1"/>
        <v>21081.050472000003</v>
      </c>
      <c r="O72" s="885">
        <f>Parameters!R173</f>
        <v>0.73</v>
      </c>
      <c r="P72" s="885">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884">
        <f t="shared" si="2"/>
        <v>927.05512385445832</v>
      </c>
      <c r="R72" s="884">
        <f t="shared" si="3"/>
        <v>927.05512385445832</v>
      </c>
      <c r="S72" s="886">
        <f t="shared" si="4"/>
        <v>0</v>
      </c>
      <c r="T72" s="884">
        <f t="shared" si="5"/>
        <v>11606.803381780801</v>
      </c>
      <c r="U72" s="884">
        <f t="shared" si="6"/>
        <v>547.5624022038163</v>
      </c>
      <c r="V72" s="897">
        <f t="shared" si="7"/>
        <v>365.04160146921089</v>
      </c>
      <c r="W72" s="1450">
        <f t="shared" si="8"/>
        <v>0.13527885904981399</v>
      </c>
      <c r="X72" s="891">
        <f>'Baseline data (from input)'!AS58*W72</f>
        <v>6997.9537397346357</v>
      </c>
      <c r="Y72" s="885">
        <f>Parameters!S173</f>
        <v>0.71500000000000008</v>
      </c>
      <c r="Z72" s="885">
        <f t="shared" si="9"/>
        <v>0.4</v>
      </c>
      <c r="AA72" s="884">
        <f t="shared" si="10"/>
        <v>1000.7073847820531</v>
      </c>
      <c r="AB72" s="884">
        <f t="shared" si="11"/>
        <v>1000.7073847820531</v>
      </c>
      <c r="AC72" s="886">
        <f t="shared" si="12"/>
        <v>0</v>
      </c>
      <c r="AD72" s="884">
        <f t="shared" si="13"/>
        <v>13596.028799209835</v>
      </c>
      <c r="AE72" s="884">
        <f t="shared" si="14"/>
        <v>645.77593812612611</v>
      </c>
      <c r="AF72" s="897">
        <f t="shared" si="15"/>
        <v>430.51729208408409</v>
      </c>
      <c r="AG72" s="1450">
        <f t="shared" si="16"/>
        <v>0.13527885904981399</v>
      </c>
      <c r="AH72" s="891">
        <f>'Baseline data (from input)'!AS58*AG72</f>
        <v>6997.9537397346357</v>
      </c>
      <c r="AI72" s="885">
        <f>Parameters!S173</f>
        <v>0.71500000000000008</v>
      </c>
      <c r="AJ72" s="885">
        <f t="shared" si="17"/>
        <v>0.4</v>
      </c>
      <c r="AK72" s="884">
        <f t="shared" si="18"/>
        <v>1000.7073847820531</v>
      </c>
      <c r="AL72" s="884">
        <f t="shared" si="19"/>
        <v>1000.7073847820531</v>
      </c>
      <c r="AM72" s="886">
        <f t="shared" si="20"/>
        <v>0</v>
      </c>
      <c r="AN72" s="884">
        <f t="shared" si="21"/>
        <v>13596.028799209835</v>
      </c>
      <c r="AO72" s="884">
        <f t="shared" si="22"/>
        <v>645.77593812612611</v>
      </c>
      <c r="AP72" s="897">
        <f t="shared" si="23"/>
        <v>430.51729208408409</v>
      </c>
      <c r="AR72" s="899">
        <v>501</v>
      </c>
      <c r="AS72" s="885">
        <v>1</v>
      </c>
      <c r="AT72" s="885">
        <f t="shared" si="24"/>
        <v>0.05</v>
      </c>
      <c r="AU72" s="884">
        <f t="shared" si="25"/>
        <v>12.525</v>
      </c>
      <c r="AV72" s="884">
        <f t="shared" si="26"/>
        <v>12.525</v>
      </c>
      <c r="AW72" s="886">
        <f t="shared" si="27"/>
        <v>0</v>
      </c>
      <c r="AX72" s="884">
        <f t="shared" si="44"/>
        <v>35.429279253025115</v>
      </c>
      <c r="AY72" s="884">
        <f t="shared" ref="AY72:AY120" si="49">AW72+AX71*(1-$E$8)</f>
        <v>1.416321530117602</v>
      </c>
      <c r="AZ72" s="900">
        <f t="shared" si="47"/>
        <v>0.94421435341173465</v>
      </c>
      <c r="BB72" s="1605">
        <f t="shared" si="31"/>
        <v>365.04160146921089</v>
      </c>
      <c r="BC72" s="1606">
        <f t="shared" si="32"/>
        <v>430.51729208408409</v>
      </c>
      <c r="BD72" s="1607">
        <f t="shared" si="48"/>
        <v>0.94421435341173465</v>
      </c>
      <c r="BE72" s="1606">
        <f t="shared" si="34"/>
        <v>796.50310790670676</v>
      </c>
      <c r="BF72" s="1608">
        <v>0</v>
      </c>
      <c r="BG72" s="1609">
        <f t="shared" si="35"/>
        <v>796.50310790670676</v>
      </c>
      <c r="BI72" s="1605">
        <f t="shared" si="36"/>
        <v>365.04160146921089</v>
      </c>
      <c r="BJ72" s="1606">
        <f t="shared" si="37"/>
        <v>430.51729208408409</v>
      </c>
      <c r="BK72" s="1607">
        <f t="shared" si="38"/>
        <v>0.94421435341173465</v>
      </c>
      <c r="BL72" s="1606">
        <f t="shared" si="39"/>
        <v>796.50310790670676</v>
      </c>
      <c r="BM72" s="1608">
        <v>0</v>
      </c>
      <c r="BN72" s="1609">
        <f t="shared" si="40"/>
        <v>796.50310790670676</v>
      </c>
      <c r="BU72" s="314"/>
    </row>
    <row r="73" spans="1:73">
      <c r="A73" s="819">
        <f>'Input data'!A103</f>
        <v>2003</v>
      </c>
      <c r="B73" s="867">
        <f>'Input data'!B103</f>
        <v>46.116</v>
      </c>
      <c r="C73" s="867">
        <f>'Baseline data (from input)'!B59</f>
        <v>578.73</v>
      </c>
      <c r="D73" s="868">
        <f>'Baseline data (from input)'!T59</f>
        <v>0.8</v>
      </c>
      <c r="E73" s="868">
        <f t="shared" si="46"/>
        <v>0.24001298204245269</v>
      </c>
      <c r="F73" s="868">
        <f t="shared" si="46"/>
        <v>0.30440139352934503</v>
      </c>
      <c r="G73" s="868">
        <f t="shared" si="46"/>
        <v>5.8998240613430578E-2</v>
      </c>
      <c r="H73" s="868">
        <f t="shared" si="46"/>
        <v>0</v>
      </c>
      <c r="I73" s="868">
        <f t="shared" si="46"/>
        <v>0</v>
      </c>
      <c r="J73" s="868">
        <f t="shared" si="46"/>
        <v>0</v>
      </c>
      <c r="K73" s="868">
        <f t="shared" si="46"/>
        <v>0.39658738381477154</v>
      </c>
      <c r="L73" s="875">
        <f t="shared" si="42"/>
        <v>0.99999999999999989</v>
      </c>
      <c r="N73" s="891">
        <f t="shared" si="1"/>
        <v>21350.970144000003</v>
      </c>
      <c r="O73" s="885">
        <f>Parameters!R174</f>
        <v>0.73</v>
      </c>
      <c r="P73" s="885">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884">
        <f t="shared" si="2"/>
        <v>938.92504538844787</v>
      </c>
      <c r="R73" s="884">
        <f t="shared" si="3"/>
        <v>938.92504538844787</v>
      </c>
      <c r="S73" s="886">
        <f t="shared" si="4"/>
        <v>0</v>
      </c>
      <c r="T73" s="884">
        <f t="shared" si="5"/>
        <v>11979.657946532741</v>
      </c>
      <c r="U73" s="884">
        <f t="shared" si="6"/>
        <v>566.07048063650848</v>
      </c>
      <c r="V73" s="897">
        <f t="shared" si="7"/>
        <v>377.380320424339</v>
      </c>
      <c r="W73" s="1450">
        <f>($W$82-$W$72)/($A$82-$A$72)+W72</f>
        <v>0.12394828525545966</v>
      </c>
      <c r="X73" s="891">
        <f>'Baseline data (from input)'!AS59*W73</f>
        <v>6524.4422711180987</v>
      </c>
      <c r="Y73" s="885">
        <f>Parameters!S174</f>
        <v>0.71500000000000008</v>
      </c>
      <c r="Z73" s="885">
        <f t="shared" si="9"/>
        <v>0.4</v>
      </c>
      <c r="AA73" s="884">
        <f t="shared" si="10"/>
        <v>932.99524476988836</v>
      </c>
      <c r="AB73" s="884">
        <f t="shared" si="11"/>
        <v>932.99524476988836</v>
      </c>
      <c r="AC73" s="886">
        <f t="shared" si="12"/>
        <v>0</v>
      </c>
      <c r="AD73" s="884">
        <f t="shared" si="13"/>
        <v>13865.937894937393</v>
      </c>
      <c r="AE73" s="884">
        <f t="shared" si="14"/>
        <v>663.08614904232979</v>
      </c>
      <c r="AF73" s="897">
        <f t="shared" si="15"/>
        <v>442.05743269488653</v>
      </c>
      <c r="AG73" s="1450">
        <f>($AG$82-$AG$72)/($A$82-$A$72)+AG72</f>
        <v>0.12394828525545966</v>
      </c>
      <c r="AH73" s="891">
        <f>'Baseline data (from input)'!AS59*AG73</f>
        <v>6524.4422711180987</v>
      </c>
      <c r="AI73" s="885">
        <f>Parameters!S174</f>
        <v>0.71500000000000008</v>
      </c>
      <c r="AJ73" s="885">
        <f t="shared" si="17"/>
        <v>0.4</v>
      </c>
      <c r="AK73" s="884">
        <f t="shared" si="18"/>
        <v>932.99524476988836</v>
      </c>
      <c r="AL73" s="884">
        <f t="shared" si="19"/>
        <v>932.99524476988836</v>
      </c>
      <c r="AM73" s="886">
        <f t="shared" si="20"/>
        <v>0</v>
      </c>
      <c r="AN73" s="884">
        <f t="shared" si="21"/>
        <v>13865.937894937393</v>
      </c>
      <c r="AO73" s="884">
        <f t="shared" si="22"/>
        <v>663.08614904232979</v>
      </c>
      <c r="AP73" s="897">
        <f t="shared" si="23"/>
        <v>442.05743269488653</v>
      </c>
      <c r="AR73" s="899">
        <v>501</v>
      </c>
      <c r="AS73" s="885">
        <v>1</v>
      </c>
      <c r="AT73" s="885">
        <f t="shared" si="24"/>
        <v>0.05</v>
      </c>
      <c r="AU73" s="884">
        <f t="shared" si="25"/>
        <v>12.525</v>
      </c>
      <c r="AV73" s="884">
        <f t="shared" si="26"/>
        <v>12.525</v>
      </c>
      <c r="AW73" s="886">
        <f t="shared" si="27"/>
        <v>0</v>
      </c>
      <c r="AX73" s="884">
        <f t="shared" si="44"/>
        <v>45.891038650951295</v>
      </c>
      <c r="AY73" s="884">
        <f t="shared" si="49"/>
        <v>2.0632406020738179</v>
      </c>
      <c r="AZ73" s="900">
        <f t="shared" si="47"/>
        <v>1.3754937347158787</v>
      </c>
      <c r="BB73" s="1605">
        <f t="shared" si="31"/>
        <v>377.380320424339</v>
      </c>
      <c r="BC73" s="1606">
        <f t="shared" si="32"/>
        <v>442.05743269488653</v>
      </c>
      <c r="BD73" s="1607">
        <f t="shared" si="48"/>
        <v>1.3754937347158787</v>
      </c>
      <c r="BE73" s="1606">
        <f t="shared" si="34"/>
        <v>820.81324685394145</v>
      </c>
      <c r="BF73" s="1608">
        <v>0</v>
      </c>
      <c r="BG73" s="1609">
        <f t="shared" si="35"/>
        <v>820.81324685394145</v>
      </c>
      <c r="BI73" s="1605">
        <f t="shared" si="36"/>
        <v>377.380320424339</v>
      </c>
      <c r="BJ73" s="1606">
        <f t="shared" si="37"/>
        <v>442.05743269488653</v>
      </c>
      <c r="BK73" s="1607">
        <f t="shared" si="38"/>
        <v>1.3754937347158787</v>
      </c>
      <c r="BL73" s="1606">
        <f t="shared" si="39"/>
        <v>820.81324685394145</v>
      </c>
      <c r="BM73" s="1608">
        <v>0</v>
      </c>
      <c r="BN73" s="1609">
        <f t="shared" si="40"/>
        <v>820.81324685394145</v>
      </c>
      <c r="BU73" s="314"/>
    </row>
    <row r="74" spans="1:73">
      <c r="A74" s="819">
        <f>'Input data'!A104</f>
        <v>2004</v>
      </c>
      <c r="B74" s="867">
        <f>'Input data'!B104</f>
        <v>46.664999999999999</v>
      </c>
      <c r="C74" s="867">
        <f>'Baseline data (from input)'!B60</f>
        <v>578.73</v>
      </c>
      <c r="D74" s="868">
        <f>'Baseline data (from input)'!T60</f>
        <v>0.8</v>
      </c>
      <c r="E74" s="868">
        <f t="shared" si="46"/>
        <v>0.24001298204245269</v>
      </c>
      <c r="F74" s="868">
        <f t="shared" si="46"/>
        <v>0.30440139352934503</v>
      </c>
      <c r="G74" s="868">
        <f t="shared" si="46"/>
        <v>5.8998240613430578E-2</v>
      </c>
      <c r="H74" s="868">
        <f t="shared" si="46"/>
        <v>0</v>
      </c>
      <c r="I74" s="868">
        <f t="shared" si="46"/>
        <v>0</v>
      </c>
      <c r="J74" s="868">
        <f t="shared" si="46"/>
        <v>0</v>
      </c>
      <c r="K74" s="868">
        <f t="shared" si="46"/>
        <v>0.39658738381477154</v>
      </c>
      <c r="L74" s="875">
        <f t="shared" si="42"/>
        <v>0.99999999999999989</v>
      </c>
      <c r="N74" s="891">
        <f t="shared" si="1"/>
        <v>21605.148360000003</v>
      </c>
      <c r="O74" s="885">
        <f>Parameters!R175</f>
        <v>0.73</v>
      </c>
      <c r="P74" s="885">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884">
        <f t="shared" si="2"/>
        <v>950.10272450021512</v>
      </c>
      <c r="R74" s="884">
        <f t="shared" si="3"/>
        <v>950.10272450021512</v>
      </c>
      <c r="S74" s="886">
        <f t="shared" si="4"/>
        <v>0</v>
      </c>
      <c r="T74" s="884">
        <f t="shared" si="5"/>
        <v>12345.50585869596</v>
      </c>
      <c r="U74" s="884">
        <f t="shared" si="6"/>
        <v>584.25481233699634</v>
      </c>
      <c r="V74" s="897">
        <f t="shared" si="7"/>
        <v>389.50320822466421</v>
      </c>
      <c r="W74" s="1450">
        <f t="shared" ref="W74:W81" si="50">($W$82-$W$72)/($A$82-$A$72)+W73</f>
        <v>0.11261771146110533</v>
      </c>
      <c r="X74" s="891">
        <f>'Baseline data (from input)'!AS60*W74</f>
        <v>6125.3670306857948</v>
      </c>
      <c r="Y74" s="885">
        <f>Parameters!S175</f>
        <v>0.71500000000000008</v>
      </c>
      <c r="Z74" s="885">
        <f t="shared" si="9"/>
        <v>0.4</v>
      </c>
      <c r="AA74" s="884">
        <f t="shared" si="10"/>
        <v>875.92748538806882</v>
      </c>
      <c r="AB74" s="884">
        <f t="shared" si="11"/>
        <v>875.92748538806882</v>
      </c>
      <c r="AC74" s="886">
        <f t="shared" si="12"/>
        <v>0</v>
      </c>
      <c r="AD74" s="884">
        <f t="shared" si="13"/>
        <v>14065.615609352008</v>
      </c>
      <c r="AE74" s="884">
        <f t="shared" si="14"/>
        <v>676.2497709734547</v>
      </c>
      <c r="AF74" s="897">
        <f t="shared" si="15"/>
        <v>450.8331806489698</v>
      </c>
      <c r="AG74" s="1450">
        <f t="shared" ref="AG74:AG81" si="51">($AG$82-$AG$72)/($A$82-$A$72)+AG73</f>
        <v>0.11261771146110533</v>
      </c>
      <c r="AH74" s="891">
        <f>'Baseline data (from input)'!AS60*AG74</f>
        <v>6125.3670306857948</v>
      </c>
      <c r="AI74" s="885">
        <f>Parameters!S175</f>
        <v>0.71500000000000008</v>
      </c>
      <c r="AJ74" s="885">
        <f t="shared" si="17"/>
        <v>0.4</v>
      </c>
      <c r="AK74" s="884">
        <f t="shared" si="18"/>
        <v>875.92748538806882</v>
      </c>
      <c r="AL74" s="884">
        <f t="shared" si="19"/>
        <v>875.92748538806882</v>
      </c>
      <c r="AM74" s="886">
        <f t="shared" si="20"/>
        <v>0</v>
      </c>
      <c r="AN74" s="884">
        <f t="shared" si="21"/>
        <v>14065.615609352008</v>
      </c>
      <c r="AO74" s="884">
        <f t="shared" si="22"/>
        <v>676.2497709734547</v>
      </c>
      <c r="AP74" s="897">
        <f t="shared" si="23"/>
        <v>450.8331806489698</v>
      </c>
      <c r="AR74" s="899">
        <v>501</v>
      </c>
      <c r="AS74" s="885">
        <v>1</v>
      </c>
      <c r="AT74" s="885">
        <f t="shared" si="24"/>
        <v>0.05</v>
      </c>
      <c r="AU74" s="884">
        <f t="shared" si="25"/>
        <v>12.525</v>
      </c>
      <c r="AV74" s="884">
        <f t="shared" si="26"/>
        <v>12.525</v>
      </c>
      <c r="AW74" s="886">
        <f t="shared" si="27"/>
        <v>0</v>
      </c>
      <c r="AX74" s="884">
        <f t="shared" si="44"/>
        <v>55.743552610809878</v>
      </c>
      <c r="AY74" s="884">
        <f t="shared" si="49"/>
        <v>2.6724860401414179</v>
      </c>
      <c r="AZ74" s="900">
        <f t="shared" si="47"/>
        <v>1.7816573600942787</v>
      </c>
      <c r="BB74" s="1605">
        <f t="shared" si="31"/>
        <v>389.50320822466421</v>
      </c>
      <c r="BC74" s="1606">
        <f t="shared" si="32"/>
        <v>450.8331806489698</v>
      </c>
      <c r="BD74" s="1607">
        <f t="shared" si="48"/>
        <v>1.7816573600942787</v>
      </c>
      <c r="BE74" s="1606">
        <f t="shared" si="34"/>
        <v>842.11804623372825</v>
      </c>
      <c r="BF74" s="1608">
        <v>0</v>
      </c>
      <c r="BG74" s="1609">
        <f t="shared" si="35"/>
        <v>842.11804623372825</v>
      </c>
      <c r="BI74" s="1605">
        <f t="shared" si="36"/>
        <v>389.50320822466421</v>
      </c>
      <c r="BJ74" s="1606">
        <f t="shared" si="37"/>
        <v>450.8331806489698</v>
      </c>
      <c r="BK74" s="1607">
        <f t="shared" si="38"/>
        <v>1.7816573600942787</v>
      </c>
      <c r="BL74" s="1606">
        <f t="shared" si="39"/>
        <v>842.11804623372825</v>
      </c>
      <c r="BM74" s="1608">
        <v>0</v>
      </c>
      <c r="BN74" s="1609">
        <f t="shared" si="40"/>
        <v>842.11804623372825</v>
      </c>
      <c r="BU74" s="314"/>
    </row>
    <row r="75" spans="1:73">
      <c r="A75" s="819">
        <f>'Input data'!A105</f>
        <v>2005</v>
      </c>
      <c r="B75" s="867">
        <f>'Input data'!B105</f>
        <v>47.198</v>
      </c>
      <c r="C75" s="867">
        <f>'Baseline data (from input)'!B61</f>
        <v>578.73</v>
      </c>
      <c r="D75" s="868">
        <f>'Baseline data (from input)'!T61</f>
        <v>0.8</v>
      </c>
      <c r="E75" s="868">
        <f t="shared" si="46"/>
        <v>0.24001298204245269</v>
      </c>
      <c r="F75" s="868">
        <f t="shared" si="46"/>
        <v>0.30440139352934503</v>
      </c>
      <c r="G75" s="868">
        <f t="shared" si="46"/>
        <v>5.8998240613430578E-2</v>
      </c>
      <c r="H75" s="868">
        <f t="shared" si="46"/>
        <v>0</v>
      </c>
      <c r="I75" s="868">
        <f t="shared" si="46"/>
        <v>0</v>
      </c>
      <c r="J75" s="868">
        <f t="shared" si="46"/>
        <v>0</v>
      </c>
      <c r="K75" s="868">
        <f t="shared" si="46"/>
        <v>0.39658738381477154</v>
      </c>
      <c r="L75" s="875">
        <f t="shared" si="42"/>
        <v>0.99999999999999989</v>
      </c>
      <c r="N75" s="891">
        <f t="shared" si="1"/>
        <v>21851.918832000003</v>
      </c>
      <c r="O75" s="885">
        <f>Parameters!R176</f>
        <v>0.73</v>
      </c>
      <c r="P75" s="885">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884">
        <f t="shared" si="2"/>
        <v>960.95464247211305</v>
      </c>
      <c r="R75" s="884">
        <f t="shared" si="3"/>
        <v>960.95464247211305</v>
      </c>
      <c r="S75" s="886">
        <f t="shared" si="4"/>
        <v>0</v>
      </c>
      <c r="T75" s="884">
        <f t="shared" si="5"/>
        <v>12704.363075609665</v>
      </c>
      <c r="U75" s="884">
        <f t="shared" si="6"/>
        <v>602.09742555840876</v>
      </c>
      <c r="V75" s="897">
        <f t="shared" si="7"/>
        <v>401.39828370560582</v>
      </c>
      <c r="W75" s="1450">
        <f t="shared" si="50"/>
        <v>0.101287137666751</v>
      </c>
      <c r="X75" s="891">
        <f>'Baseline data (from input)'!AS61*W75</f>
        <v>5731.0204685808685</v>
      </c>
      <c r="Y75" s="885">
        <f>Parameters!S176</f>
        <v>0.71500000000000008</v>
      </c>
      <c r="Z75" s="885">
        <f t="shared" si="9"/>
        <v>0.4</v>
      </c>
      <c r="AA75" s="884">
        <f t="shared" si="10"/>
        <v>819.53592700706429</v>
      </c>
      <c r="AB75" s="884">
        <f t="shared" si="11"/>
        <v>819.53592700706429</v>
      </c>
      <c r="AC75" s="886">
        <f t="shared" si="12"/>
        <v>0</v>
      </c>
      <c r="AD75" s="884">
        <f t="shared" si="13"/>
        <v>14199.163368339234</v>
      </c>
      <c r="AE75" s="884">
        <f t="shared" si="14"/>
        <v>685.98816801983753</v>
      </c>
      <c r="AF75" s="897">
        <f t="shared" si="15"/>
        <v>457.32544534655835</v>
      </c>
      <c r="AG75" s="1450">
        <f t="shared" si="51"/>
        <v>0.101287137666751</v>
      </c>
      <c r="AH75" s="891">
        <f>'Baseline data (from input)'!AS61*AG75</f>
        <v>5731.0204685808685</v>
      </c>
      <c r="AI75" s="885">
        <f>Parameters!S176</f>
        <v>0.71500000000000008</v>
      </c>
      <c r="AJ75" s="885">
        <f t="shared" si="17"/>
        <v>0.4</v>
      </c>
      <c r="AK75" s="884">
        <f t="shared" si="18"/>
        <v>819.53592700706429</v>
      </c>
      <c r="AL75" s="884">
        <f t="shared" si="19"/>
        <v>819.53592700706429</v>
      </c>
      <c r="AM75" s="886">
        <f t="shared" si="20"/>
        <v>0</v>
      </c>
      <c r="AN75" s="884">
        <f t="shared" si="21"/>
        <v>14199.163368339234</v>
      </c>
      <c r="AO75" s="884">
        <f t="shared" si="22"/>
        <v>685.98816801983753</v>
      </c>
      <c r="AP75" s="897">
        <f t="shared" si="23"/>
        <v>457.32544534655835</v>
      </c>
      <c r="AR75" s="899">
        <v>501</v>
      </c>
      <c r="AS75" s="885">
        <v>1</v>
      </c>
      <c r="AT75" s="885">
        <f t="shared" si="24"/>
        <v>0.05</v>
      </c>
      <c r="AU75" s="884">
        <f t="shared" si="25"/>
        <v>12.525</v>
      </c>
      <c r="AV75" s="884">
        <f t="shared" si="26"/>
        <v>12.525</v>
      </c>
      <c r="AW75" s="886">
        <f t="shared" si="27"/>
        <v>0</v>
      </c>
      <c r="AX75" s="884">
        <f t="shared" si="44"/>
        <v>65.022300824848401</v>
      </c>
      <c r="AY75" s="884">
        <f t="shared" si="49"/>
        <v>3.2462517859614834</v>
      </c>
      <c r="AZ75" s="900">
        <f t="shared" si="47"/>
        <v>2.1641678573076555</v>
      </c>
      <c r="BB75" s="1605">
        <f t="shared" si="31"/>
        <v>401.39828370560582</v>
      </c>
      <c r="BC75" s="1606">
        <f t="shared" si="32"/>
        <v>457.32544534655835</v>
      </c>
      <c r="BD75" s="1607">
        <f t="shared" si="48"/>
        <v>2.1641678573076555</v>
      </c>
      <c r="BE75" s="1606">
        <f t="shared" si="34"/>
        <v>860.88789690947181</v>
      </c>
      <c r="BF75" s="1608">
        <v>0</v>
      </c>
      <c r="BG75" s="1609">
        <f t="shared" si="35"/>
        <v>860.88789690947181</v>
      </c>
      <c r="BI75" s="1605">
        <f t="shared" si="36"/>
        <v>401.39828370560582</v>
      </c>
      <c r="BJ75" s="1606">
        <f t="shared" si="37"/>
        <v>457.32544534655835</v>
      </c>
      <c r="BK75" s="1607">
        <f t="shared" si="38"/>
        <v>2.1641678573076555</v>
      </c>
      <c r="BL75" s="1606">
        <f t="shared" si="39"/>
        <v>860.88789690947181</v>
      </c>
      <c r="BM75" s="1608">
        <v>0</v>
      </c>
      <c r="BN75" s="1609">
        <f t="shared" si="40"/>
        <v>860.88789690947181</v>
      </c>
      <c r="BO75" s="104"/>
      <c r="BP75" s="104"/>
      <c r="BQ75" s="104"/>
      <c r="BR75" s="104"/>
      <c r="BS75" s="104"/>
      <c r="BU75" s="314"/>
    </row>
    <row r="76" spans="1:73">
      <c r="A76" s="819">
        <f>'Input data'!A106</f>
        <v>2006</v>
      </c>
      <c r="B76" s="867">
        <f>'Input data'!B106</f>
        <v>47.731000000000002</v>
      </c>
      <c r="C76" s="867">
        <f>'Baseline data (from input)'!B62</f>
        <v>578.73</v>
      </c>
      <c r="D76" s="868">
        <f>'Baseline data (from input)'!T62</f>
        <v>0.8</v>
      </c>
      <c r="E76" s="868">
        <f t="shared" si="46"/>
        <v>0.24001298204245269</v>
      </c>
      <c r="F76" s="868">
        <f t="shared" si="46"/>
        <v>0.30440139352934503</v>
      </c>
      <c r="G76" s="868">
        <f t="shared" si="46"/>
        <v>5.8998240613430578E-2</v>
      </c>
      <c r="H76" s="868">
        <f t="shared" si="46"/>
        <v>0</v>
      </c>
      <c r="I76" s="868">
        <f t="shared" si="46"/>
        <v>0</v>
      </c>
      <c r="J76" s="868">
        <f t="shared" si="46"/>
        <v>0</v>
      </c>
      <c r="K76" s="868">
        <f t="shared" si="46"/>
        <v>0.39658738381477154</v>
      </c>
      <c r="L76" s="875">
        <f t="shared" si="42"/>
        <v>0.99999999999999989</v>
      </c>
      <c r="N76" s="891">
        <f t="shared" si="1"/>
        <v>22098.689304000003</v>
      </c>
      <c r="O76" s="885">
        <f>Parameters!R177</f>
        <v>0.73</v>
      </c>
      <c r="P76" s="885">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884">
        <f t="shared" si="2"/>
        <v>971.80656044401098</v>
      </c>
      <c r="R76" s="884">
        <f t="shared" si="3"/>
        <v>971.80656044401098</v>
      </c>
      <c r="S76" s="886">
        <f t="shared" si="4"/>
        <v>0</v>
      </c>
      <c r="T76" s="884">
        <f t="shared" si="5"/>
        <v>13056.570537504313</v>
      </c>
      <c r="U76" s="884">
        <f t="shared" si="6"/>
        <v>619.59909854936222</v>
      </c>
      <c r="V76" s="897">
        <f t="shared" si="7"/>
        <v>413.06606569957484</v>
      </c>
      <c r="W76" s="1450">
        <f t="shared" si="50"/>
        <v>8.9956563872396672E-2</v>
      </c>
      <c r="X76" s="891">
        <f>'Baseline data (from input)'!AS62*W76</f>
        <v>5310.6294339907163</v>
      </c>
      <c r="Y76" s="885">
        <f>Parameters!S177</f>
        <v>0.71500000000000008</v>
      </c>
      <c r="Z76" s="885">
        <f t="shared" si="9"/>
        <v>0.4</v>
      </c>
      <c r="AA76" s="884">
        <f t="shared" si="10"/>
        <v>759.42000906067256</v>
      </c>
      <c r="AB76" s="884">
        <f t="shared" si="11"/>
        <v>759.42000906067256</v>
      </c>
      <c r="AC76" s="886">
        <f t="shared" si="12"/>
        <v>0</v>
      </c>
      <c r="AD76" s="884">
        <f t="shared" si="13"/>
        <v>14266.08200831762</v>
      </c>
      <c r="AE76" s="884">
        <f t="shared" si="14"/>
        <v>692.50136908228444</v>
      </c>
      <c r="AF76" s="897">
        <f t="shared" si="15"/>
        <v>461.66757938818961</v>
      </c>
      <c r="AG76" s="1450">
        <f t="shared" si="51"/>
        <v>8.9956563872396672E-2</v>
      </c>
      <c r="AH76" s="891">
        <f>'Baseline data (from input)'!AS62*AG76</f>
        <v>5310.6294339907163</v>
      </c>
      <c r="AI76" s="885">
        <f>Parameters!S177</f>
        <v>0.71500000000000008</v>
      </c>
      <c r="AJ76" s="885">
        <f t="shared" si="17"/>
        <v>0.4</v>
      </c>
      <c r="AK76" s="884">
        <f t="shared" si="18"/>
        <v>759.42000906067256</v>
      </c>
      <c r="AL76" s="884">
        <f t="shared" si="19"/>
        <v>759.42000906067256</v>
      </c>
      <c r="AM76" s="886">
        <f t="shared" si="20"/>
        <v>0</v>
      </c>
      <c r="AN76" s="884">
        <f t="shared" si="21"/>
        <v>14266.08200831762</v>
      </c>
      <c r="AO76" s="884">
        <f t="shared" si="22"/>
        <v>692.50136908228444</v>
      </c>
      <c r="AP76" s="897">
        <f t="shared" si="23"/>
        <v>461.66757938818961</v>
      </c>
      <c r="AR76" s="899">
        <v>501</v>
      </c>
      <c r="AS76" s="885">
        <v>1</v>
      </c>
      <c r="AT76" s="885">
        <f t="shared" si="24"/>
        <v>0.05</v>
      </c>
      <c r="AU76" s="884">
        <f t="shared" si="25"/>
        <v>12.525</v>
      </c>
      <c r="AV76" s="884">
        <f t="shared" si="26"/>
        <v>12.525</v>
      </c>
      <c r="AW76" s="886">
        <f t="shared" si="27"/>
        <v>0</v>
      </c>
      <c r="AX76" s="884">
        <f t="shared" si="44"/>
        <v>73.760696808888071</v>
      </c>
      <c r="AY76" s="884">
        <f t="shared" si="49"/>
        <v>3.7866040159603358</v>
      </c>
      <c r="AZ76" s="900">
        <f t="shared" si="47"/>
        <v>2.5244026773068904</v>
      </c>
      <c r="BB76" s="1605">
        <f t="shared" si="31"/>
        <v>413.06606569957484</v>
      </c>
      <c r="BC76" s="1606">
        <f t="shared" si="32"/>
        <v>461.66757938818961</v>
      </c>
      <c r="BD76" s="1607">
        <f t="shared" si="48"/>
        <v>2.5244026773068904</v>
      </c>
      <c r="BE76" s="1606">
        <f t="shared" si="34"/>
        <v>877.2580477650713</v>
      </c>
      <c r="BF76" s="1608">
        <v>0</v>
      </c>
      <c r="BG76" s="1609">
        <f t="shared" si="35"/>
        <v>877.2580477650713</v>
      </c>
      <c r="BI76" s="1605">
        <f t="shared" si="36"/>
        <v>413.06606569957484</v>
      </c>
      <c r="BJ76" s="1606">
        <f t="shared" si="37"/>
        <v>461.66757938818961</v>
      </c>
      <c r="BK76" s="1607">
        <f t="shared" si="38"/>
        <v>2.5244026773068904</v>
      </c>
      <c r="BL76" s="1606">
        <f t="shared" si="39"/>
        <v>877.2580477650713</v>
      </c>
      <c r="BM76" s="1608">
        <v>0</v>
      </c>
      <c r="BN76" s="1609">
        <f t="shared" si="40"/>
        <v>877.2580477650713</v>
      </c>
      <c r="BO76" s="104"/>
      <c r="BP76" s="104"/>
      <c r="BQ76" s="104"/>
      <c r="BR76" s="104"/>
      <c r="BS76" s="104"/>
      <c r="BU76" s="314"/>
    </row>
    <row r="77" spans="1:73">
      <c r="A77" s="819">
        <f>'Input data'!A107</f>
        <v>2007</v>
      </c>
      <c r="B77" s="867">
        <f>'Input data'!B107</f>
        <v>48.256999999999998</v>
      </c>
      <c r="C77" s="867">
        <f>'Baseline data (from input)'!B63</f>
        <v>578.73</v>
      </c>
      <c r="D77" s="868">
        <f>'Baseline data (from input)'!T63</f>
        <v>0.8</v>
      </c>
      <c r="E77" s="868">
        <f t="shared" si="46"/>
        <v>0.24001298204245269</v>
      </c>
      <c r="F77" s="868">
        <f t="shared" si="46"/>
        <v>0.30440139352934503</v>
      </c>
      <c r="G77" s="868">
        <f t="shared" si="46"/>
        <v>5.8998240613430578E-2</v>
      </c>
      <c r="H77" s="868">
        <f t="shared" si="46"/>
        <v>0</v>
      </c>
      <c r="I77" s="868">
        <f t="shared" si="46"/>
        <v>0</v>
      </c>
      <c r="J77" s="868">
        <f t="shared" si="46"/>
        <v>0</v>
      </c>
      <c r="K77" s="868">
        <f t="shared" si="46"/>
        <v>0.39658738381477154</v>
      </c>
      <c r="L77" s="875">
        <f t="shared" si="42"/>
        <v>0.99999999999999989</v>
      </c>
      <c r="N77" s="891">
        <f t="shared" si="1"/>
        <v>22342.218888000003</v>
      </c>
      <c r="O77" s="885">
        <f>Parameters!R178</f>
        <v>0.73</v>
      </c>
      <c r="P77" s="885">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884">
        <f t="shared" si="2"/>
        <v>982.51595791721593</v>
      </c>
      <c r="R77" s="884">
        <f t="shared" si="3"/>
        <v>982.51595791721593</v>
      </c>
      <c r="S77" s="886">
        <f t="shared" si="4"/>
        <v>0</v>
      </c>
      <c r="T77" s="884">
        <f t="shared" si="5"/>
        <v>13402.310036260422</v>
      </c>
      <c r="U77" s="884">
        <f t="shared" si="6"/>
        <v>636.77645916110703</v>
      </c>
      <c r="V77" s="897">
        <f t="shared" si="7"/>
        <v>424.51763944073804</v>
      </c>
      <c r="W77" s="1450">
        <f t="shared" si="50"/>
        <v>7.8625990078042343E-2</v>
      </c>
      <c r="X77" s="891">
        <f>'Baseline data (from input)'!AS63*W77</f>
        <v>4831.1312614970548</v>
      </c>
      <c r="Y77" s="885">
        <f>Parameters!S178</f>
        <v>0.71500000000000008</v>
      </c>
      <c r="Z77" s="885">
        <f t="shared" si="9"/>
        <v>0.4</v>
      </c>
      <c r="AA77" s="884">
        <f t="shared" si="10"/>
        <v>690.85177039407893</v>
      </c>
      <c r="AB77" s="884">
        <f t="shared" si="11"/>
        <v>690.85177039407893</v>
      </c>
      <c r="AC77" s="886">
        <f t="shared" si="12"/>
        <v>0</v>
      </c>
      <c r="AD77" s="884">
        <f t="shared" si="13"/>
        <v>14261.168749046041</v>
      </c>
      <c r="AE77" s="884">
        <f t="shared" si="14"/>
        <v>695.76502966565988</v>
      </c>
      <c r="AF77" s="897">
        <f t="shared" si="15"/>
        <v>463.84335311043992</v>
      </c>
      <c r="AG77" s="1450">
        <f t="shared" si="51"/>
        <v>7.8625990078042343E-2</v>
      </c>
      <c r="AH77" s="891">
        <f>'Baseline data (from input)'!AS63*AG77</f>
        <v>4831.1312614970548</v>
      </c>
      <c r="AI77" s="885">
        <f>Parameters!S178</f>
        <v>0.71500000000000008</v>
      </c>
      <c r="AJ77" s="885">
        <f t="shared" si="17"/>
        <v>0.4</v>
      </c>
      <c r="AK77" s="884">
        <f t="shared" si="18"/>
        <v>690.85177039407893</v>
      </c>
      <c r="AL77" s="884">
        <f t="shared" si="19"/>
        <v>690.85177039407893</v>
      </c>
      <c r="AM77" s="886">
        <f t="shared" si="20"/>
        <v>0</v>
      </c>
      <c r="AN77" s="884">
        <f t="shared" si="21"/>
        <v>14261.168749046041</v>
      </c>
      <c r="AO77" s="884">
        <f t="shared" si="22"/>
        <v>695.76502966565988</v>
      </c>
      <c r="AP77" s="897">
        <f t="shared" si="23"/>
        <v>463.84335311043992</v>
      </c>
      <c r="AR77" s="899">
        <v>501</v>
      </c>
      <c r="AS77" s="885">
        <v>1</v>
      </c>
      <c r="AT77" s="885">
        <f t="shared" si="24"/>
        <v>0.05</v>
      </c>
      <c r="AU77" s="884">
        <f t="shared" si="25"/>
        <v>12.525</v>
      </c>
      <c r="AV77" s="884">
        <f t="shared" si="26"/>
        <v>12.525</v>
      </c>
      <c r="AW77" s="886">
        <f t="shared" si="27"/>
        <v>0</v>
      </c>
      <c r="AX77" s="884">
        <f t="shared" si="44"/>
        <v>81.990208227071662</v>
      </c>
      <c r="AY77" s="884">
        <f t="shared" si="49"/>
        <v>4.2954885818164135</v>
      </c>
      <c r="AZ77" s="900">
        <f t="shared" si="47"/>
        <v>2.8636590545442755</v>
      </c>
      <c r="BB77" s="1605">
        <f t="shared" si="31"/>
        <v>424.51763944073804</v>
      </c>
      <c r="BC77" s="1606">
        <f t="shared" si="32"/>
        <v>463.84335311043992</v>
      </c>
      <c r="BD77" s="1607">
        <f t="shared" si="48"/>
        <v>2.8636590545442755</v>
      </c>
      <c r="BE77" s="1606">
        <f t="shared" si="34"/>
        <v>891.22465160572233</v>
      </c>
      <c r="BF77" s="1608">
        <v>0</v>
      </c>
      <c r="BG77" s="1609">
        <f t="shared" si="35"/>
        <v>891.22465160572233</v>
      </c>
      <c r="BI77" s="1605">
        <f t="shared" si="36"/>
        <v>424.51763944073804</v>
      </c>
      <c r="BJ77" s="1606">
        <f t="shared" si="37"/>
        <v>463.84335311043992</v>
      </c>
      <c r="BK77" s="1607">
        <f t="shared" si="38"/>
        <v>2.8636590545442755</v>
      </c>
      <c r="BL77" s="1606">
        <f t="shared" si="39"/>
        <v>891.22465160572233</v>
      </c>
      <c r="BM77" s="1608">
        <v>0</v>
      </c>
      <c r="BN77" s="1609">
        <f t="shared" si="40"/>
        <v>891.22465160572233</v>
      </c>
      <c r="BO77" s="301"/>
      <c r="BP77" s="301"/>
      <c r="BQ77" s="301"/>
      <c r="BR77" s="104"/>
      <c r="BS77" s="104"/>
      <c r="BU77" s="314"/>
    </row>
    <row r="78" spans="1:73">
      <c r="A78" s="819">
        <f>'Input data'!A108</f>
        <v>2008</v>
      </c>
      <c r="B78" s="867">
        <f>'Input data'!B108</f>
        <v>48.792999999999999</v>
      </c>
      <c r="C78" s="867">
        <f>'Baseline data (from input)'!B64</f>
        <v>578.73</v>
      </c>
      <c r="D78" s="868">
        <f>'Baseline data (from input)'!T64</f>
        <v>0.8</v>
      </c>
      <c r="E78" s="868">
        <f t="shared" si="46"/>
        <v>0.24001298204245269</v>
      </c>
      <c r="F78" s="868">
        <f t="shared" si="46"/>
        <v>0.30440139352934503</v>
      </c>
      <c r="G78" s="868">
        <f t="shared" si="46"/>
        <v>5.8998240613430578E-2</v>
      </c>
      <c r="H78" s="868">
        <f t="shared" si="46"/>
        <v>0</v>
      </c>
      <c r="I78" s="868">
        <f t="shared" si="46"/>
        <v>0</v>
      </c>
      <c r="J78" s="868">
        <f t="shared" si="46"/>
        <v>0</v>
      </c>
      <c r="K78" s="868">
        <f t="shared" si="46"/>
        <v>0.39658738381477154</v>
      </c>
      <c r="L78" s="875">
        <f t="shared" si="42"/>
        <v>0.99999999999999989</v>
      </c>
      <c r="N78" s="891">
        <f t="shared" si="1"/>
        <v>22590.378312000001</v>
      </c>
      <c r="O78" s="885">
        <f>Parameters!R179</f>
        <v>0.73</v>
      </c>
      <c r="P78" s="885">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884">
        <f t="shared" si="2"/>
        <v>993.42895610283927</v>
      </c>
      <c r="R78" s="884">
        <f t="shared" si="3"/>
        <v>993.42895610283927</v>
      </c>
      <c r="S78" s="886">
        <f t="shared" si="4"/>
        <v>0</v>
      </c>
      <c r="T78" s="884">
        <f t="shared" si="5"/>
        <v>13742.100618874985</v>
      </c>
      <c r="U78" s="884">
        <f t="shared" si="6"/>
        <v>653.63837348827713</v>
      </c>
      <c r="V78" s="897">
        <f t="shared" si="7"/>
        <v>435.75891565885144</v>
      </c>
      <c r="W78" s="1450">
        <f t="shared" si="50"/>
        <v>6.7295416283688014E-2</v>
      </c>
      <c r="X78" s="891">
        <f>'Baseline data (from input)'!AS64*W78</f>
        <v>4214.406043124789</v>
      </c>
      <c r="Y78" s="885">
        <f>Parameters!S179</f>
        <v>0.71500000000000008</v>
      </c>
      <c r="Z78" s="885">
        <f t="shared" si="9"/>
        <v>0.4</v>
      </c>
      <c r="AA78" s="884">
        <f t="shared" si="10"/>
        <v>602.6600641668449</v>
      </c>
      <c r="AB78" s="884">
        <f t="shared" si="11"/>
        <v>602.6600641668449</v>
      </c>
      <c r="AC78" s="886">
        <f t="shared" si="12"/>
        <v>0</v>
      </c>
      <c r="AD78" s="884">
        <f t="shared" si="13"/>
        <v>14168.303406029478</v>
      </c>
      <c r="AE78" s="884">
        <f t="shared" si="14"/>
        <v>695.52540718340776</v>
      </c>
      <c r="AF78" s="897">
        <f t="shared" si="15"/>
        <v>463.68360478893851</v>
      </c>
      <c r="AG78" s="1450">
        <f t="shared" si="51"/>
        <v>6.7295416283688014E-2</v>
      </c>
      <c r="AH78" s="891">
        <f>'Baseline data (from input)'!AS64*AG78</f>
        <v>4214.406043124789</v>
      </c>
      <c r="AI78" s="885">
        <f>Parameters!S179</f>
        <v>0.71500000000000008</v>
      </c>
      <c r="AJ78" s="885">
        <f t="shared" si="17"/>
        <v>0.4</v>
      </c>
      <c r="AK78" s="884">
        <f t="shared" si="18"/>
        <v>602.6600641668449</v>
      </c>
      <c r="AL78" s="884">
        <f t="shared" si="19"/>
        <v>602.6600641668449</v>
      </c>
      <c r="AM78" s="886">
        <f t="shared" si="20"/>
        <v>0</v>
      </c>
      <c r="AN78" s="884">
        <f t="shared" si="21"/>
        <v>14168.303406029478</v>
      </c>
      <c r="AO78" s="884">
        <f t="shared" si="22"/>
        <v>695.52540718340776</v>
      </c>
      <c r="AP78" s="897">
        <f t="shared" si="23"/>
        <v>463.68360478893851</v>
      </c>
      <c r="AR78" s="899">
        <v>501</v>
      </c>
      <c r="AS78" s="885">
        <v>1</v>
      </c>
      <c r="AT78" s="885">
        <f t="shared" si="24"/>
        <v>0.05</v>
      </c>
      <c r="AU78" s="884">
        <f t="shared" si="25"/>
        <v>12.525</v>
      </c>
      <c r="AV78" s="884">
        <f t="shared" si="26"/>
        <v>12.525</v>
      </c>
      <c r="AW78" s="886">
        <f t="shared" si="27"/>
        <v>0</v>
      </c>
      <c r="AX78" s="884">
        <f t="shared" si="44"/>
        <v>89.740470209443586</v>
      </c>
      <c r="AY78" s="884">
        <f t="shared" si="49"/>
        <v>4.7747380176280858</v>
      </c>
      <c r="AZ78" s="900">
        <f t="shared" si="47"/>
        <v>3.183158678418724</v>
      </c>
      <c r="BB78" s="1605">
        <f t="shared" si="31"/>
        <v>435.75891565885144</v>
      </c>
      <c r="BC78" s="1606">
        <f t="shared" si="32"/>
        <v>463.68360478893851</v>
      </c>
      <c r="BD78" s="1607">
        <f t="shared" si="48"/>
        <v>3.183158678418724</v>
      </c>
      <c r="BE78" s="1606">
        <f t="shared" si="34"/>
        <v>902.62567912620875</v>
      </c>
      <c r="BF78" s="1608">
        <v>0</v>
      </c>
      <c r="BG78" s="1609">
        <f t="shared" si="35"/>
        <v>902.62567912620875</v>
      </c>
      <c r="BI78" s="1605">
        <f t="shared" si="36"/>
        <v>435.75891565885144</v>
      </c>
      <c r="BJ78" s="1606">
        <f t="shared" si="37"/>
        <v>463.68360478893851</v>
      </c>
      <c r="BK78" s="1607">
        <f t="shared" si="38"/>
        <v>3.183158678418724</v>
      </c>
      <c r="BL78" s="1606">
        <f t="shared" si="39"/>
        <v>902.62567912620875</v>
      </c>
      <c r="BM78" s="1608">
        <v>0</v>
      </c>
      <c r="BN78" s="1609">
        <f t="shared" si="40"/>
        <v>902.62567912620875</v>
      </c>
      <c r="BO78" s="104"/>
      <c r="BP78" s="104"/>
      <c r="BQ78" s="104"/>
      <c r="BR78" s="104"/>
      <c r="BS78" s="104"/>
      <c r="BU78" s="314"/>
    </row>
    <row r="79" spans="1:73">
      <c r="A79" s="819">
        <f>'Input data'!A109</f>
        <v>2009</v>
      </c>
      <c r="B79" s="867">
        <f>'Input data'!B109</f>
        <v>49.32</v>
      </c>
      <c r="C79" s="867">
        <f>'Baseline data (from input)'!B65</f>
        <v>578.73</v>
      </c>
      <c r="D79" s="868">
        <f>'Baseline data (from input)'!T65</f>
        <v>0.8</v>
      </c>
      <c r="E79" s="868">
        <f t="shared" si="46"/>
        <v>0.24001298204245269</v>
      </c>
      <c r="F79" s="868">
        <f t="shared" si="46"/>
        <v>0.30440139352934503</v>
      </c>
      <c r="G79" s="868">
        <f t="shared" si="46"/>
        <v>5.8998240613430578E-2</v>
      </c>
      <c r="H79" s="868">
        <f t="shared" si="46"/>
        <v>0</v>
      </c>
      <c r="I79" s="868">
        <f t="shared" si="46"/>
        <v>0</v>
      </c>
      <c r="J79" s="868">
        <f t="shared" si="46"/>
        <v>0</v>
      </c>
      <c r="K79" s="868">
        <f t="shared" si="46"/>
        <v>0.39658738381477154</v>
      </c>
      <c r="L79" s="875">
        <f t="shared" si="42"/>
        <v>0.99999999999999989</v>
      </c>
      <c r="N79" s="891">
        <f t="shared" si="1"/>
        <v>22834.370880000002</v>
      </c>
      <c r="O79" s="885">
        <f>Parameters!R180</f>
        <v>0.73</v>
      </c>
      <c r="P79" s="885">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884">
        <f t="shared" si="2"/>
        <v>1004.1587136472863</v>
      </c>
      <c r="R79" s="884">
        <f t="shared" si="3"/>
        <v>1004.1587136472863</v>
      </c>
      <c r="S79" s="886">
        <f t="shared" si="4"/>
        <v>0</v>
      </c>
      <c r="T79" s="884">
        <f t="shared" si="5"/>
        <v>14076.049176770644</v>
      </c>
      <c r="U79" s="884">
        <f t="shared" si="6"/>
        <v>670.2101557516271</v>
      </c>
      <c r="V79" s="897">
        <f t="shared" si="7"/>
        <v>446.80677050108471</v>
      </c>
      <c r="W79" s="1450">
        <f t="shared" si="50"/>
        <v>5.5964842489333685E-2</v>
      </c>
      <c r="X79" s="891">
        <f>'Baseline data (from input)'!AS65*W79</f>
        <v>3407.9504575310793</v>
      </c>
      <c r="Y79" s="885">
        <f>Parameters!S180</f>
        <v>0.71500000000000008</v>
      </c>
      <c r="Z79" s="885">
        <f t="shared" si="9"/>
        <v>0.4</v>
      </c>
      <c r="AA79" s="884">
        <f t="shared" si="10"/>
        <v>487.33691542694442</v>
      </c>
      <c r="AB79" s="884">
        <f t="shared" si="11"/>
        <v>487.33691542694442</v>
      </c>
      <c r="AC79" s="886">
        <f t="shared" si="12"/>
        <v>0</v>
      </c>
      <c r="AD79" s="884">
        <f t="shared" si="13"/>
        <v>13964.644010495871</v>
      </c>
      <c r="AE79" s="884">
        <f t="shared" si="14"/>
        <v>690.99631096055145</v>
      </c>
      <c r="AF79" s="897">
        <f t="shared" si="15"/>
        <v>460.6642073070343</v>
      </c>
      <c r="AG79" s="1450">
        <f t="shared" si="51"/>
        <v>5.5964842489333685E-2</v>
      </c>
      <c r="AH79" s="891">
        <f>'Baseline data (from input)'!AS65*AG79</f>
        <v>3407.9504575310793</v>
      </c>
      <c r="AI79" s="885">
        <f>Parameters!S180</f>
        <v>0.71500000000000008</v>
      </c>
      <c r="AJ79" s="885">
        <f t="shared" si="17"/>
        <v>0.4</v>
      </c>
      <c r="AK79" s="884">
        <f t="shared" si="18"/>
        <v>487.33691542694442</v>
      </c>
      <c r="AL79" s="884">
        <f t="shared" si="19"/>
        <v>487.33691542694442</v>
      </c>
      <c r="AM79" s="886">
        <f t="shared" si="20"/>
        <v>0</v>
      </c>
      <c r="AN79" s="884">
        <f t="shared" si="21"/>
        <v>13964.644010495871</v>
      </c>
      <c r="AO79" s="884">
        <f t="shared" si="22"/>
        <v>690.99631096055145</v>
      </c>
      <c r="AP79" s="897">
        <f t="shared" si="23"/>
        <v>460.6642073070343</v>
      </c>
      <c r="AR79" s="899">
        <v>501</v>
      </c>
      <c r="AS79" s="885">
        <v>1</v>
      </c>
      <c r="AT79" s="885">
        <f t="shared" si="24"/>
        <v>0.05</v>
      </c>
      <c r="AU79" s="884">
        <f t="shared" si="25"/>
        <v>12.525</v>
      </c>
      <c r="AV79" s="884">
        <f t="shared" si="26"/>
        <v>12.525</v>
      </c>
      <c r="AW79" s="886">
        <f t="shared" si="27"/>
        <v>0</v>
      </c>
      <c r="AX79" s="884">
        <f t="shared" si="44"/>
        <v>97.039392070427809</v>
      </c>
      <c r="AY79" s="884">
        <f t="shared" si="49"/>
        <v>5.2260781390157804</v>
      </c>
      <c r="AZ79" s="900">
        <f t="shared" si="47"/>
        <v>3.484052092677187</v>
      </c>
      <c r="BB79" s="1605">
        <f t="shared" si="31"/>
        <v>446.80677050108471</v>
      </c>
      <c r="BC79" s="1606">
        <f t="shared" si="32"/>
        <v>460.6642073070343</v>
      </c>
      <c r="BD79" s="1607">
        <f t="shared" si="48"/>
        <v>3.484052092677187</v>
      </c>
      <c r="BE79" s="1606">
        <f t="shared" si="34"/>
        <v>910.95502990079615</v>
      </c>
      <c r="BF79" s="1608">
        <v>0</v>
      </c>
      <c r="BG79" s="1609">
        <f t="shared" si="35"/>
        <v>910.95502990079615</v>
      </c>
      <c r="BI79" s="1605">
        <f t="shared" si="36"/>
        <v>446.80677050108471</v>
      </c>
      <c r="BJ79" s="1606">
        <f t="shared" si="37"/>
        <v>460.6642073070343</v>
      </c>
      <c r="BK79" s="1607">
        <f t="shared" si="38"/>
        <v>3.484052092677187</v>
      </c>
      <c r="BL79" s="1606">
        <f t="shared" si="39"/>
        <v>910.95502990079615</v>
      </c>
      <c r="BM79" s="1608">
        <v>0</v>
      </c>
      <c r="BN79" s="1609">
        <f t="shared" si="40"/>
        <v>910.95502990079615</v>
      </c>
      <c r="BO79" s="104"/>
      <c r="BP79" s="104"/>
      <c r="BQ79" s="104"/>
      <c r="BR79" s="104"/>
      <c r="BS79" s="104"/>
      <c r="BU79" s="314"/>
    </row>
    <row r="80" spans="1:73">
      <c r="A80" s="819">
        <f>'Input data'!A110</f>
        <v>2010</v>
      </c>
      <c r="B80" s="867">
        <f>'Input data'!B110</f>
        <v>49.87</v>
      </c>
      <c r="C80" s="867">
        <f>'Baseline data (from input)'!B66</f>
        <v>559.42164173673609</v>
      </c>
      <c r="D80" s="868">
        <f>'Baseline data (from input)'!T66</f>
        <v>0.75808980601378384</v>
      </c>
      <c r="E80" s="868">
        <f t="shared" si="46"/>
        <v>0.24001298204245269</v>
      </c>
      <c r="F80" s="868">
        <f t="shared" si="46"/>
        <v>0.30440139352934503</v>
      </c>
      <c r="G80" s="868">
        <f t="shared" si="46"/>
        <v>5.8998240613430578E-2</v>
      </c>
      <c r="H80" s="868">
        <f t="shared" si="46"/>
        <v>0</v>
      </c>
      <c r="I80" s="868">
        <f t="shared" si="46"/>
        <v>0</v>
      </c>
      <c r="J80" s="868">
        <f t="shared" si="46"/>
        <v>0</v>
      </c>
      <c r="K80" s="868">
        <f t="shared" si="46"/>
        <v>0.39658738381477154</v>
      </c>
      <c r="L80" s="875">
        <f t="shared" si="42"/>
        <v>0.99999999999999989</v>
      </c>
      <c r="N80" s="891">
        <f t="shared" si="1"/>
        <v>21149.460253503403</v>
      </c>
      <c r="O80" s="885">
        <f>Parameters!R181</f>
        <v>0.73</v>
      </c>
      <c r="P80" s="885">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884">
        <f t="shared" si="2"/>
        <v>930.06349568814494</v>
      </c>
      <c r="R80" s="884">
        <f t="shared" si="3"/>
        <v>930.06349568814494</v>
      </c>
      <c r="S80" s="886">
        <f t="shared" si="4"/>
        <v>0</v>
      </c>
      <c r="T80" s="884">
        <f t="shared" si="5"/>
        <v>14319.615653351433</v>
      </c>
      <c r="U80" s="884">
        <f t="shared" si="6"/>
        <v>686.49701910735507</v>
      </c>
      <c r="V80" s="897">
        <f t="shared" si="7"/>
        <v>457.66467940490338</v>
      </c>
      <c r="W80" s="1450">
        <f t="shared" si="50"/>
        <v>4.4634268694979357E-2</v>
      </c>
      <c r="X80" s="891">
        <f>'Baseline data (from input)'!AS66*W80</f>
        <v>2765.2915387146099</v>
      </c>
      <c r="Y80" s="885">
        <f>Parameters!S181</f>
        <v>0.71500000000000008</v>
      </c>
      <c r="Z80" s="885">
        <f t="shared" si="9"/>
        <v>0.4</v>
      </c>
      <c r="AA80" s="884">
        <f t="shared" si="10"/>
        <v>395.4366900361893</v>
      </c>
      <c r="AB80" s="884">
        <f t="shared" si="11"/>
        <v>395.4366900361893</v>
      </c>
      <c r="AC80" s="886">
        <f t="shared" si="12"/>
        <v>0</v>
      </c>
      <c r="AD80" s="884">
        <f t="shared" si="13"/>
        <v>13679.01697549752</v>
      </c>
      <c r="AE80" s="884">
        <f t="shared" si="14"/>
        <v>681.06372503454065</v>
      </c>
      <c r="AF80" s="897">
        <f t="shared" si="15"/>
        <v>454.04248335636044</v>
      </c>
      <c r="AG80" s="1450">
        <f t="shared" si="51"/>
        <v>4.4634268694979357E-2</v>
      </c>
      <c r="AH80" s="891">
        <f>'Baseline data (from input)'!AS66*AG80</f>
        <v>2765.2915387146099</v>
      </c>
      <c r="AI80" s="885">
        <f>Parameters!S181</f>
        <v>0.71500000000000008</v>
      </c>
      <c r="AJ80" s="885">
        <f t="shared" si="17"/>
        <v>0.4</v>
      </c>
      <c r="AK80" s="884">
        <f t="shared" si="18"/>
        <v>395.4366900361893</v>
      </c>
      <c r="AL80" s="884">
        <f t="shared" si="19"/>
        <v>395.4366900361893</v>
      </c>
      <c r="AM80" s="886">
        <f t="shared" si="20"/>
        <v>0</v>
      </c>
      <c r="AN80" s="884">
        <f t="shared" si="21"/>
        <v>13679.01697549752</v>
      </c>
      <c r="AO80" s="884">
        <f t="shared" si="22"/>
        <v>681.06372503454065</v>
      </c>
      <c r="AP80" s="897">
        <f t="shared" si="23"/>
        <v>454.04248335636044</v>
      </c>
      <c r="AR80" s="899">
        <v>501</v>
      </c>
      <c r="AS80" s="885">
        <v>1</v>
      </c>
      <c r="AT80" s="885">
        <f t="shared" si="24"/>
        <v>0.05</v>
      </c>
      <c r="AU80" s="884">
        <f t="shared" si="25"/>
        <v>12.525</v>
      </c>
      <c r="AV80" s="884">
        <f t="shared" si="26"/>
        <v>12.525</v>
      </c>
      <c r="AW80" s="886">
        <f t="shared" si="27"/>
        <v>0</v>
      </c>
      <c r="AX80" s="884">
        <f t="shared" si="44"/>
        <v>103.91325781250549</v>
      </c>
      <c r="AY80" s="884">
        <f t="shared" si="49"/>
        <v>5.6511342579223198</v>
      </c>
      <c r="AZ80" s="900">
        <f t="shared" si="47"/>
        <v>3.76742283861488</v>
      </c>
      <c r="BB80" s="1605">
        <f t="shared" si="31"/>
        <v>457.66467940490338</v>
      </c>
      <c r="BC80" s="1606">
        <f t="shared" si="32"/>
        <v>454.04248335636044</v>
      </c>
      <c r="BD80" s="1607">
        <f t="shared" si="48"/>
        <v>3.76742283861488</v>
      </c>
      <c r="BE80" s="1606">
        <f t="shared" si="34"/>
        <v>915.47458559987865</v>
      </c>
      <c r="BF80" s="1608">
        <v>0</v>
      </c>
      <c r="BG80" s="1609">
        <f t="shared" si="35"/>
        <v>915.47458559987865</v>
      </c>
      <c r="BI80" s="1605">
        <f t="shared" si="36"/>
        <v>457.66467940490338</v>
      </c>
      <c r="BJ80" s="1606">
        <f t="shared" si="37"/>
        <v>454.04248335636044</v>
      </c>
      <c r="BK80" s="1607">
        <f t="shared" si="38"/>
        <v>3.76742283861488</v>
      </c>
      <c r="BL80" s="1606">
        <f t="shared" si="39"/>
        <v>915.47458559987865</v>
      </c>
      <c r="BM80" s="1608">
        <v>0</v>
      </c>
      <c r="BN80" s="1609">
        <f t="shared" si="40"/>
        <v>915.47458559987865</v>
      </c>
      <c r="BO80" s="104"/>
      <c r="BP80" s="104"/>
      <c r="BQ80" s="104"/>
      <c r="BR80" s="104"/>
      <c r="BS80" s="104"/>
      <c r="BU80" s="314"/>
    </row>
    <row r="81" spans="1:73">
      <c r="A81" s="819">
        <f>'Input data'!A111</f>
        <v>2011</v>
      </c>
      <c r="B81" s="867">
        <f>'Input data'!B111</f>
        <v>51.771000000000001</v>
      </c>
      <c r="C81" s="867">
        <f>'Baseline data (from input)'!B67</f>
        <v>540.11328347347217</v>
      </c>
      <c r="D81" s="868">
        <f>'Baseline data (from input)'!T67</f>
        <v>0.71617961202756764</v>
      </c>
      <c r="E81" s="868">
        <f t="shared" si="46"/>
        <v>0.24001298204245269</v>
      </c>
      <c r="F81" s="868">
        <f t="shared" si="46"/>
        <v>0.30440139352934503</v>
      </c>
      <c r="G81" s="868">
        <f t="shared" si="46"/>
        <v>5.8998240613430578E-2</v>
      </c>
      <c r="H81" s="868">
        <f t="shared" si="46"/>
        <v>0</v>
      </c>
      <c r="I81" s="868">
        <f t="shared" si="46"/>
        <v>0</v>
      </c>
      <c r="J81" s="868">
        <f t="shared" si="46"/>
        <v>0</v>
      </c>
      <c r="K81" s="868">
        <f t="shared" si="46"/>
        <v>0.39658738381477154</v>
      </c>
      <c r="L81" s="875">
        <f t="shared" si="42"/>
        <v>0.99999999999999989</v>
      </c>
      <c r="N81" s="891">
        <f t="shared" si="1"/>
        <v>20025.960984172027</v>
      </c>
      <c r="O81" s="885">
        <f>Parameters!R182</f>
        <v>0.73</v>
      </c>
      <c r="P81" s="885">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884">
        <f t="shared" si="2"/>
        <v>880.65676637625506</v>
      </c>
      <c r="R81" s="884">
        <f t="shared" si="3"/>
        <v>880.65676637625506</v>
      </c>
      <c r="S81" s="886">
        <f t="shared" si="4"/>
        <v>0</v>
      </c>
      <c r="T81" s="884">
        <f t="shared" si="5"/>
        <v>14501.896523385154</v>
      </c>
      <c r="U81" s="884">
        <f t="shared" si="6"/>
        <v>698.37589634253345</v>
      </c>
      <c r="V81" s="897">
        <f t="shared" si="7"/>
        <v>465.58393089502232</v>
      </c>
      <c r="W81" s="1450">
        <f t="shared" si="50"/>
        <v>3.3303694900625028E-2</v>
      </c>
      <c r="X81" s="891">
        <f>'Baseline data (from input)'!AS67*W81</f>
        <v>2103.8640096556378</v>
      </c>
      <c r="Y81" s="885">
        <f>Parameters!S182</f>
        <v>0.71500000000000008</v>
      </c>
      <c r="Z81" s="885">
        <f t="shared" si="9"/>
        <v>0.4</v>
      </c>
      <c r="AA81" s="884">
        <f t="shared" si="10"/>
        <v>300.85255338075626</v>
      </c>
      <c r="AB81" s="884">
        <f t="shared" si="11"/>
        <v>300.85255338075626</v>
      </c>
      <c r="AC81" s="886">
        <f t="shared" si="12"/>
        <v>0</v>
      </c>
      <c r="AD81" s="884">
        <f t="shared" si="13"/>
        <v>13312.735998718759</v>
      </c>
      <c r="AE81" s="884">
        <f t="shared" si="14"/>
        <v>667.13353015951634</v>
      </c>
      <c r="AF81" s="897">
        <f t="shared" si="15"/>
        <v>444.75568677301089</v>
      </c>
      <c r="AG81" s="1450">
        <f t="shared" si="51"/>
        <v>3.3303694900625028E-2</v>
      </c>
      <c r="AH81" s="891">
        <f>'Baseline data (from input)'!AS67*AG81</f>
        <v>2103.8640096556378</v>
      </c>
      <c r="AI81" s="885">
        <f>Parameters!S182</f>
        <v>0.71500000000000008</v>
      </c>
      <c r="AJ81" s="885">
        <f t="shared" si="17"/>
        <v>0.4</v>
      </c>
      <c r="AK81" s="884">
        <f t="shared" si="18"/>
        <v>300.85255338075626</v>
      </c>
      <c r="AL81" s="884">
        <f t="shared" si="19"/>
        <v>300.85255338075626</v>
      </c>
      <c r="AM81" s="886">
        <f t="shared" si="20"/>
        <v>0</v>
      </c>
      <c r="AN81" s="884">
        <f t="shared" si="21"/>
        <v>13312.735998718759</v>
      </c>
      <c r="AO81" s="884">
        <f t="shared" si="22"/>
        <v>667.13353015951634</v>
      </c>
      <c r="AP81" s="897">
        <f t="shared" si="23"/>
        <v>444.75568677301089</v>
      </c>
      <c r="AR81" s="899">
        <v>501</v>
      </c>
      <c r="AS81" s="885">
        <v>1</v>
      </c>
      <c r="AT81" s="885">
        <f t="shared" si="24"/>
        <v>0.05</v>
      </c>
      <c r="AU81" s="884">
        <f t="shared" si="25"/>
        <v>12.525</v>
      </c>
      <c r="AV81" s="884">
        <f t="shared" si="26"/>
        <v>12.525</v>
      </c>
      <c r="AW81" s="886">
        <f t="shared" si="27"/>
        <v>0</v>
      </c>
      <c r="AX81" s="884">
        <f t="shared" si="44"/>
        <v>110.38682077701402</v>
      </c>
      <c r="AY81" s="884">
        <f t="shared" si="49"/>
        <v>6.0514370354914675</v>
      </c>
      <c r="AZ81" s="900">
        <f t="shared" si="47"/>
        <v>4.034291356994312</v>
      </c>
      <c r="BB81" s="1605">
        <f t="shared" si="31"/>
        <v>465.58393089502232</v>
      </c>
      <c r="BC81" s="1606">
        <f t="shared" si="32"/>
        <v>444.75568677301089</v>
      </c>
      <c r="BD81" s="1607">
        <f t="shared" si="48"/>
        <v>4.034291356994312</v>
      </c>
      <c r="BE81" s="1606">
        <f t="shared" si="34"/>
        <v>914.37390902502761</v>
      </c>
      <c r="BF81" s="1608">
        <v>0</v>
      </c>
      <c r="BG81" s="1609">
        <f t="shared" si="35"/>
        <v>914.37390902502761</v>
      </c>
      <c r="BI81" s="1605">
        <f t="shared" si="36"/>
        <v>465.58393089502232</v>
      </c>
      <c r="BJ81" s="1606">
        <f t="shared" si="37"/>
        <v>444.75568677301089</v>
      </c>
      <c r="BK81" s="1607">
        <f t="shared" si="38"/>
        <v>4.034291356994312</v>
      </c>
      <c r="BL81" s="1606">
        <f t="shared" si="39"/>
        <v>914.37390902502761</v>
      </c>
      <c r="BM81" s="1608">
        <v>0</v>
      </c>
      <c r="BN81" s="1609">
        <f t="shared" si="40"/>
        <v>914.37390902502761</v>
      </c>
      <c r="BU81" s="314"/>
    </row>
    <row r="82" spans="1:73">
      <c r="A82" s="819">
        <f>'Input data'!A112</f>
        <v>2012</v>
      </c>
      <c r="B82" s="867">
        <f>'Input data'!B112</f>
        <v>52.325432882070082</v>
      </c>
      <c r="C82" s="867">
        <f>'Baseline data (from input)'!B68</f>
        <v>520.80492521020824</v>
      </c>
      <c r="D82" s="868">
        <f>'Baseline data (from input)'!T68</f>
        <v>0.67426941804135143</v>
      </c>
      <c r="E82" s="868">
        <f t="shared" si="46"/>
        <v>0.24001298204245269</v>
      </c>
      <c r="F82" s="868">
        <f t="shared" si="46"/>
        <v>0.30440139352934503</v>
      </c>
      <c r="G82" s="868">
        <f t="shared" si="46"/>
        <v>5.8998240613430578E-2</v>
      </c>
      <c r="H82" s="868">
        <f t="shared" si="46"/>
        <v>0</v>
      </c>
      <c r="I82" s="868">
        <f t="shared" si="46"/>
        <v>0</v>
      </c>
      <c r="J82" s="868">
        <f t="shared" si="46"/>
        <v>0</v>
      </c>
      <c r="K82" s="868">
        <f t="shared" si="46"/>
        <v>0.39658738381477154</v>
      </c>
      <c r="L82" s="875">
        <f t="shared" si="42"/>
        <v>0.99999999999999989</v>
      </c>
      <c r="N82" s="891">
        <f t="shared" si="1"/>
        <v>18374.747292487624</v>
      </c>
      <c r="O82" s="885">
        <f>Parameters!R183</f>
        <v>0.73</v>
      </c>
      <c r="P82" s="885">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884">
        <f t="shared" si="2"/>
        <v>808.04339658769368</v>
      </c>
      <c r="R82" s="884">
        <f t="shared" si="3"/>
        <v>808.04339658769368</v>
      </c>
      <c r="S82" s="886">
        <f t="shared" si="4"/>
        <v>0</v>
      </c>
      <c r="T82" s="884">
        <f t="shared" si="5"/>
        <v>14602.674080696259</v>
      </c>
      <c r="U82" s="884">
        <f t="shared" si="6"/>
        <v>707.26583927658862</v>
      </c>
      <c r="V82" s="897">
        <f t="shared" si="7"/>
        <v>471.51055951772577</v>
      </c>
      <c r="W82" s="1451">
        <f>D13</f>
        <v>2.197312110627072E-2</v>
      </c>
      <c r="X82" s="891">
        <f>'Baseline data (from input)'!AS68*W82</f>
        <v>1400.460841636607</v>
      </c>
      <c r="Y82" s="885">
        <f>Parameters!S183</f>
        <v>0.71500000000000008</v>
      </c>
      <c r="Z82" s="885">
        <f t="shared" si="9"/>
        <v>0.4</v>
      </c>
      <c r="AA82" s="884">
        <f t="shared" si="10"/>
        <v>200.26590035403484</v>
      </c>
      <c r="AB82" s="884">
        <f t="shared" si="11"/>
        <v>200.26590035403484</v>
      </c>
      <c r="AC82" s="886">
        <f t="shared" si="12"/>
        <v>0</v>
      </c>
      <c r="AD82" s="884">
        <f t="shared" si="13"/>
        <v>12863.73210294522</v>
      </c>
      <c r="AE82" s="884">
        <f t="shared" si="14"/>
        <v>649.26979612757566</v>
      </c>
      <c r="AF82" s="897">
        <f t="shared" si="15"/>
        <v>432.84653075171713</v>
      </c>
      <c r="AG82" s="1451">
        <f>$D$13</f>
        <v>2.197312110627072E-2</v>
      </c>
      <c r="AH82" s="891">
        <f>'Baseline data (from input)'!AS68*AG82</f>
        <v>1400.460841636607</v>
      </c>
      <c r="AI82" s="885">
        <f>Parameters!S183</f>
        <v>0.71500000000000008</v>
      </c>
      <c r="AJ82" s="885">
        <f t="shared" si="17"/>
        <v>0.4</v>
      </c>
      <c r="AK82" s="884">
        <f t="shared" si="18"/>
        <v>200.26590035403484</v>
      </c>
      <c r="AL82" s="884">
        <f t="shared" si="19"/>
        <v>200.26590035403484</v>
      </c>
      <c r="AM82" s="886">
        <f t="shared" si="20"/>
        <v>0</v>
      </c>
      <c r="AN82" s="884">
        <f t="shared" si="21"/>
        <v>12863.73210294522</v>
      </c>
      <c r="AO82" s="884">
        <f t="shared" si="22"/>
        <v>649.26979612757566</v>
      </c>
      <c r="AP82" s="897">
        <f t="shared" si="23"/>
        <v>432.84653075171713</v>
      </c>
      <c r="AR82" s="899">
        <v>501</v>
      </c>
      <c r="AS82" s="885">
        <v>1</v>
      </c>
      <c r="AT82" s="885">
        <f t="shared" si="24"/>
        <v>0.05</v>
      </c>
      <c r="AU82" s="884">
        <f t="shared" si="25"/>
        <v>12.525</v>
      </c>
      <c r="AV82" s="884">
        <f t="shared" si="26"/>
        <v>12.525</v>
      </c>
      <c r="AW82" s="886">
        <f t="shared" si="27"/>
        <v>0</v>
      </c>
      <c r="AX82" s="884">
        <f t="shared" si="44"/>
        <v>116.48339278291267</v>
      </c>
      <c r="AY82" s="884">
        <f t="shared" si="49"/>
        <v>6.428427994101356</v>
      </c>
      <c r="AZ82" s="900">
        <f t="shared" si="47"/>
        <v>4.2856186627342376</v>
      </c>
      <c r="BB82" s="1605">
        <f t="shared" si="31"/>
        <v>471.51055951772577</v>
      </c>
      <c r="BC82" s="1606">
        <f t="shared" si="32"/>
        <v>432.84653075171713</v>
      </c>
      <c r="BD82" s="1607">
        <f t="shared" si="48"/>
        <v>4.2856186627342376</v>
      </c>
      <c r="BE82" s="1606">
        <f t="shared" si="34"/>
        <v>908.64270893217713</v>
      </c>
      <c r="BF82" s="1608">
        <v>0</v>
      </c>
      <c r="BG82" s="1609">
        <f t="shared" si="35"/>
        <v>908.64270893217713</v>
      </c>
      <c r="BI82" s="1605">
        <f t="shared" si="36"/>
        <v>471.51055951772577</v>
      </c>
      <c r="BJ82" s="1606">
        <f t="shared" si="37"/>
        <v>432.84653075171713</v>
      </c>
      <c r="BK82" s="1607">
        <f t="shared" si="38"/>
        <v>4.2856186627342376</v>
      </c>
      <c r="BL82" s="1606">
        <f t="shared" si="39"/>
        <v>908.64270893217713</v>
      </c>
      <c r="BM82" s="1608">
        <v>0</v>
      </c>
      <c r="BN82" s="1609">
        <f t="shared" si="40"/>
        <v>908.64270893217713</v>
      </c>
      <c r="BU82" s="314"/>
    </row>
    <row r="83" spans="1:73">
      <c r="A83" s="819">
        <f>'Input data'!A113</f>
        <v>2013</v>
      </c>
      <c r="B83" s="867">
        <f>'Input data'!B113</f>
        <v>53.104386458423342</v>
      </c>
      <c r="C83" s="867">
        <f>'Baseline data (from input)'!B69</f>
        <v>501.49656694694431</v>
      </c>
      <c r="D83" s="868">
        <f>'Baseline data (from input)'!T69</f>
        <v>0.63235922405513523</v>
      </c>
      <c r="E83" s="868">
        <f t="shared" si="46"/>
        <v>0.24001298204245269</v>
      </c>
      <c r="F83" s="868">
        <f t="shared" si="46"/>
        <v>0.30440139352934503</v>
      </c>
      <c r="G83" s="868">
        <f t="shared" si="46"/>
        <v>5.8998240613430578E-2</v>
      </c>
      <c r="H83" s="868">
        <f t="shared" si="46"/>
        <v>0</v>
      </c>
      <c r="I83" s="868">
        <f t="shared" si="46"/>
        <v>0</v>
      </c>
      <c r="J83" s="868">
        <f t="shared" si="46"/>
        <v>0</v>
      </c>
      <c r="K83" s="868">
        <f t="shared" si="46"/>
        <v>0.39658738381477154</v>
      </c>
      <c r="L83" s="875">
        <f t="shared" si="42"/>
        <v>0.99999999999999989</v>
      </c>
      <c r="N83" s="891">
        <f t="shared" si="1"/>
        <v>16840.780594786906</v>
      </c>
      <c r="O83" s="885">
        <f>Parameters!R184</f>
        <v>0.73</v>
      </c>
      <c r="P83" s="885">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884">
        <f t="shared" si="2"/>
        <v>740.58605195421069</v>
      </c>
      <c r="R83" s="884">
        <f t="shared" si="3"/>
        <v>740.58605195421069</v>
      </c>
      <c r="S83" s="886">
        <f t="shared" si="4"/>
        <v>0</v>
      </c>
      <c r="T83" s="884">
        <f t="shared" si="5"/>
        <v>14631.079313906406</v>
      </c>
      <c r="U83" s="884">
        <f t="shared" si="6"/>
        <v>712.18081874406346</v>
      </c>
      <c r="V83" s="897">
        <f t="shared" si="7"/>
        <v>474.78721249604229</v>
      </c>
      <c r="W83" s="1451">
        <f>W82</f>
        <v>2.197312110627072E-2</v>
      </c>
      <c r="X83" s="891">
        <f>'Baseline data (from input)'!AS69*W83</f>
        <v>1433.3081640211221</v>
      </c>
      <c r="Y83" s="885">
        <f>Parameters!S184</f>
        <v>0.71500000000000008</v>
      </c>
      <c r="Z83" s="885">
        <f t="shared" si="9"/>
        <v>0.4</v>
      </c>
      <c r="AA83" s="884">
        <f t="shared" si="10"/>
        <v>204.96306745502051</v>
      </c>
      <c r="AB83" s="884">
        <f t="shared" si="11"/>
        <v>204.96306745502051</v>
      </c>
      <c r="AC83" s="886">
        <f t="shared" si="12"/>
        <v>0</v>
      </c>
      <c r="AD83" s="884">
        <f t="shared" si="13"/>
        <v>12441.323552670961</v>
      </c>
      <c r="AE83" s="884">
        <f t="shared" si="14"/>
        <v>627.37161772927868</v>
      </c>
      <c r="AF83" s="897">
        <f t="shared" si="15"/>
        <v>418.24774515285247</v>
      </c>
      <c r="AG83" s="1451">
        <f>AG82</f>
        <v>2.197312110627072E-2</v>
      </c>
      <c r="AH83" s="891">
        <f>'Baseline data (from input)'!AS69*AG83</f>
        <v>1433.3081640211221</v>
      </c>
      <c r="AI83" s="885">
        <f>Parameters!S184</f>
        <v>0.71500000000000008</v>
      </c>
      <c r="AJ83" s="885">
        <f t="shared" si="17"/>
        <v>0.4</v>
      </c>
      <c r="AK83" s="884">
        <f t="shared" si="18"/>
        <v>204.96306745502051</v>
      </c>
      <c r="AL83" s="884">
        <f t="shared" si="19"/>
        <v>204.96306745502051</v>
      </c>
      <c r="AM83" s="886">
        <f t="shared" si="20"/>
        <v>0</v>
      </c>
      <c r="AN83" s="884">
        <f t="shared" si="21"/>
        <v>12441.323552670961</v>
      </c>
      <c r="AO83" s="884">
        <f t="shared" si="22"/>
        <v>627.37161772927868</v>
      </c>
      <c r="AP83" s="897">
        <f t="shared" si="23"/>
        <v>418.24774515285247</v>
      </c>
      <c r="AR83" s="899">
        <v>501</v>
      </c>
      <c r="AS83" s="885">
        <v>1</v>
      </c>
      <c r="AT83" s="885">
        <f t="shared" si="24"/>
        <v>0.05</v>
      </c>
      <c r="AU83" s="884">
        <f t="shared" si="25"/>
        <v>12.525</v>
      </c>
      <c r="AV83" s="884">
        <f t="shared" si="26"/>
        <v>12.525</v>
      </c>
      <c r="AW83" s="886">
        <f t="shared" si="27"/>
        <v>0</v>
      </c>
      <c r="AX83" s="884">
        <f t="shared" si="44"/>
        <v>122.2249280745106</v>
      </c>
      <c r="AY83" s="884">
        <f t="shared" si="49"/>
        <v>6.783464708402076</v>
      </c>
      <c r="AZ83" s="900">
        <f t="shared" si="47"/>
        <v>4.5223098056013837</v>
      </c>
      <c r="BB83" s="1605">
        <f t="shared" si="31"/>
        <v>474.78721249604229</v>
      </c>
      <c r="BC83" s="1606">
        <f t="shared" si="32"/>
        <v>418.24774515285247</v>
      </c>
      <c r="BD83" s="1607">
        <f t="shared" si="48"/>
        <v>4.5223098056013837</v>
      </c>
      <c r="BE83" s="1606">
        <f t="shared" si="34"/>
        <v>897.55726745449613</v>
      </c>
      <c r="BF83" s="1608">
        <v>0</v>
      </c>
      <c r="BG83" s="1609">
        <f t="shared" si="35"/>
        <v>897.55726745449613</v>
      </c>
      <c r="BI83" s="1605">
        <f t="shared" si="36"/>
        <v>474.78721249604229</v>
      </c>
      <c r="BJ83" s="1606">
        <f t="shared" si="37"/>
        <v>418.24774515285247</v>
      </c>
      <c r="BK83" s="1607">
        <f t="shared" si="38"/>
        <v>4.5223098056013837</v>
      </c>
      <c r="BL83" s="1606">
        <f t="shared" si="39"/>
        <v>897.55726745449613</v>
      </c>
      <c r="BM83" s="1608">
        <v>0</v>
      </c>
      <c r="BN83" s="1609">
        <f t="shared" si="40"/>
        <v>897.55726745449613</v>
      </c>
      <c r="BU83" s="314"/>
    </row>
    <row r="84" spans="1:73">
      <c r="A84" s="819">
        <f>'Input data'!A114</f>
        <v>2014</v>
      </c>
      <c r="B84" s="867">
        <f>'Input data'!B114</f>
        <v>53.912365691429272</v>
      </c>
      <c r="C84" s="867">
        <f>'Baseline data (from input)'!B70</f>
        <v>482.18820868368039</v>
      </c>
      <c r="D84" s="868">
        <f>'Baseline data (from input)'!T70</f>
        <v>0.59044903006891902</v>
      </c>
      <c r="E84" s="868">
        <f t="shared" si="46"/>
        <v>0.24001298204245269</v>
      </c>
      <c r="F84" s="868">
        <f t="shared" si="46"/>
        <v>0.30440139352934503</v>
      </c>
      <c r="G84" s="868">
        <f t="shared" si="46"/>
        <v>5.8998240613430578E-2</v>
      </c>
      <c r="H84" s="868">
        <f t="shared" si="46"/>
        <v>0</v>
      </c>
      <c r="I84" s="868">
        <f t="shared" si="46"/>
        <v>0</v>
      </c>
      <c r="J84" s="868">
        <f t="shared" si="46"/>
        <v>0</v>
      </c>
      <c r="K84" s="868">
        <f t="shared" si="46"/>
        <v>0.39658738381477154</v>
      </c>
      <c r="L84" s="875">
        <f t="shared" si="42"/>
        <v>0.99999999999999989</v>
      </c>
      <c r="N84" s="891">
        <f t="shared" si="1"/>
        <v>15349.258096732552</v>
      </c>
      <c r="O84" s="885">
        <f>Parameters!R185</f>
        <v>0.73</v>
      </c>
      <c r="P84" s="885">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884">
        <f t="shared" si="2"/>
        <v>674.9952230720337</v>
      </c>
      <c r="R84" s="884">
        <f t="shared" si="3"/>
        <v>674.9952230720337</v>
      </c>
      <c r="S84" s="886">
        <f t="shared" si="4"/>
        <v>0</v>
      </c>
      <c r="T84" s="884">
        <f t="shared" si="5"/>
        <v>14592.508378663526</v>
      </c>
      <c r="U84" s="884">
        <f t="shared" si="6"/>
        <v>713.56615831491376</v>
      </c>
      <c r="V84" s="897">
        <f t="shared" si="7"/>
        <v>475.71077220994249</v>
      </c>
      <c r="W84" s="1451">
        <f t="shared" ref="W84:W87" si="52">W83</f>
        <v>2.197312110627072E-2</v>
      </c>
      <c r="X84" s="891">
        <f>'Baseline data (from input)'!AS70*W84</f>
        <v>1458.0956603669374</v>
      </c>
      <c r="Y84" s="885">
        <f>Parameters!S185</f>
        <v>0.71500000000000008</v>
      </c>
      <c r="Z84" s="885">
        <f t="shared" si="9"/>
        <v>0.4</v>
      </c>
      <c r="AA84" s="884">
        <f t="shared" si="10"/>
        <v>208.50767943247209</v>
      </c>
      <c r="AB84" s="884">
        <f t="shared" si="11"/>
        <v>208.50767943247209</v>
      </c>
      <c r="AC84" s="886">
        <f t="shared" si="12"/>
        <v>0</v>
      </c>
      <c r="AD84" s="884">
        <f t="shared" si="13"/>
        <v>12043.060722466849</v>
      </c>
      <c r="AE84" s="884">
        <f t="shared" si="14"/>
        <v>606.77050963658405</v>
      </c>
      <c r="AF84" s="897">
        <f t="shared" si="15"/>
        <v>404.51367309105603</v>
      </c>
      <c r="AG84" s="1451">
        <f t="shared" ref="AG84:AG87" si="53">AG83</f>
        <v>2.197312110627072E-2</v>
      </c>
      <c r="AH84" s="891">
        <f>'Baseline data (from input)'!AS70*AG84</f>
        <v>1458.0956603669374</v>
      </c>
      <c r="AI84" s="885">
        <f>Parameters!S185</f>
        <v>0.71500000000000008</v>
      </c>
      <c r="AJ84" s="885">
        <f t="shared" si="17"/>
        <v>0.4</v>
      </c>
      <c r="AK84" s="884">
        <f t="shared" si="18"/>
        <v>208.50767943247209</v>
      </c>
      <c r="AL84" s="884">
        <f t="shared" si="19"/>
        <v>208.50767943247209</v>
      </c>
      <c r="AM84" s="886">
        <f t="shared" si="20"/>
        <v>0</v>
      </c>
      <c r="AN84" s="884">
        <f t="shared" si="21"/>
        <v>12043.060722466849</v>
      </c>
      <c r="AO84" s="884">
        <f t="shared" si="22"/>
        <v>606.77050963658405</v>
      </c>
      <c r="AP84" s="897">
        <f t="shared" si="23"/>
        <v>404.51367309105603</v>
      </c>
      <c r="AR84" s="899">
        <v>501</v>
      </c>
      <c r="AS84" s="885">
        <v>1</v>
      </c>
      <c r="AT84" s="885">
        <f t="shared" si="24"/>
        <v>0.05</v>
      </c>
      <c r="AU84" s="884">
        <f t="shared" si="25"/>
        <v>12.525</v>
      </c>
      <c r="AV84" s="884">
        <f t="shared" si="26"/>
        <v>12.525</v>
      </c>
      <c r="AW84" s="886">
        <f t="shared" si="27"/>
        <v>0</v>
      </c>
      <c r="AX84" s="884">
        <f t="shared" si="44"/>
        <v>127.63210238045983</v>
      </c>
      <c r="AY84" s="884">
        <f t="shared" si="49"/>
        <v>7.1178256940507776</v>
      </c>
      <c r="AZ84" s="900">
        <f t="shared" si="47"/>
        <v>4.7452171293671848</v>
      </c>
      <c r="BB84" s="1605">
        <f t="shared" si="31"/>
        <v>475.71077220994249</v>
      </c>
      <c r="BC84" s="1606">
        <f t="shared" si="32"/>
        <v>404.51367309105603</v>
      </c>
      <c r="BD84" s="1607">
        <f t="shared" si="48"/>
        <v>4.7452171293671848</v>
      </c>
      <c r="BE84" s="1606">
        <f t="shared" ref="BE84:BE120" si="54">SUM(BB84:BD84)</f>
        <v>884.9696624303657</v>
      </c>
      <c r="BF84" s="1608">
        <v>0</v>
      </c>
      <c r="BG84" s="1609">
        <f t="shared" si="35"/>
        <v>884.9696624303657</v>
      </c>
      <c r="BI84" s="1605">
        <f t="shared" si="36"/>
        <v>475.71077220994249</v>
      </c>
      <c r="BJ84" s="1606">
        <f t="shared" si="37"/>
        <v>404.51367309105603</v>
      </c>
      <c r="BK84" s="1607">
        <f t="shared" si="38"/>
        <v>4.7452171293671848</v>
      </c>
      <c r="BL84" s="1606">
        <f t="shared" ref="BL84:BL120" si="55">SUM(BI84:BK84)</f>
        <v>884.9696624303657</v>
      </c>
      <c r="BM84" s="1608">
        <v>0</v>
      </c>
      <c r="BN84" s="1609">
        <f t="shared" si="40"/>
        <v>884.9696624303657</v>
      </c>
      <c r="BU84" s="314"/>
    </row>
    <row r="85" spans="1:73">
      <c r="A85" s="819">
        <f>'Input data'!A115</f>
        <v>2015</v>
      </c>
      <c r="B85" s="867">
        <f>'Input data'!B115</f>
        <v>54.750491457321111</v>
      </c>
      <c r="C85" s="867">
        <f>'Baseline data (from input)'!B71</f>
        <v>462.87985042041646</v>
      </c>
      <c r="D85" s="868">
        <f>'Baseline data (from input)'!T71</f>
        <v>0.54853883608270282</v>
      </c>
      <c r="E85" s="868">
        <f t="shared" si="46"/>
        <v>0.24001298204245269</v>
      </c>
      <c r="F85" s="868">
        <f t="shared" si="46"/>
        <v>0.30440139352934503</v>
      </c>
      <c r="G85" s="868">
        <f t="shared" si="46"/>
        <v>5.8998240613430578E-2</v>
      </c>
      <c r="H85" s="868">
        <f t="shared" si="46"/>
        <v>0</v>
      </c>
      <c r="I85" s="868">
        <f t="shared" si="46"/>
        <v>0</v>
      </c>
      <c r="J85" s="868">
        <f t="shared" si="46"/>
        <v>0</v>
      </c>
      <c r="K85" s="868">
        <f t="shared" si="46"/>
        <v>0.39658738381477154</v>
      </c>
      <c r="L85" s="875">
        <f t="shared" si="42"/>
        <v>0.99999999999999989</v>
      </c>
      <c r="N85" s="891">
        <f t="shared" ref="N85:N120" si="56">B85*C85*D85</f>
        <v>13901.564482903679</v>
      </c>
      <c r="O85" s="885">
        <f>Parameters!R186</f>
        <v>0.73</v>
      </c>
      <c r="P85" s="885">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884">
        <f t="shared" ref="Q85:Q120" si="57">N85*P85*O85*$C$4</f>
        <v>611.33180249183022</v>
      </c>
      <c r="R85" s="884">
        <f t="shared" ref="R85:R120" si="58">Q85*$C$10</f>
        <v>611.33180249183022</v>
      </c>
      <c r="S85" s="886">
        <f t="shared" ref="S85:S120" si="59">Q85*(1-$C$10)</f>
        <v>0</v>
      </c>
      <c r="T85" s="884">
        <f t="shared" ref="T85:T115" si="60">R85+(T84*$C$8)</f>
        <v>14492.155149549782</v>
      </c>
      <c r="U85" s="884">
        <f t="shared" ref="U85:U120" si="61">S85+T84*(1-$C$8)</f>
        <v>711.68503160557282</v>
      </c>
      <c r="V85" s="897">
        <f t="shared" ref="V85:V120" si="62">U85*16/12*$C$11</f>
        <v>474.45668773704853</v>
      </c>
      <c r="W85" s="1451">
        <f t="shared" si="52"/>
        <v>2.197312110627072E-2</v>
      </c>
      <c r="X85" s="891">
        <f>'Baseline data (from input)'!AS71*W85</f>
        <v>1471.284431810355</v>
      </c>
      <c r="Y85" s="885">
        <f>Parameters!S186</f>
        <v>0.71500000000000008</v>
      </c>
      <c r="Z85" s="885">
        <f t="shared" ref="Z85:Z120" si="63">$D$3</f>
        <v>0.4</v>
      </c>
      <c r="AA85" s="884">
        <f t="shared" ref="AA85:AA119" si="64">X85*Z85*Y85*$D$4</f>
        <v>210.39367374888081</v>
      </c>
      <c r="AB85" s="884">
        <f t="shared" ref="AB85:AB120" si="65">AA85*$D$10</f>
        <v>210.39367374888081</v>
      </c>
      <c r="AC85" s="886">
        <f t="shared" ref="AC85:AC120" si="66">AA85*(1-$D$10)</f>
        <v>0</v>
      </c>
      <c r="AD85" s="884">
        <f t="shared" ref="AD85:AD120" si="67">AB85+(AD84*$D$8)</f>
        <v>11666.107394008175</v>
      </c>
      <c r="AE85" s="884">
        <f t="shared" ref="AE85:AE120" si="68">AC85+AD84*(1-$D$8)</f>
        <v>587.34700220755508</v>
      </c>
      <c r="AF85" s="897">
        <f t="shared" ref="AF85:AF120" si="69">AE85*16/12*$D$11</f>
        <v>391.56466813837005</v>
      </c>
      <c r="AG85" s="1451">
        <f t="shared" si="53"/>
        <v>2.197312110627072E-2</v>
      </c>
      <c r="AH85" s="891">
        <f>'Baseline data (from input)'!AS71*AG85</f>
        <v>1471.284431810355</v>
      </c>
      <c r="AI85" s="885">
        <f>Parameters!S186</f>
        <v>0.71500000000000008</v>
      </c>
      <c r="AJ85" s="885">
        <f t="shared" ref="AJ85:AJ120" si="70">$D$3</f>
        <v>0.4</v>
      </c>
      <c r="AK85" s="884">
        <f t="shared" ref="AK85:AK120" si="71">AH85*AJ85*AI85*$D$4</f>
        <v>210.39367374888081</v>
      </c>
      <c r="AL85" s="884">
        <f t="shared" ref="AL85:AL120" si="72">AK85*$D$10</f>
        <v>210.39367374888081</v>
      </c>
      <c r="AM85" s="886">
        <f t="shared" ref="AM85:AM120" si="73">AK85*(1-$D$10)</f>
        <v>0</v>
      </c>
      <c r="AN85" s="884">
        <f t="shared" ref="AN85:AN120" si="74">AL85+(AN84*$D$8)</f>
        <v>11666.107394008175</v>
      </c>
      <c r="AO85" s="884">
        <f t="shared" ref="AO85:AO120" si="75">AM85+AN84*(1-$D$8)</f>
        <v>587.34700220755508</v>
      </c>
      <c r="AP85" s="897">
        <f t="shared" ref="AP85:AP120" si="76">AO85*16/12*$D$11</f>
        <v>391.56466813837005</v>
      </c>
      <c r="AR85" s="899">
        <v>501</v>
      </c>
      <c r="AS85" s="885">
        <v>1</v>
      </c>
      <c r="AT85" s="885">
        <f t="shared" ref="AT85:AT120" si="77">$E$3</f>
        <v>0.05</v>
      </c>
      <c r="AU85" s="884">
        <f t="shared" ref="AU85:AU120" si="78">AR85*AT85*AS85*$E$4</f>
        <v>12.525</v>
      </c>
      <c r="AV85" s="884">
        <f t="shared" ref="AV85:AV120" si="79">AU85*$E$10</f>
        <v>12.525</v>
      </c>
      <c r="AW85" s="886">
        <f t="shared" ref="AW85:AW120" si="80">AU85*(1-$C$10)</f>
        <v>0</v>
      </c>
      <c r="AX85" s="884">
        <f t="shared" si="44"/>
        <v>132.72438736871084</v>
      </c>
      <c r="AY85" s="884">
        <f t="shared" si="49"/>
        <v>7.4327150117489973</v>
      </c>
      <c r="AZ85" s="900">
        <f t="shared" si="47"/>
        <v>4.9551433411659982</v>
      </c>
      <c r="BB85" s="1605">
        <f t="shared" ref="BB85:BB120" si="81">V85</f>
        <v>474.45668773704853</v>
      </c>
      <c r="BC85" s="1606">
        <f t="shared" ref="BC85:BC120" si="82">AF85</f>
        <v>391.56466813837005</v>
      </c>
      <c r="BD85" s="1607">
        <f t="shared" si="48"/>
        <v>4.9551433411659982</v>
      </c>
      <c r="BE85" s="1606">
        <f t="shared" si="54"/>
        <v>870.97649921658456</v>
      </c>
      <c r="BF85" s="1608">
        <v>0</v>
      </c>
      <c r="BG85" s="1609">
        <f t="shared" ref="BG85:BG120" si="83">BE85-BF85</f>
        <v>870.97649921658456</v>
      </c>
      <c r="BI85" s="1605">
        <f t="shared" ref="BI85:BI120" si="84">V85</f>
        <v>474.45668773704853</v>
      </c>
      <c r="BJ85" s="1606">
        <f t="shared" ref="BJ85:BJ120" si="85">AP85</f>
        <v>391.56466813837005</v>
      </c>
      <c r="BK85" s="1607">
        <f t="shared" ref="BK85:BK120" si="86">AZ85</f>
        <v>4.9551433411659982</v>
      </c>
      <c r="BL85" s="1606">
        <f t="shared" si="55"/>
        <v>870.97649921658456</v>
      </c>
      <c r="BM85" s="1608">
        <v>0</v>
      </c>
      <c r="BN85" s="1609">
        <f t="shared" ref="BN85:BN120" si="87">BL85-BM85</f>
        <v>870.97649921658456</v>
      </c>
      <c r="BU85" s="314"/>
    </row>
    <row r="86" spans="1:73">
      <c r="A86" s="819">
        <f>'Input data'!A116</f>
        <v>2016</v>
      </c>
      <c r="B86" s="867">
        <f>'Input data'!B116</f>
        <v>55.619940469824826</v>
      </c>
      <c r="C86" s="867">
        <f>'Baseline data (from input)'!B72</f>
        <v>443.57149215715253</v>
      </c>
      <c r="D86" s="868">
        <f>'Baseline data (from input)'!T72</f>
        <v>0.50662864209648661</v>
      </c>
      <c r="E86" s="868">
        <f t="shared" ref="E86:K87" si="88">E85</f>
        <v>0.24001298204245269</v>
      </c>
      <c r="F86" s="868">
        <f t="shared" si="88"/>
        <v>0.30440139352934503</v>
      </c>
      <c r="G86" s="868">
        <f t="shared" si="88"/>
        <v>5.8998240613430578E-2</v>
      </c>
      <c r="H86" s="868">
        <f t="shared" si="88"/>
        <v>0</v>
      </c>
      <c r="I86" s="868">
        <f t="shared" si="88"/>
        <v>0</v>
      </c>
      <c r="J86" s="868">
        <f t="shared" si="88"/>
        <v>0</v>
      </c>
      <c r="K86" s="868">
        <f t="shared" si="88"/>
        <v>0.39658738381477154</v>
      </c>
      <c r="L86" s="875">
        <f t="shared" ref="L86:L120" si="89">SUM(E86:K86)</f>
        <v>0.99999999999999989</v>
      </c>
      <c r="N86" s="891">
        <f t="shared" si="56"/>
        <v>12499.24800705794</v>
      </c>
      <c r="O86" s="885">
        <f>Parameters!R187</f>
        <v>0.73</v>
      </c>
      <c r="P86" s="885">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884">
        <f t="shared" si="57"/>
        <v>549.66387584249071</v>
      </c>
      <c r="R86" s="884">
        <f t="shared" si="58"/>
        <v>549.66387584249071</v>
      </c>
      <c r="S86" s="886">
        <f t="shared" si="59"/>
        <v>0</v>
      </c>
      <c r="T86" s="884">
        <f t="shared" si="60"/>
        <v>14335.028278523789</v>
      </c>
      <c r="U86" s="884">
        <f t="shared" si="61"/>
        <v>706.79074686848378</v>
      </c>
      <c r="V86" s="897">
        <f t="shared" si="62"/>
        <v>471.19383124565587</v>
      </c>
      <c r="W86" s="1451">
        <f t="shared" si="52"/>
        <v>2.197312110627072E-2</v>
      </c>
      <c r="X86" s="891">
        <f>'Baseline data (from input)'!AS72*W86</f>
        <v>1484.5886292092637</v>
      </c>
      <c r="Y86" s="885">
        <f>Parameters!S187</f>
        <v>0.71500000000000008</v>
      </c>
      <c r="Z86" s="885">
        <f t="shared" si="63"/>
        <v>0.4</v>
      </c>
      <c r="AA86" s="884">
        <f t="shared" si="64"/>
        <v>212.29617397692473</v>
      </c>
      <c r="AB86" s="884">
        <f t="shared" si="65"/>
        <v>212.29617397692473</v>
      </c>
      <c r="AC86" s="886">
        <f t="shared" si="66"/>
        <v>0</v>
      </c>
      <c r="AD86" s="884">
        <f t="shared" si="67"/>
        <v>11309.440796542845</v>
      </c>
      <c r="AE86" s="884">
        <f t="shared" si="68"/>
        <v>568.96277144225417</v>
      </c>
      <c r="AF86" s="897">
        <f t="shared" si="69"/>
        <v>379.30851429483613</v>
      </c>
      <c r="AG86" s="1451">
        <f t="shared" si="53"/>
        <v>2.197312110627072E-2</v>
      </c>
      <c r="AH86" s="891">
        <f>'Baseline data (from input)'!AS72*AG86</f>
        <v>1484.5886292092637</v>
      </c>
      <c r="AI86" s="885">
        <f>Parameters!S187</f>
        <v>0.71500000000000008</v>
      </c>
      <c r="AJ86" s="885">
        <f t="shared" si="70"/>
        <v>0.4</v>
      </c>
      <c r="AK86" s="884">
        <f t="shared" si="71"/>
        <v>212.29617397692473</v>
      </c>
      <c r="AL86" s="884">
        <f t="shared" si="72"/>
        <v>212.29617397692473</v>
      </c>
      <c r="AM86" s="886">
        <f t="shared" si="73"/>
        <v>0</v>
      </c>
      <c r="AN86" s="884">
        <f t="shared" si="74"/>
        <v>11309.440796542845</v>
      </c>
      <c r="AO86" s="884">
        <f t="shared" si="75"/>
        <v>568.96277144225417</v>
      </c>
      <c r="AP86" s="897">
        <f t="shared" si="76"/>
        <v>379.30851429483613</v>
      </c>
      <c r="AR86" s="899">
        <v>501</v>
      </c>
      <c r="AS86" s="885">
        <v>1</v>
      </c>
      <c r="AT86" s="885">
        <f t="shared" si="77"/>
        <v>0.05</v>
      </c>
      <c r="AU86" s="884">
        <f t="shared" si="78"/>
        <v>12.525</v>
      </c>
      <c r="AV86" s="884">
        <f t="shared" si="79"/>
        <v>12.525</v>
      </c>
      <c r="AW86" s="886">
        <f t="shared" si="80"/>
        <v>0</v>
      </c>
      <c r="AX86" s="884">
        <f t="shared" si="44"/>
        <v>137.52012076554911</v>
      </c>
      <c r="AY86" s="884">
        <f t="shared" si="49"/>
        <v>7.7292666031617232</v>
      </c>
      <c r="AZ86" s="900">
        <f t="shared" si="47"/>
        <v>5.1528444021078155</v>
      </c>
      <c r="BB86" s="1605">
        <f t="shared" si="81"/>
        <v>471.19383124565587</v>
      </c>
      <c r="BC86" s="1606">
        <f t="shared" si="82"/>
        <v>379.30851429483613</v>
      </c>
      <c r="BD86" s="1607">
        <f t="shared" si="48"/>
        <v>5.1528444021078155</v>
      </c>
      <c r="BE86" s="1606">
        <f t="shared" si="54"/>
        <v>855.6551899425998</v>
      </c>
      <c r="BF86" s="1608">
        <v>0</v>
      </c>
      <c r="BG86" s="1609">
        <f t="shared" si="83"/>
        <v>855.6551899425998</v>
      </c>
      <c r="BI86" s="1605">
        <f t="shared" si="84"/>
        <v>471.19383124565587</v>
      </c>
      <c r="BJ86" s="1606">
        <f t="shared" si="85"/>
        <v>379.30851429483613</v>
      </c>
      <c r="BK86" s="1607">
        <f t="shared" si="86"/>
        <v>5.1528444021078155</v>
      </c>
      <c r="BL86" s="1606">
        <f t="shared" si="55"/>
        <v>855.6551899425998</v>
      </c>
      <c r="BM86" s="1608">
        <v>0</v>
      </c>
      <c r="BN86" s="1609">
        <f t="shared" si="87"/>
        <v>855.6551899425998</v>
      </c>
      <c r="BU86" s="314"/>
    </row>
    <row r="87" spans="1:73" ht="13.15" customHeight="1" thickBot="1">
      <c r="A87" s="819">
        <f>'Input data'!A117</f>
        <v>2017</v>
      </c>
      <c r="B87" s="867">
        <f>'Input data'!B117</f>
        <v>56.521948041648095</v>
      </c>
      <c r="C87" s="867">
        <f>'Baseline data (from input)'!B73</f>
        <v>424.26313389388866</v>
      </c>
      <c r="D87" s="878">
        <f>'Baseline data (from input)'!T73</f>
        <v>0.46471844811027063</v>
      </c>
      <c r="E87" s="868">
        <f t="shared" si="88"/>
        <v>0.24001298204245269</v>
      </c>
      <c r="F87" s="868">
        <f t="shared" si="88"/>
        <v>0.30440139352934503</v>
      </c>
      <c r="G87" s="868">
        <f t="shared" si="88"/>
        <v>5.8998240613430578E-2</v>
      </c>
      <c r="H87" s="868">
        <f t="shared" si="88"/>
        <v>0</v>
      </c>
      <c r="I87" s="868">
        <f t="shared" si="88"/>
        <v>0</v>
      </c>
      <c r="J87" s="868">
        <f t="shared" si="88"/>
        <v>0</v>
      </c>
      <c r="K87" s="868">
        <f t="shared" si="88"/>
        <v>0.39658738381477154</v>
      </c>
      <c r="L87" s="875">
        <f t="shared" si="89"/>
        <v>0.99999999999999989</v>
      </c>
      <c r="N87" s="892">
        <f t="shared" si="56"/>
        <v>11144.031481960794</v>
      </c>
      <c r="O87" s="893">
        <f>Parameters!R188</f>
        <v>0.73</v>
      </c>
      <c r="P87" s="89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894">
        <f t="shared" si="57"/>
        <v>490.06720511717509</v>
      </c>
      <c r="R87" s="894">
        <f t="shared" si="58"/>
        <v>490.06720511717509</v>
      </c>
      <c r="S87" s="895">
        <f t="shared" si="59"/>
        <v>0</v>
      </c>
      <c r="T87" s="894">
        <f t="shared" si="60"/>
        <v>14125.96790469882</v>
      </c>
      <c r="U87" s="894">
        <f t="shared" si="61"/>
        <v>699.12757894214405</v>
      </c>
      <c r="V87" s="898">
        <f t="shared" si="62"/>
        <v>466.08505262809604</v>
      </c>
      <c r="W87" s="1451">
        <f t="shared" si="52"/>
        <v>2.197312110627072E-2</v>
      </c>
      <c r="X87" s="891">
        <f>'Baseline data (from input)'!AS73*W87</f>
        <v>1503.8340000000005</v>
      </c>
      <c r="Y87" s="885">
        <f>Parameters!S188</f>
        <v>0.71500000000000008</v>
      </c>
      <c r="Z87" s="885">
        <f t="shared" si="63"/>
        <v>0.4</v>
      </c>
      <c r="AA87" s="884">
        <f t="shared" si="64"/>
        <v>215.04826200000011</v>
      </c>
      <c r="AB87" s="884">
        <f t="shared" si="65"/>
        <v>215.04826200000011</v>
      </c>
      <c r="AC87" s="886">
        <f t="shared" si="66"/>
        <v>0</v>
      </c>
      <c r="AD87" s="884">
        <f t="shared" si="67"/>
        <v>10972.921122320347</v>
      </c>
      <c r="AE87" s="884">
        <f t="shared" si="68"/>
        <v>551.56793622249791</v>
      </c>
      <c r="AF87" s="897">
        <f t="shared" si="69"/>
        <v>367.71195748166525</v>
      </c>
      <c r="AG87" s="1451">
        <f t="shared" si="53"/>
        <v>2.197312110627072E-2</v>
      </c>
      <c r="AH87" s="891">
        <f>'Baseline data (from input)'!AS73*AG87</f>
        <v>1503.8340000000005</v>
      </c>
      <c r="AI87" s="885">
        <f>Parameters!S188</f>
        <v>0.71500000000000008</v>
      </c>
      <c r="AJ87" s="885">
        <f t="shared" si="70"/>
        <v>0.4</v>
      </c>
      <c r="AK87" s="884">
        <f t="shared" si="71"/>
        <v>215.04826200000011</v>
      </c>
      <c r="AL87" s="884">
        <f t="shared" si="72"/>
        <v>215.04826200000011</v>
      </c>
      <c r="AM87" s="886">
        <f t="shared" si="73"/>
        <v>0</v>
      </c>
      <c r="AN87" s="884">
        <f t="shared" si="74"/>
        <v>10972.921122320347</v>
      </c>
      <c r="AO87" s="884">
        <f t="shared" si="75"/>
        <v>551.56793622249791</v>
      </c>
      <c r="AP87" s="897">
        <f t="shared" si="76"/>
        <v>367.71195748166525</v>
      </c>
      <c r="AR87" s="901">
        <v>501</v>
      </c>
      <c r="AS87" s="893">
        <v>1</v>
      </c>
      <c r="AT87" s="893">
        <f t="shared" si="77"/>
        <v>0.05</v>
      </c>
      <c r="AU87" s="894">
        <f t="shared" si="78"/>
        <v>12.525</v>
      </c>
      <c r="AV87" s="894">
        <f t="shared" si="79"/>
        <v>12.525</v>
      </c>
      <c r="AW87" s="895">
        <f t="shared" si="80"/>
        <v>0</v>
      </c>
      <c r="AX87" s="894">
        <f t="shared" si="44"/>
        <v>142.03657239121691</v>
      </c>
      <c r="AY87" s="894">
        <f t="shared" si="49"/>
        <v>8.0085483743321948</v>
      </c>
      <c r="AZ87" s="902">
        <f t="shared" si="47"/>
        <v>5.3390322495547968</v>
      </c>
      <c r="BB87" s="1610">
        <f t="shared" si="81"/>
        <v>466.08505262809604</v>
      </c>
      <c r="BC87" s="1611">
        <f t="shared" si="82"/>
        <v>367.71195748166525</v>
      </c>
      <c r="BD87" s="1612">
        <f t="shared" si="48"/>
        <v>5.3390322495547968</v>
      </c>
      <c r="BE87" s="1611">
        <f t="shared" si="54"/>
        <v>839.13604235931598</v>
      </c>
      <c r="BF87" s="1613">
        <v>0</v>
      </c>
      <c r="BG87" s="1614">
        <f t="shared" si="83"/>
        <v>839.13604235931598</v>
      </c>
      <c r="BI87" s="1610">
        <f t="shared" si="84"/>
        <v>466.08505262809604</v>
      </c>
      <c r="BJ87" s="1611">
        <f t="shared" si="85"/>
        <v>367.71195748166525</v>
      </c>
      <c r="BK87" s="1612">
        <f t="shared" si="86"/>
        <v>5.3390322495547968</v>
      </c>
      <c r="BL87" s="1611">
        <f t="shared" si="55"/>
        <v>839.13604235931598</v>
      </c>
      <c r="BM87" s="1613">
        <v>0</v>
      </c>
      <c r="BN87" s="1614">
        <f t="shared" si="87"/>
        <v>839.13604235931598</v>
      </c>
      <c r="BU87" s="314"/>
    </row>
    <row r="88" spans="1:73">
      <c r="A88" s="926">
        <f>'Input data'!A118</f>
        <v>2018</v>
      </c>
      <c r="B88" s="820">
        <f>'Input data'!B118</f>
        <v>57.436000617299655</v>
      </c>
      <c r="C88" s="820">
        <f>'Recycling - Case 3'!AK98/B88</f>
        <v>414.46358774486276</v>
      </c>
      <c r="D88" s="821">
        <f>'Recycling - Case 3'!AM98</f>
        <v>0.44004755299021142</v>
      </c>
      <c r="E88" s="822">
        <f>'Recycling - Case 3'!BE98</f>
        <v>0.23669038763569289</v>
      </c>
      <c r="F88" s="822">
        <f>'Recycling - Case 3'!BF98</f>
        <v>0.30018744493813254</v>
      </c>
      <c r="G88" s="822">
        <f>'Recycling - Case 3'!BG98</f>
        <v>5.9354168810873881E-2</v>
      </c>
      <c r="H88" s="822">
        <f>'Recycling - Case 3'!BH98</f>
        <v>0</v>
      </c>
      <c r="I88" s="822">
        <f>'Recycling - Case 3'!BI98</f>
        <v>0</v>
      </c>
      <c r="J88" s="822">
        <f>'Recycling - Case 3'!BJ98</f>
        <v>0</v>
      </c>
      <c r="K88" s="822">
        <f>'Recycling - Case 3'!BK98</f>
        <v>0.40376799861530049</v>
      </c>
      <c r="L88" s="823">
        <f t="shared" si="89"/>
        <v>0.99999999999999978</v>
      </c>
      <c r="M88" s="4"/>
      <c r="N88" s="1015">
        <f>B88*C88*D88</f>
        <v>10475.389593043146</v>
      </c>
      <c r="O88" s="1016">
        <f>Parameters!R259</f>
        <v>0.75076923076923086</v>
      </c>
      <c r="P88" s="1017">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836">
        <f t="shared" si="57"/>
        <v>469.05542998665317</v>
      </c>
      <c r="R88" s="836">
        <f t="shared" si="58"/>
        <v>469.05542998665317</v>
      </c>
      <c r="S88" s="837">
        <f t="shared" si="59"/>
        <v>0</v>
      </c>
      <c r="T88" s="836">
        <f t="shared" si="60"/>
        <v>13906.091750488869</v>
      </c>
      <c r="U88" s="836">
        <f t="shared" si="61"/>
        <v>688.93158419660449</v>
      </c>
      <c r="V88" s="1018">
        <f t="shared" si="62"/>
        <v>459.28772279773631</v>
      </c>
      <c r="X88" s="1010">
        <f>'Recycling - Case 3'!AM138</f>
        <v>1226.4449721240894</v>
      </c>
      <c r="Y88" s="1011">
        <f>Parameters!S258</f>
        <v>0.71500000000000008</v>
      </c>
      <c r="Z88" s="1011">
        <f t="shared" si="63"/>
        <v>0.4</v>
      </c>
      <c r="AA88" s="1012">
        <f t="shared" si="64"/>
        <v>175.38163101374482</v>
      </c>
      <c r="AB88" s="1012">
        <f t="shared" si="65"/>
        <v>175.38163101374482</v>
      </c>
      <c r="AC88" s="1013">
        <f t="shared" si="66"/>
        <v>0</v>
      </c>
      <c r="AD88" s="1012">
        <f t="shared" si="67"/>
        <v>10613.147075290257</v>
      </c>
      <c r="AE88" s="1012">
        <f t="shared" si="68"/>
        <v>535.15567804383443</v>
      </c>
      <c r="AF88" s="1014">
        <f t="shared" si="69"/>
        <v>356.77045202922295</v>
      </c>
      <c r="AH88" s="1010">
        <f>'Recycling - Case 3'!AM178</f>
        <v>1226.4449721240894</v>
      </c>
      <c r="AI88" s="1011">
        <f>Parameters!S258</f>
        <v>0.71500000000000008</v>
      </c>
      <c r="AJ88" s="1011">
        <f t="shared" si="70"/>
        <v>0.4</v>
      </c>
      <c r="AK88" s="1012">
        <f t="shared" si="71"/>
        <v>175.38163101374482</v>
      </c>
      <c r="AL88" s="1012">
        <f t="shared" si="72"/>
        <v>175.38163101374482</v>
      </c>
      <c r="AM88" s="1013">
        <f t="shared" si="73"/>
        <v>0</v>
      </c>
      <c r="AN88" s="1012">
        <f t="shared" si="74"/>
        <v>10613.147075290257</v>
      </c>
      <c r="AO88" s="1012">
        <f t="shared" si="75"/>
        <v>535.15567804383443</v>
      </c>
      <c r="AP88" s="1014">
        <f t="shared" si="76"/>
        <v>356.77045202922295</v>
      </c>
      <c r="AR88" s="849">
        <f>'Recycling - Case 3'!G98</f>
        <v>519.97422906036013</v>
      </c>
      <c r="AS88" s="847">
        <v>1</v>
      </c>
      <c r="AT88" s="847">
        <f t="shared" si="77"/>
        <v>0.05</v>
      </c>
      <c r="AU88" s="836">
        <f t="shared" si="78"/>
        <v>12.999355726509004</v>
      </c>
      <c r="AV88" s="836">
        <f t="shared" si="79"/>
        <v>12.999355726509004</v>
      </c>
      <c r="AW88" s="837">
        <f t="shared" si="80"/>
        <v>0</v>
      </c>
      <c r="AX88" s="836">
        <f t="shared" si="44"/>
        <v>146.76436207642877</v>
      </c>
      <c r="AY88" s="836">
        <f t="shared" si="49"/>
        <v>8.2715660412971381</v>
      </c>
      <c r="AZ88" s="929">
        <f t="shared" si="47"/>
        <v>5.514377360864759</v>
      </c>
      <c r="BA88" s="4"/>
      <c r="BB88" s="1052">
        <f t="shared" si="81"/>
        <v>459.28772279773631</v>
      </c>
      <c r="BC88" s="1053">
        <f t="shared" si="82"/>
        <v>356.77045202922295</v>
      </c>
      <c r="BD88" s="1081">
        <f>AZ88</f>
        <v>5.514377360864759</v>
      </c>
      <c r="BE88" s="1053">
        <f t="shared" si="54"/>
        <v>821.57255218782393</v>
      </c>
      <c r="BF88" s="1054">
        <v>0</v>
      </c>
      <c r="BG88" s="1074">
        <f t="shared" si="83"/>
        <v>821.57255218782393</v>
      </c>
      <c r="BI88" s="1052">
        <f t="shared" si="84"/>
        <v>459.28772279773631</v>
      </c>
      <c r="BJ88" s="1053">
        <f t="shared" si="85"/>
        <v>356.77045202922295</v>
      </c>
      <c r="BK88" s="1081">
        <f t="shared" si="86"/>
        <v>5.514377360864759</v>
      </c>
      <c r="BL88" s="1053">
        <f t="shared" si="55"/>
        <v>821.57255218782393</v>
      </c>
      <c r="BM88" s="1054">
        <v>0</v>
      </c>
      <c r="BN88" s="1074">
        <f t="shared" si="87"/>
        <v>821.57255218782393</v>
      </c>
    </row>
    <row r="89" spans="1:73">
      <c r="A89" s="927">
        <f>'Input data'!A119</f>
        <v>2019</v>
      </c>
      <c r="B89" s="824">
        <f>'Input data'!B119</f>
        <v>58.364834921819444</v>
      </c>
      <c r="C89" s="824">
        <f>'Recycling - Case 3'!AK99/B89</f>
        <v>406.33320283022556</v>
      </c>
      <c r="D89" s="825">
        <f>'Recycling - Case 3'!AM99</f>
        <v>0.41821418969847352</v>
      </c>
      <c r="E89" s="826">
        <f>'Recycling - Case 3'!BE99</f>
        <v>0.23330174817357269</v>
      </c>
      <c r="F89" s="826">
        <f>'Recycling - Case 3'!BF99</f>
        <v>0.29588973334911756</v>
      </c>
      <c r="G89" s="826">
        <f>'Recycling - Case 3'!BG99</f>
        <v>5.9682776972246526E-2</v>
      </c>
      <c r="H89" s="826">
        <f>'Recycling - Case 3'!BH99</f>
        <v>0</v>
      </c>
      <c r="I89" s="826">
        <f>'Recycling - Case 3'!BI99</f>
        <v>0</v>
      </c>
      <c r="J89" s="826">
        <f>'Recycling - Case 3'!BJ99</f>
        <v>0</v>
      </c>
      <c r="K89" s="826">
        <f>'Recycling - Case 3'!BK99</f>
        <v>0.41112574150506326</v>
      </c>
      <c r="L89" s="827">
        <f t="shared" si="89"/>
        <v>1</v>
      </c>
      <c r="M89" s="4"/>
      <c r="N89" s="838">
        <f t="shared" si="56"/>
        <v>9918.1880189451058</v>
      </c>
      <c r="O89" s="833">
        <f>Parameters!R260</f>
        <v>0.77153846153846162</v>
      </c>
      <c r="P89" s="834">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832">
        <f t="shared" si="57"/>
        <v>451.66077321487109</v>
      </c>
      <c r="R89" s="832">
        <f t="shared" si="58"/>
        <v>451.66077321487109</v>
      </c>
      <c r="S89" s="835">
        <f t="shared" si="59"/>
        <v>0</v>
      </c>
      <c r="T89" s="832">
        <f t="shared" si="60"/>
        <v>13679.544426086526</v>
      </c>
      <c r="U89" s="832">
        <f t="shared" si="61"/>
        <v>678.20809761721534</v>
      </c>
      <c r="V89" s="839">
        <f t="shared" si="62"/>
        <v>452.13873174481023</v>
      </c>
      <c r="X89" s="852">
        <f>'Recycling - Case 3'!AM139</f>
        <v>1142.168429716658</v>
      </c>
      <c r="Y89" s="853">
        <f>Parameters!S259</f>
        <v>0.71500000000000008</v>
      </c>
      <c r="Z89" s="853">
        <f t="shared" si="63"/>
        <v>0.4</v>
      </c>
      <c r="AA89" s="854">
        <f t="shared" si="64"/>
        <v>163.33008544948214</v>
      </c>
      <c r="AB89" s="854">
        <f t="shared" si="65"/>
        <v>163.33008544948214</v>
      </c>
      <c r="AC89" s="855">
        <f t="shared" si="66"/>
        <v>0</v>
      </c>
      <c r="AD89" s="854">
        <f t="shared" si="67"/>
        <v>10258.86787001927</v>
      </c>
      <c r="AE89" s="854">
        <f t="shared" si="68"/>
        <v>517.60929072046974</v>
      </c>
      <c r="AF89" s="856">
        <f t="shared" si="69"/>
        <v>345.07286048031318</v>
      </c>
      <c r="AH89" s="852">
        <f>'Recycling - Case 3'!AM179</f>
        <v>1142.168429716658</v>
      </c>
      <c r="AI89" s="853">
        <f>Parameters!S259</f>
        <v>0.71500000000000008</v>
      </c>
      <c r="AJ89" s="853">
        <f t="shared" si="70"/>
        <v>0.4</v>
      </c>
      <c r="AK89" s="854">
        <f t="shared" si="71"/>
        <v>163.33008544948214</v>
      </c>
      <c r="AL89" s="854">
        <f t="shared" si="72"/>
        <v>163.33008544948214</v>
      </c>
      <c r="AM89" s="855">
        <f t="shared" si="73"/>
        <v>0</v>
      </c>
      <c r="AN89" s="854">
        <f t="shared" si="74"/>
        <v>10258.86787001927</v>
      </c>
      <c r="AO89" s="854">
        <f t="shared" si="75"/>
        <v>517.60929072046974</v>
      </c>
      <c r="AP89" s="856">
        <f t="shared" si="76"/>
        <v>345.07286048031318</v>
      </c>
      <c r="AR89" s="850">
        <f>'Recycling - Case 3'!G99</f>
        <v>539.43112442415634</v>
      </c>
      <c r="AS89" s="846">
        <v>1</v>
      </c>
      <c r="AT89" s="846">
        <f t="shared" si="77"/>
        <v>0.05</v>
      </c>
      <c r="AU89" s="832">
        <f t="shared" si="78"/>
        <v>13.48577811060391</v>
      </c>
      <c r="AV89" s="832">
        <f t="shared" si="79"/>
        <v>13.48577811060391</v>
      </c>
      <c r="AW89" s="835">
        <f t="shared" si="80"/>
        <v>0</v>
      </c>
      <c r="AX89" s="832">
        <f t="shared" si="44"/>
        <v>151.70324910830166</v>
      </c>
      <c r="AY89" s="832">
        <f t="shared" si="49"/>
        <v>8.5468910787310275</v>
      </c>
      <c r="AZ89" s="930">
        <f t="shared" si="47"/>
        <v>5.6979273858206847</v>
      </c>
      <c r="BA89" s="4"/>
      <c r="BB89" s="1055">
        <f t="shared" si="81"/>
        <v>452.13873174481023</v>
      </c>
      <c r="BC89" s="1056">
        <f t="shared" si="82"/>
        <v>345.07286048031318</v>
      </c>
      <c r="BD89" s="1082">
        <f t="shared" ref="BD89:BD120" si="90">AZ89</f>
        <v>5.6979273858206847</v>
      </c>
      <c r="BE89" s="1056">
        <f t="shared" si="54"/>
        <v>802.90951961094413</v>
      </c>
      <c r="BF89" s="167">
        <v>0</v>
      </c>
      <c r="BG89" s="1075">
        <f t="shared" si="83"/>
        <v>802.90951961094413</v>
      </c>
      <c r="BI89" s="1055">
        <f t="shared" si="84"/>
        <v>452.13873174481023</v>
      </c>
      <c r="BJ89" s="1056">
        <f t="shared" si="85"/>
        <v>345.07286048031318</v>
      </c>
      <c r="BK89" s="1082">
        <f t="shared" si="86"/>
        <v>5.6979273858206847</v>
      </c>
      <c r="BL89" s="1056">
        <f t="shared" si="55"/>
        <v>802.90951961094413</v>
      </c>
      <c r="BM89" s="167">
        <v>0</v>
      </c>
      <c r="BN89" s="1075">
        <f t="shared" si="87"/>
        <v>802.90951961094413</v>
      </c>
    </row>
    <row r="90" spans="1:73">
      <c r="A90" s="927">
        <f>'Input data'!A120</f>
        <v>2020</v>
      </c>
      <c r="B90" s="824">
        <f>'Input data'!B120</f>
        <v>59.308690000000006</v>
      </c>
      <c r="C90" s="824">
        <f>'Recycling - Case 3'!AK100/B90</f>
        <v>397.49323210110077</v>
      </c>
      <c r="D90" s="825">
        <f>'Recycling - Case 3'!AM100</f>
        <v>0.38289463315638228</v>
      </c>
      <c r="E90" s="826">
        <f>'Recycling - Case 3'!BE100</f>
        <v>0.22354491991078579</v>
      </c>
      <c r="F90" s="826">
        <f>'Recycling - Case 3'!BF100</f>
        <v>0.28351543553262054</v>
      </c>
      <c r="G90" s="826">
        <f>'Recycling - Case 3'!BG100</f>
        <v>6.1771817655591317E-2</v>
      </c>
      <c r="H90" s="826">
        <f>'Recycling - Case 3'!BH100</f>
        <v>0</v>
      </c>
      <c r="I90" s="826">
        <f>'Recycling - Case 3'!BI100</f>
        <v>0</v>
      </c>
      <c r="J90" s="826">
        <f>'Recycling - Case 3'!BJ100</f>
        <v>0</v>
      </c>
      <c r="K90" s="826">
        <f>'Recycling - Case 3'!BK100</f>
        <v>0.43116782690100253</v>
      </c>
      <c r="L90" s="827">
        <f t="shared" si="89"/>
        <v>1.0000000000000002</v>
      </c>
      <c r="M90" s="4"/>
      <c r="N90" s="838">
        <f t="shared" si="56"/>
        <v>9026.6655003882443</v>
      </c>
      <c r="O90" s="833">
        <f>Parameters!R261</f>
        <v>0.79230769230769238</v>
      </c>
      <c r="P90" s="834">
        <f>E90*'MSW characteristics'!$B$28+'MSW characteristics'!$B$29*'4A SWD Case 3'!F90+'4A SWD Case 3'!G90*'MSW characteristics'!$B$30+'MSW characteristics'!$B$31*'4A SWD Case 3'!H90+'4A SWD Case 3'!I90*'MSW characteristics'!$B$32+'MSW characteristics'!$B$33*'4A SWD Case 3'!J90+'4A SWD Case 3'!K90*'MSW characteristics'!$B$35</f>
        <v>0.11494355215537852</v>
      </c>
      <c r="Q90" s="832">
        <f t="shared" si="57"/>
        <v>411.03219485962427</v>
      </c>
      <c r="R90" s="832">
        <f t="shared" si="58"/>
        <v>411.03219485962427</v>
      </c>
      <c r="S90" s="835">
        <f t="shared" si="59"/>
        <v>0</v>
      </c>
      <c r="T90" s="832">
        <f t="shared" si="60"/>
        <v>13423.417366717862</v>
      </c>
      <c r="U90" s="832">
        <f t="shared" si="61"/>
        <v>667.15925422828968</v>
      </c>
      <c r="V90" s="839">
        <f t="shared" si="62"/>
        <v>444.77283615219312</v>
      </c>
      <c r="X90" s="852">
        <f>'Recycling - Case 3'!AM140</f>
        <v>910.6889881686584</v>
      </c>
      <c r="Y90" s="853">
        <f>Parameters!S260</f>
        <v>0.71500000000000008</v>
      </c>
      <c r="Z90" s="853">
        <f t="shared" si="63"/>
        <v>0.4</v>
      </c>
      <c r="AA90" s="854">
        <f t="shared" si="64"/>
        <v>130.22852530811818</v>
      </c>
      <c r="AB90" s="854">
        <f t="shared" si="65"/>
        <v>130.22852530811818</v>
      </c>
      <c r="AC90" s="855">
        <f t="shared" si="66"/>
        <v>0</v>
      </c>
      <c r="AD90" s="854">
        <f t="shared" si="67"/>
        <v>9888.7655053354156</v>
      </c>
      <c r="AE90" s="854">
        <f t="shared" si="68"/>
        <v>500.330889991974</v>
      </c>
      <c r="AF90" s="856">
        <f t="shared" si="69"/>
        <v>333.55392666131598</v>
      </c>
      <c r="AH90" s="852">
        <f>'Recycling - Case 3'!AM180</f>
        <v>910.6889881686584</v>
      </c>
      <c r="AI90" s="853">
        <f>Parameters!S260</f>
        <v>0.71500000000000008</v>
      </c>
      <c r="AJ90" s="853">
        <f t="shared" si="70"/>
        <v>0.4</v>
      </c>
      <c r="AK90" s="854">
        <f t="shared" si="71"/>
        <v>130.22852530811818</v>
      </c>
      <c r="AL90" s="854">
        <f t="shared" si="72"/>
        <v>130.22852530811818</v>
      </c>
      <c r="AM90" s="855">
        <f t="shared" si="73"/>
        <v>0</v>
      </c>
      <c r="AN90" s="854">
        <f t="shared" si="74"/>
        <v>9888.7655053354156</v>
      </c>
      <c r="AO90" s="854">
        <f t="shared" si="75"/>
        <v>500.330889991974</v>
      </c>
      <c r="AP90" s="856">
        <f t="shared" si="76"/>
        <v>333.55392666131598</v>
      </c>
      <c r="AR90" s="850">
        <f>'Recycling - Case 3'!G100</f>
        <v>559.3813349254624</v>
      </c>
      <c r="AS90" s="846">
        <v>1</v>
      </c>
      <c r="AT90" s="846">
        <f t="shared" si="77"/>
        <v>0.05</v>
      </c>
      <c r="AU90" s="832">
        <f t="shared" si="78"/>
        <v>13.984533373136561</v>
      </c>
      <c r="AV90" s="832">
        <f t="shared" si="79"/>
        <v>13.984533373136561</v>
      </c>
      <c r="AW90" s="835">
        <f t="shared" si="80"/>
        <v>0</v>
      </c>
      <c r="AX90" s="832">
        <f t="shared" si="44"/>
        <v>156.85327301283138</v>
      </c>
      <c r="AY90" s="832">
        <f t="shared" si="49"/>
        <v>8.8345094686068517</v>
      </c>
      <c r="AZ90" s="930">
        <f t="shared" si="47"/>
        <v>5.8896729790712348</v>
      </c>
      <c r="BA90" s="4"/>
      <c r="BB90" s="1055">
        <f t="shared" si="81"/>
        <v>444.77283615219312</v>
      </c>
      <c r="BC90" s="1056">
        <f t="shared" si="82"/>
        <v>333.55392666131598</v>
      </c>
      <c r="BD90" s="1082">
        <f t="shared" si="90"/>
        <v>5.8896729790712348</v>
      </c>
      <c r="BE90" s="1056">
        <f t="shared" si="54"/>
        <v>784.21643579258023</v>
      </c>
      <c r="BF90" s="167">
        <v>0</v>
      </c>
      <c r="BG90" s="1075">
        <f t="shared" si="83"/>
        <v>784.21643579258023</v>
      </c>
      <c r="BI90" s="1055">
        <f t="shared" si="84"/>
        <v>444.77283615219312</v>
      </c>
      <c r="BJ90" s="1056">
        <f t="shared" si="85"/>
        <v>333.55392666131598</v>
      </c>
      <c r="BK90" s="1082">
        <f t="shared" si="86"/>
        <v>5.8896729790712348</v>
      </c>
      <c r="BL90" s="1056">
        <f t="shared" si="55"/>
        <v>784.21643579258023</v>
      </c>
      <c r="BM90" s="167">
        <v>0</v>
      </c>
      <c r="BN90" s="1075">
        <f t="shared" si="87"/>
        <v>784.21643579258023</v>
      </c>
    </row>
    <row r="91" spans="1:73">
      <c r="A91" s="927">
        <f>'Input data'!A121</f>
        <v>2021</v>
      </c>
      <c r="B91" s="824">
        <f>'Input data'!B121</f>
        <v>59.991580449204264</v>
      </c>
      <c r="C91" s="824">
        <f>'Recycling - Case 3'!AK101/B91</f>
        <v>382.99573336469109</v>
      </c>
      <c r="D91" s="825">
        <f>'Recycling - Case 3'!AM101</f>
        <v>0.31526187030246827</v>
      </c>
      <c r="E91" s="826">
        <f>'Recycling - Case 3'!BE101</f>
        <v>0.19716607376836848</v>
      </c>
      <c r="F91" s="826">
        <f>'Recycling - Case 3'!BF101</f>
        <v>0.2500599221803147</v>
      </c>
      <c r="G91" s="826">
        <f>'Recycling - Case 3'!BG101</f>
        <v>6.8431683110624295E-2</v>
      </c>
      <c r="H91" s="826">
        <f>'Recycling - Case 3'!BH101</f>
        <v>0</v>
      </c>
      <c r="I91" s="826">
        <f>'Recycling - Case 3'!BI101</f>
        <v>0</v>
      </c>
      <c r="J91" s="826">
        <f>'Recycling - Case 3'!BJ101</f>
        <v>0</v>
      </c>
      <c r="K91" s="826">
        <f>'Recycling - Case 3'!BK101</f>
        <v>0.48434232094069229</v>
      </c>
      <c r="L91" s="827">
        <f t="shared" si="89"/>
        <v>0.99999999999999978</v>
      </c>
      <c r="M91" s="4"/>
      <c r="N91" s="838">
        <f t="shared" si="56"/>
        <v>7243.6204632745166</v>
      </c>
      <c r="O91" s="833">
        <f>Parameters!R262</f>
        <v>0.81307692307692303</v>
      </c>
      <c r="P91" s="834">
        <f>E91*'MSW characteristics'!$B$28+'MSW characteristics'!$B$29*'4A SWD Case 3'!F91+'4A SWD Case 3'!G91*'MSW characteristics'!$B$30+'MSW characteristics'!$B$31*'4A SWD Case 3'!H91+'4A SWD Case 3'!I91*'MSW characteristics'!$B$32+'MSW characteristics'!$B$33*'4A SWD Case 3'!J91+'4A SWD Case 3'!K91*'MSW characteristics'!$B$35</f>
        <v>0.10695956874556793</v>
      </c>
      <c r="Q91" s="832">
        <f t="shared" si="57"/>
        <v>314.9756417693049</v>
      </c>
      <c r="R91" s="832">
        <f t="shared" si="58"/>
        <v>314.9756417693049</v>
      </c>
      <c r="S91" s="835">
        <f t="shared" si="59"/>
        <v>0</v>
      </c>
      <c r="T91" s="832">
        <f t="shared" si="60"/>
        <v>13083.725218345226</v>
      </c>
      <c r="U91" s="832">
        <f t="shared" si="61"/>
        <v>654.66779014194015</v>
      </c>
      <c r="V91" s="839">
        <f t="shared" si="62"/>
        <v>436.44519342796008</v>
      </c>
      <c r="W91" s="4"/>
      <c r="X91" s="852">
        <f>'Recycling - Case 3'!AM141</f>
        <v>263.0223496200087</v>
      </c>
      <c r="Y91" s="853">
        <f>Parameters!S261</f>
        <v>0.71500000000000008</v>
      </c>
      <c r="Z91" s="853">
        <f t="shared" si="63"/>
        <v>0.4</v>
      </c>
      <c r="AA91" s="854">
        <f t="shared" si="64"/>
        <v>37.612195995661246</v>
      </c>
      <c r="AB91" s="854">
        <f t="shared" si="65"/>
        <v>37.612195995661246</v>
      </c>
      <c r="AC91" s="855">
        <f t="shared" si="66"/>
        <v>0</v>
      </c>
      <c r="AD91" s="854">
        <f t="shared" si="67"/>
        <v>9444.0969166583818</v>
      </c>
      <c r="AE91" s="854">
        <f t="shared" si="68"/>
        <v>482.2807846726958</v>
      </c>
      <c r="AF91" s="856">
        <f t="shared" si="69"/>
        <v>321.52052311513052</v>
      </c>
      <c r="AG91" s="4"/>
      <c r="AH91" s="852">
        <f>'Recycling - Case 3'!AM181</f>
        <v>263.0223496200087</v>
      </c>
      <c r="AI91" s="853">
        <f>Parameters!S261</f>
        <v>0.71500000000000008</v>
      </c>
      <c r="AJ91" s="853">
        <f t="shared" si="70"/>
        <v>0.4</v>
      </c>
      <c r="AK91" s="854">
        <f t="shared" si="71"/>
        <v>37.612195995661246</v>
      </c>
      <c r="AL91" s="854">
        <f t="shared" si="72"/>
        <v>37.612195995661246</v>
      </c>
      <c r="AM91" s="855">
        <f t="shared" si="73"/>
        <v>0</v>
      </c>
      <c r="AN91" s="854">
        <f t="shared" si="74"/>
        <v>9444.0969166583818</v>
      </c>
      <c r="AO91" s="854">
        <f t="shared" si="75"/>
        <v>482.2807846726958</v>
      </c>
      <c r="AP91" s="856">
        <f t="shared" si="76"/>
        <v>321.52052311513052</v>
      </c>
      <c r="AR91" s="850">
        <f>'Recycling - Case 3'!G101</f>
        <v>577.1781389317141</v>
      </c>
      <c r="AS91" s="846">
        <v>1</v>
      </c>
      <c r="AT91" s="846">
        <f t="shared" si="77"/>
        <v>0.05</v>
      </c>
      <c r="AU91" s="832">
        <f t="shared" si="78"/>
        <v>14.429453473292853</v>
      </c>
      <c r="AV91" s="832">
        <f t="shared" si="79"/>
        <v>14.429453473292853</v>
      </c>
      <c r="AW91" s="835">
        <f t="shared" si="80"/>
        <v>0</v>
      </c>
      <c r="AX91" s="832">
        <f t="shared" si="44"/>
        <v>162.14830297338483</v>
      </c>
      <c r="AY91" s="832">
        <f t="shared" si="49"/>
        <v>9.1344235127394082</v>
      </c>
      <c r="AZ91" s="930">
        <f t="shared" si="47"/>
        <v>6.0896156751596058</v>
      </c>
      <c r="BA91" s="4"/>
      <c r="BB91" s="1055">
        <f t="shared" si="81"/>
        <v>436.44519342796008</v>
      </c>
      <c r="BC91" s="1056">
        <f t="shared" si="82"/>
        <v>321.52052311513052</v>
      </c>
      <c r="BD91" s="1082">
        <f t="shared" si="90"/>
        <v>6.0896156751596058</v>
      </c>
      <c r="BE91" s="1056">
        <f t="shared" si="54"/>
        <v>764.05533221825021</v>
      </c>
      <c r="BF91" s="167">
        <v>0</v>
      </c>
      <c r="BG91" s="1075">
        <f t="shared" si="83"/>
        <v>764.05533221825021</v>
      </c>
      <c r="BI91" s="1055">
        <f t="shared" si="84"/>
        <v>436.44519342796008</v>
      </c>
      <c r="BJ91" s="1056">
        <f t="shared" si="85"/>
        <v>321.52052311513052</v>
      </c>
      <c r="BK91" s="1082">
        <f t="shared" si="86"/>
        <v>6.0896156751596058</v>
      </c>
      <c r="BL91" s="1056">
        <f t="shared" si="55"/>
        <v>764.05533221825021</v>
      </c>
      <c r="BM91" s="167">
        <v>0</v>
      </c>
      <c r="BN91" s="1075">
        <f t="shared" si="87"/>
        <v>764.05533221825021</v>
      </c>
    </row>
    <row r="92" spans="1:73">
      <c r="A92" s="927">
        <f>'Input data'!A122</f>
        <v>2022</v>
      </c>
      <c r="B92" s="824">
        <f>'Input data'!B122</f>
        <v>60.682333816399378</v>
      </c>
      <c r="C92" s="824">
        <f>'Recycling - Case 3'!AK102/B92</f>
        <v>357.3809169014288</v>
      </c>
      <c r="D92" s="825">
        <f>'Recycling - Case 3'!AM102</f>
        <v>0.25693229767920933</v>
      </c>
      <c r="E92" s="826">
        <f>'Recycling - Case 3'!BE102</f>
        <v>0.18290250130037575</v>
      </c>
      <c r="F92" s="826">
        <f>'Recycling - Case 3'!BF102</f>
        <v>0.2319698534722987</v>
      </c>
      <c r="G92" s="826">
        <f>'Recycling - Case 3'!BG102</f>
        <v>7.1510507677601323E-2</v>
      </c>
      <c r="H92" s="826">
        <f>'Recycling - Case 3'!BH102</f>
        <v>0</v>
      </c>
      <c r="I92" s="826">
        <f>'Recycling - Case 3'!BI102</f>
        <v>0</v>
      </c>
      <c r="J92" s="826">
        <f>'Recycling - Case 3'!BJ102</f>
        <v>0</v>
      </c>
      <c r="K92" s="826">
        <f>'Recycling - Case 3'!BK102</f>
        <v>0.51361713754972427</v>
      </c>
      <c r="L92" s="827">
        <f t="shared" si="89"/>
        <v>1</v>
      </c>
      <c r="M92" s="4"/>
      <c r="N92" s="838">
        <f t="shared" si="56"/>
        <v>5572.0157409803969</v>
      </c>
      <c r="O92" s="833">
        <f>Parameters!R263</f>
        <v>0.83384615384615368</v>
      </c>
      <c r="P92" s="834">
        <f>E92*'MSW characteristics'!$B$28+'MSW characteristics'!$B$29*'4A SWD Case 3'!F92+'4A SWD Case 3'!G92*'MSW characteristics'!$B$30+'MSW characteristics'!$B$31*'4A SWD Case 3'!H92+'4A SWD Case 3'!I92*'MSW characteristics'!$B$32+'MSW characteristics'!$B$33*'4A SWD Case 3'!J92+'4A SWD Case 3'!K92*'MSW characteristics'!$B$35</f>
        <v>0.10243354896055663</v>
      </c>
      <c r="Q92" s="832">
        <f t="shared" si="57"/>
        <v>237.96357706868272</v>
      </c>
      <c r="R92" s="832">
        <f t="shared" si="58"/>
        <v>237.96357706868272</v>
      </c>
      <c r="S92" s="835">
        <f t="shared" si="59"/>
        <v>0</v>
      </c>
      <c r="T92" s="832">
        <f t="shared" si="60"/>
        <v>12683.58798684069</v>
      </c>
      <c r="U92" s="832">
        <f t="shared" si="61"/>
        <v>638.10080857321782</v>
      </c>
      <c r="V92" s="839">
        <f t="shared" si="62"/>
        <v>425.40053904881188</v>
      </c>
      <c r="W92" s="4"/>
      <c r="X92" s="852">
        <f>'Recycling - Case 3'!AM142</f>
        <v>0</v>
      </c>
      <c r="Y92" s="853">
        <f>Parameters!S262</f>
        <v>0.71500000000000008</v>
      </c>
      <c r="Z92" s="853">
        <f t="shared" si="63"/>
        <v>0.4</v>
      </c>
      <c r="AA92" s="854">
        <f t="shared" si="64"/>
        <v>0</v>
      </c>
      <c r="AB92" s="854">
        <f t="shared" si="65"/>
        <v>0</v>
      </c>
      <c r="AC92" s="855">
        <f t="shared" si="66"/>
        <v>0</v>
      </c>
      <c r="AD92" s="854">
        <f t="shared" si="67"/>
        <v>8983.5028749619196</v>
      </c>
      <c r="AE92" s="854">
        <f t="shared" si="68"/>
        <v>460.5940416964616</v>
      </c>
      <c r="AF92" s="856">
        <f t="shared" si="69"/>
        <v>307.06269446430775</v>
      </c>
      <c r="AG92" s="4"/>
      <c r="AH92" s="852">
        <f>'Recycling - Case 3'!AM182</f>
        <v>0</v>
      </c>
      <c r="AI92" s="853">
        <f>Parameters!S262</f>
        <v>0.71500000000000008</v>
      </c>
      <c r="AJ92" s="853">
        <f t="shared" si="70"/>
        <v>0.4</v>
      </c>
      <c r="AK92" s="854">
        <f t="shared" si="71"/>
        <v>0</v>
      </c>
      <c r="AL92" s="854">
        <f t="shared" si="72"/>
        <v>0</v>
      </c>
      <c r="AM92" s="855">
        <f t="shared" si="73"/>
        <v>0</v>
      </c>
      <c r="AN92" s="854">
        <f t="shared" si="74"/>
        <v>8983.5028749619196</v>
      </c>
      <c r="AO92" s="854">
        <f t="shared" si="75"/>
        <v>460.5940416964616</v>
      </c>
      <c r="AP92" s="856">
        <f t="shared" si="76"/>
        <v>307.06269446430775</v>
      </c>
      <c r="AR92" s="850">
        <f>'Recycling - Case 3'!G102</f>
        <v>595.31061323185247</v>
      </c>
      <c r="AS92" s="846">
        <v>1</v>
      </c>
      <c r="AT92" s="846">
        <f t="shared" si="77"/>
        <v>0.05</v>
      </c>
      <c r="AU92" s="832">
        <f t="shared" si="78"/>
        <v>14.882765330796312</v>
      </c>
      <c r="AV92" s="832">
        <f t="shared" si="79"/>
        <v>14.882765330796312</v>
      </c>
      <c r="AW92" s="835">
        <f t="shared" si="80"/>
        <v>0</v>
      </c>
      <c r="AX92" s="832">
        <f t="shared" si="44"/>
        <v>167.58828625200351</v>
      </c>
      <c r="AY92" s="832">
        <f t="shared" si="49"/>
        <v>9.4427820521776162</v>
      </c>
      <c r="AZ92" s="930">
        <f t="shared" si="47"/>
        <v>6.2951880347850775</v>
      </c>
      <c r="BA92" s="4"/>
      <c r="BB92" s="1055">
        <f t="shared" si="81"/>
        <v>425.40053904881188</v>
      </c>
      <c r="BC92" s="1056">
        <f t="shared" si="82"/>
        <v>307.06269446430775</v>
      </c>
      <c r="BD92" s="1082">
        <f t="shared" si="90"/>
        <v>6.2951880347850775</v>
      </c>
      <c r="BE92" s="1056">
        <f t="shared" si="54"/>
        <v>738.75842154790462</v>
      </c>
      <c r="BF92" s="167">
        <v>0</v>
      </c>
      <c r="BG92" s="1075">
        <f t="shared" si="83"/>
        <v>738.75842154790462</v>
      </c>
      <c r="BI92" s="1055">
        <f t="shared" si="84"/>
        <v>425.40053904881188</v>
      </c>
      <c r="BJ92" s="1056">
        <f t="shared" si="85"/>
        <v>307.06269446430775</v>
      </c>
      <c r="BK92" s="1082">
        <f t="shared" si="86"/>
        <v>6.2951880347850775</v>
      </c>
      <c r="BL92" s="1056">
        <f t="shared" si="55"/>
        <v>738.75842154790462</v>
      </c>
      <c r="BM92" s="167">
        <v>0</v>
      </c>
      <c r="BN92" s="1075">
        <f t="shared" si="87"/>
        <v>738.75842154790462</v>
      </c>
    </row>
    <row r="93" spans="1:73">
      <c r="A93" s="927">
        <f>'Input data'!A123</f>
        <v>2023</v>
      </c>
      <c r="B93" s="824">
        <f>'Input data'!B123</f>
        <v>61.381040636574369</v>
      </c>
      <c r="C93" s="824">
        <f>'Recycling - Case 3'!AK103/B93</f>
        <v>349.33248261682064</v>
      </c>
      <c r="D93" s="825">
        <f>'Recycling - Case 3'!AM103</f>
        <v>0.24426822179068367</v>
      </c>
      <c r="E93" s="826">
        <f>'Recycling - Case 3'!BE103</f>
        <v>0.18636100272049838</v>
      </c>
      <c r="F93" s="826">
        <f>'Recycling - Case 3'!BF103</f>
        <v>0.23635616892427852</v>
      </c>
      <c r="G93" s="826">
        <f>'Recycling - Case 3'!BG103</f>
        <v>6.9596401833593682E-2</v>
      </c>
      <c r="H93" s="826">
        <f>'Recycling - Case 3'!BH103</f>
        <v>0</v>
      </c>
      <c r="I93" s="826">
        <f>'Recycling - Case 3'!BI103</f>
        <v>0</v>
      </c>
      <c r="J93" s="826">
        <f>'Recycling - Case 3'!BJ103</f>
        <v>0</v>
      </c>
      <c r="K93" s="826">
        <f>'Recycling - Case 3'!BK103</f>
        <v>0.50768642652162943</v>
      </c>
      <c r="L93" s="827">
        <f t="shared" si="89"/>
        <v>1</v>
      </c>
      <c r="M93" s="4"/>
      <c r="N93" s="838">
        <f t="shared" si="56"/>
        <v>5237.6947965215732</v>
      </c>
      <c r="O93" s="833">
        <f>Parameters!R264</f>
        <v>0.85461538461538455</v>
      </c>
      <c r="P93" s="834">
        <f>E93*'MSW characteristics'!$B$28+'MSW characteristics'!$B$29*'4A SWD Case 3'!F93+'4A SWD Case 3'!G93*'MSW characteristics'!$B$30+'MSW characteristics'!$B$31*'4A SWD Case 3'!H93+'4A SWD Case 3'!I93*'MSW characteristics'!$B$32+'MSW characteristics'!$B$33*'4A SWD Case 3'!J93+'4A SWD Case 3'!K93*'MSW characteristics'!$B$35</f>
        <v>0.10306394492636793</v>
      </c>
      <c r="Q93" s="832">
        <f t="shared" si="57"/>
        <v>230.66816508590523</v>
      </c>
      <c r="R93" s="832">
        <f t="shared" si="58"/>
        <v>230.66816508590523</v>
      </c>
      <c r="S93" s="835">
        <f t="shared" si="59"/>
        <v>0</v>
      </c>
      <c r="T93" s="832">
        <f t="shared" si="60"/>
        <v>12295.670266412544</v>
      </c>
      <c r="U93" s="832">
        <f t="shared" si="61"/>
        <v>618.58588551405057</v>
      </c>
      <c r="V93" s="839">
        <f t="shared" si="62"/>
        <v>412.39059034270036</v>
      </c>
      <c r="W93" s="4"/>
      <c r="X93" s="852">
        <f>'Recycling - Case 3'!AM143</f>
        <v>0</v>
      </c>
      <c r="Y93" s="853">
        <f>Parameters!S263</f>
        <v>0.71500000000000008</v>
      </c>
      <c r="Z93" s="853">
        <f t="shared" si="63"/>
        <v>0.4</v>
      </c>
      <c r="AA93" s="854">
        <f t="shared" si="64"/>
        <v>0</v>
      </c>
      <c r="AB93" s="854">
        <f t="shared" si="65"/>
        <v>0</v>
      </c>
      <c r="AC93" s="855">
        <f t="shared" si="66"/>
        <v>0</v>
      </c>
      <c r="AD93" s="854">
        <f t="shared" si="67"/>
        <v>8545.3722697505364</v>
      </c>
      <c r="AE93" s="854">
        <f t="shared" si="68"/>
        <v>438.130605211383</v>
      </c>
      <c r="AF93" s="856">
        <f t="shared" si="69"/>
        <v>292.08707014092198</v>
      </c>
      <c r="AG93" s="4"/>
      <c r="AH93" s="852">
        <f>'Recycling - Case 3'!AM183</f>
        <v>0</v>
      </c>
      <c r="AI93" s="853">
        <f>Parameters!S263</f>
        <v>0.71500000000000008</v>
      </c>
      <c r="AJ93" s="853">
        <f t="shared" si="70"/>
        <v>0.4</v>
      </c>
      <c r="AK93" s="854">
        <f t="shared" si="71"/>
        <v>0</v>
      </c>
      <c r="AL93" s="854">
        <f t="shared" si="72"/>
        <v>0</v>
      </c>
      <c r="AM93" s="855">
        <f t="shared" si="73"/>
        <v>0</v>
      </c>
      <c r="AN93" s="854">
        <f t="shared" si="74"/>
        <v>8545.3722697505364</v>
      </c>
      <c r="AO93" s="854">
        <f t="shared" si="75"/>
        <v>438.130605211383</v>
      </c>
      <c r="AP93" s="856">
        <f t="shared" si="76"/>
        <v>292.08707014092198</v>
      </c>
      <c r="AQ93" s="4"/>
      <c r="AR93" s="850">
        <f>'Recycling - Case 3'!G103</f>
        <v>613.78412832495871</v>
      </c>
      <c r="AS93" s="846">
        <v>1</v>
      </c>
      <c r="AT93" s="846">
        <f t="shared" si="77"/>
        <v>0.05</v>
      </c>
      <c r="AU93" s="832">
        <f t="shared" si="78"/>
        <v>15.344603208123969</v>
      </c>
      <c r="AV93" s="832">
        <f t="shared" si="79"/>
        <v>15.344603208123969</v>
      </c>
      <c r="AW93" s="835">
        <f t="shared" si="80"/>
        <v>0</v>
      </c>
      <c r="AX93" s="832">
        <f t="shared" si="44"/>
        <v>173.17330744442563</v>
      </c>
      <c r="AY93" s="832">
        <f t="shared" si="49"/>
        <v>9.7595820157018629</v>
      </c>
      <c r="AZ93" s="930">
        <f t="shared" si="47"/>
        <v>6.5063880104679086</v>
      </c>
      <c r="BA93" s="4"/>
      <c r="BB93" s="1055">
        <f t="shared" si="81"/>
        <v>412.39059034270036</v>
      </c>
      <c r="BC93" s="1056">
        <f t="shared" si="82"/>
        <v>292.08707014092198</v>
      </c>
      <c r="BD93" s="1082">
        <f t="shared" si="90"/>
        <v>6.5063880104679086</v>
      </c>
      <c r="BE93" s="1056">
        <f t="shared" si="54"/>
        <v>710.9840484940903</v>
      </c>
      <c r="BF93" s="167">
        <v>0</v>
      </c>
      <c r="BG93" s="1075">
        <f t="shared" si="83"/>
        <v>710.9840484940903</v>
      </c>
      <c r="BI93" s="1055">
        <f t="shared" si="84"/>
        <v>412.39059034270036</v>
      </c>
      <c r="BJ93" s="1056">
        <f t="shared" si="85"/>
        <v>292.08707014092198</v>
      </c>
      <c r="BK93" s="1082">
        <f t="shared" si="86"/>
        <v>6.5063880104679086</v>
      </c>
      <c r="BL93" s="1056">
        <f t="shared" si="55"/>
        <v>710.9840484940903</v>
      </c>
      <c r="BM93" s="167">
        <v>0</v>
      </c>
      <c r="BN93" s="1075">
        <f t="shared" si="87"/>
        <v>710.9840484940903</v>
      </c>
    </row>
    <row r="94" spans="1:73">
      <c r="A94" s="927">
        <f>'Input data'!A124</f>
        <v>2024</v>
      </c>
      <c r="B94" s="824">
        <f>'Input data'!B124</f>
        <v>62.087792487153699</v>
      </c>
      <c r="C94" s="824">
        <f>'Recycling - Case 3'!AK104/B94</f>
        <v>341.44831989252719</v>
      </c>
      <c r="D94" s="825">
        <f>'Recycling - Case 3'!AM104</f>
        <v>0.23129370223762682</v>
      </c>
      <c r="E94" s="826">
        <f>'Recycling - Case 3'!BE104</f>
        <v>0.18986963377374966</v>
      </c>
      <c r="F94" s="826">
        <f>'Recycling - Case 3'!BF104</f>
        <v>0.24080606231296661</v>
      </c>
      <c r="G94" s="826">
        <f>'Recycling - Case 3'!BG104</f>
        <v>6.7651152559246586E-2</v>
      </c>
      <c r="H94" s="826">
        <f>'Recycling - Case 3'!BH104</f>
        <v>0</v>
      </c>
      <c r="I94" s="826">
        <f>'Recycling - Case 3'!BI104</f>
        <v>0</v>
      </c>
      <c r="J94" s="826">
        <f>'Recycling - Case 3'!BJ104</f>
        <v>0</v>
      </c>
      <c r="K94" s="826">
        <f>'Recycling - Case 3'!BK104</f>
        <v>0.50167315135403667</v>
      </c>
      <c r="L94" s="827">
        <f t="shared" si="89"/>
        <v>0.99999999999999956</v>
      </c>
      <c r="M94" s="4"/>
      <c r="N94" s="838">
        <f t="shared" si="56"/>
        <v>4903.3738520627494</v>
      </c>
      <c r="O94" s="833">
        <f>Parameters!R265</f>
        <v>0.87538461538461509</v>
      </c>
      <c r="P94" s="834">
        <f>E94*'MSW characteristics'!$B$28+'MSW characteristics'!$B$29*'4A SWD Case 3'!F94+'4A SWD Case 3'!G94*'MSW characteristics'!$B$30+'MSW characteristics'!$B$31*'4A SWD Case 3'!H94+'4A SWD Case 3'!I94*'MSW characteristics'!$B$32+'MSW characteristics'!$B$33*'4A SWD Case 3'!J94+'4A SWD Case 3'!K94*'MSW characteristics'!$B$35</f>
        <v>0.10370211855235441</v>
      </c>
      <c r="Q94" s="832">
        <f t="shared" si="57"/>
        <v>222.56227381228351</v>
      </c>
      <c r="R94" s="832">
        <f t="shared" si="58"/>
        <v>222.56227381228351</v>
      </c>
      <c r="S94" s="835">
        <f t="shared" si="59"/>
        <v>0</v>
      </c>
      <c r="T94" s="832">
        <f t="shared" si="60"/>
        <v>11918.565625182429</v>
      </c>
      <c r="U94" s="832">
        <f t="shared" si="61"/>
        <v>599.66691504239884</v>
      </c>
      <c r="V94" s="839">
        <f t="shared" si="62"/>
        <v>399.77794336159923</v>
      </c>
      <c r="W94" s="4"/>
      <c r="X94" s="852">
        <f>'Recycling - Case 3'!AM144</f>
        <v>0</v>
      </c>
      <c r="Y94" s="853">
        <f>Parameters!S264</f>
        <v>0.71500000000000008</v>
      </c>
      <c r="Z94" s="853">
        <f t="shared" si="63"/>
        <v>0.4</v>
      </c>
      <c r="AA94" s="854">
        <f t="shared" si="64"/>
        <v>0</v>
      </c>
      <c r="AB94" s="854">
        <f t="shared" si="65"/>
        <v>0</v>
      </c>
      <c r="AC94" s="855">
        <f t="shared" si="66"/>
        <v>0</v>
      </c>
      <c r="AD94" s="854">
        <f t="shared" si="67"/>
        <v>8128.6095462991634</v>
      </c>
      <c r="AE94" s="854">
        <f t="shared" si="68"/>
        <v>416.76272345137335</v>
      </c>
      <c r="AF94" s="856">
        <f t="shared" si="69"/>
        <v>277.84181563424892</v>
      </c>
      <c r="AG94" s="4"/>
      <c r="AH94" s="852">
        <f>'Recycling - Case 3'!AM184</f>
        <v>0</v>
      </c>
      <c r="AI94" s="853">
        <f>Parameters!S264</f>
        <v>0.71500000000000008</v>
      </c>
      <c r="AJ94" s="853">
        <f t="shared" si="70"/>
        <v>0.4</v>
      </c>
      <c r="AK94" s="854">
        <f t="shared" si="71"/>
        <v>0</v>
      </c>
      <c r="AL94" s="854">
        <f t="shared" si="72"/>
        <v>0</v>
      </c>
      <c r="AM94" s="855">
        <f t="shared" si="73"/>
        <v>0</v>
      </c>
      <c r="AN94" s="854">
        <f t="shared" si="74"/>
        <v>8128.6095462991634</v>
      </c>
      <c r="AO94" s="854">
        <f t="shared" si="75"/>
        <v>416.76272345137335</v>
      </c>
      <c r="AP94" s="856">
        <f t="shared" si="76"/>
        <v>277.84181563424892</v>
      </c>
      <c r="AQ94" s="4"/>
      <c r="AR94" s="850">
        <f>'Recycling - Case 3'!G104</f>
        <v>632.60413388193626</v>
      </c>
      <c r="AS94" s="846">
        <v>1</v>
      </c>
      <c r="AT94" s="846">
        <f t="shared" si="77"/>
        <v>0.05</v>
      </c>
      <c r="AU94" s="832">
        <f t="shared" si="78"/>
        <v>15.815103347048407</v>
      </c>
      <c r="AV94" s="832">
        <f t="shared" si="79"/>
        <v>15.815103347048407</v>
      </c>
      <c r="AW94" s="835">
        <f t="shared" si="80"/>
        <v>0</v>
      </c>
      <c r="AX94" s="832">
        <f t="shared" si="44"/>
        <v>178.90358246168961</v>
      </c>
      <c r="AY94" s="832">
        <f t="shared" si="49"/>
        <v>10.08482832978442</v>
      </c>
      <c r="AZ94" s="930">
        <f t="shared" si="47"/>
        <v>6.7232188865229467</v>
      </c>
      <c r="BA94" s="4"/>
      <c r="BB94" s="1055">
        <f t="shared" si="81"/>
        <v>399.77794336159923</v>
      </c>
      <c r="BC94" s="1056">
        <f t="shared" si="82"/>
        <v>277.84181563424892</v>
      </c>
      <c r="BD94" s="1082">
        <f t="shared" si="90"/>
        <v>6.7232188865229467</v>
      </c>
      <c r="BE94" s="1056">
        <f t="shared" si="54"/>
        <v>684.34297788237109</v>
      </c>
      <c r="BF94" s="167">
        <v>0</v>
      </c>
      <c r="BG94" s="1075">
        <f t="shared" si="83"/>
        <v>684.34297788237109</v>
      </c>
      <c r="BI94" s="1055">
        <f t="shared" si="84"/>
        <v>399.77794336159923</v>
      </c>
      <c r="BJ94" s="1056">
        <f t="shared" si="85"/>
        <v>277.84181563424892</v>
      </c>
      <c r="BK94" s="1082">
        <f t="shared" si="86"/>
        <v>6.7232188865229467</v>
      </c>
      <c r="BL94" s="1056">
        <f t="shared" si="55"/>
        <v>684.34297788237109</v>
      </c>
      <c r="BM94" s="167">
        <v>0</v>
      </c>
      <c r="BN94" s="1075">
        <f t="shared" si="87"/>
        <v>684.34297788237109</v>
      </c>
    </row>
    <row r="95" spans="1:73">
      <c r="A95" s="927">
        <f>'Input data'!A125</f>
        <v>2025</v>
      </c>
      <c r="B95" s="824">
        <f>'Input data'!B125</f>
        <v>62.802682000000026</v>
      </c>
      <c r="C95" s="824">
        <f>'Recycling - Case 3'!AK105/B95</f>
        <v>333.72523472030412</v>
      </c>
      <c r="D95" s="825">
        <f>'Recycling - Case 3'!AM105</f>
        <v>0.21800123256124831</v>
      </c>
      <c r="E95" s="826">
        <f>'Recycling - Case 3'!BE105</f>
        <v>0.19343040664681491</v>
      </c>
      <c r="F95" s="826">
        <f>'Recycling - Case 3'!BF105</f>
        <v>0.24532208563545013</v>
      </c>
      <c r="G95" s="826">
        <f>'Recycling - Case 3'!BG105</f>
        <v>6.5673591883493782E-2</v>
      </c>
      <c r="H95" s="826">
        <f>'Recycling - Case 3'!BH105</f>
        <v>0</v>
      </c>
      <c r="I95" s="826">
        <f>'Recycling - Case 3'!BI105</f>
        <v>0</v>
      </c>
      <c r="J95" s="826">
        <f>'Recycling - Case 3'!BJ105</f>
        <v>0</v>
      </c>
      <c r="K95" s="826">
        <f>'Recycling - Case 3'!BK105</f>
        <v>0.49557391583424132</v>
      </c>
      <c r="L95" s="827">
        <f t="shared" si="89"/>
        <v>1.0000000000000002</v>
      </c>
      <c r="M95" s="4"/>
      <c r="N95" s="838">
        <f t="shared" si="56"/>
        <v>4569.0529076039256</v>
      </c>
      <c r="O95" s="833">
        <f>Parameters!R266</f>
        <v>0.89615384615384586</v>
      </c>
      <c r="P95" s="834">
        <f>E95*'MSW characteristics'!$B$28+'MSW characteristics'!$B$29*'4A SWD Case 3'!F95+'4A SWD Case 3'!G95*'MSW characteristics'!$B$30+'MSW characteristics'!$B$31*'4A SWD Case 3'!H95+'4A SWD Case 3'!I95*'MSW characteristics'!$B$32+'MSW characteristics'!$B$33*'4A SWD Case 3'!J95+'4A SWD Case 3'!K95*'MSW characteristics'!$B$35</f>
        <v>0.10434841487750979</v>
      </c>
      <c r="Q95" s="832">
        <f t="shared" si="57"/>
        <v>213.6311708022838</v>
      </c>
      <c r="R95" s="832">
        <f t="shared" si="58"/>
        <v>213.6311708022838</v>
      </c>
      <c r="S95" s="835">
        <f t="shared" si="59"/>
        <v>0</v>
      </c>
      <c r="T95" s="832">
        <f t="shared" si="60"/>
        <v>11550.921491318559</v>
      </c>
      <c r="U95" s="832">
        <f t="shared" si="61"/>
        <v>581.27530466615428</v>
      </c>
      <c r="V95" s="839">
        <f t="shared" si="62"/>
        <v>387.51686977743617</v>
      </c>
      <c r="W95" s="4"/>
      <c r="X95" s="852">
        <f>'Recycling - Case 3'!AM145</f>
        <v>0</v>
      </c>
      <c r="Y95" s="853">
        <f>Parameters!S265</f>
        <v>0.71500000000000008</v>
      </c>
      <c r="Z95" s="853">
        <f t="shared" si="63"/>
        <v>0.4</v>
      </c>
      <c r="AA95" s="854">
        <f t="shared" si="64"/>
        <v>0</v>
      </c>
      <c r="AB95" s="854">
        <f t="shared" si="65"/>
        <v>0</v>
      </c>
      <c r="AC95" s="855">
        <f t="shared" si="66"/>
        <v>0</v>
      </c>
      <c r="AD95" s="854">
        <f t="shared" si="67"/>
        <v>7732.1725807171633</v>
      </c>
      <c r="AE95" s="854">
        <f t="shared" si="68"/>
        <v>396.43696558200014</v>
      </c>
      <c r="AF95" s="856">
        <f t="shared" si="69"/>
        <v>264.29131038800011</v>
      </c>
      <c r="AG95" s="4"/>
      <c r="AH95" s="852">
        <f>'Recycling - Case 3'!AM185</f>
        <v>0</v>
      </c>
      <c r="AI95" s="853">
        <f>Parameters!S265</f>
        <v>0.71500000000000008</v>
      </c>
      <c r="AJ95" s="853">
        <f t="shared" si="70"/>
        <v>0.4</v>
      </c>
      <c r="AK95" s="854">
        <f t="shared" si="71"/>
        <v>0</v>
      </c>
      <c r="AL95" s="854">
        <f t="shared" si="72"/>
        <v>0</v>
      </c>
      <c r="AM95" s="855">
        <f t="shared" si="73"/>
        <v>0</v>
      </c>
      <c r="AN95" s="854">
        <f t="shared" si="74"/>
        <v>7732.1725807171633</v>
      </c>
      <c r="AO95" s="854">
        <f t="shared" si="75"/>
        <v>396.43696558200014</v>
      </c>
      <c r="AP95" s="856">
        <f t="shared" si="76"/>
        <v>264.29131038800011</v>
      </c>
      <c r="AQ95" s="4"/>
      <c r="AR95" s="850">
        <f>'Recycling - Case 3'!G105</f>
        <v>651.77615985670707</v>
      </c>
      <c r="AS95" s="846">
        <v>1</v>
      </c>
      <c r="AT95" s="846">
        <f t="shared" si="77"/>
        <v>0.05</v>
      </c>
      <c r="AU95" s="832">
        <f t="shared" si="78"/>
        <v>16.294403996417678</v>
      </c>
      <c r="AV95" s="832">
        <f t="shared" si="79"/>
        <v>16.294403996417678</v>
      </c>
      <c r="AW95" s="835">
        <f t="shared" si="80"/>
        <v>0</v>
      </c>
      <c r="AX95" s="832">
        <f t="shared" si="44"/>
        <v>184.77945289000198</v>
      </c>
      <c r="AY95" s="832">
        <f t="shared" si="49"/>
        <v>10.418533568105316</v>
      </c>
      <c r="AZ95" s="930">
        <f t="shared" si="47"/>
        <v>6.9456890454035438</v>
      </c>
      <c r="BA95" s="4"/>
      <c r="BB95" s="1055">
        <f t="shared" si="81"/>
        <v>387.51686977743617</v>
      </c>
      <c r="BC95" s="1056">
        <f t="shared" si="82"/>
        <v>264.29131038800011</v>
      </c>
      <c r="BD95" s="1082">
        <f t="shared" si="90"/>
        <v>6.9456890454035438</v>
      </c>
      <c r="BE95" s="1056">
        <f t="shared" si="54"/>
        <v>658.75386921083987</v>
      </c>
      <c r="BF95" s="167">
        <v>0</v>
      </c>
      <c r="BG95" s="1075">
        <f t="shared" si="83"/>
        <v>658.75386921083987</v>
      </c>
      <c r="BI95" s="1055">
        <f t="shared" si="84"/>
        <v>387.51686977743617</v>
      </c>
      <c r="BJ95" s="1056">
        <f t="shared" si="85"/>
        <v>264.29131038800011</v>
      </c>
      <c r="BK95" s="1082">
        <f t="shared" si="86"/>
        <v>6.9456890454035438</v>
      </c>
      <c r="BL95" s="1056">
        <f t="shared" si="55"/>
        <v>658.75386921083987</v>
      </c>
      <c r="BM95" s="167">
        <v>0</v>
      </c>
      <c r="BN95" s="1075">
        <f t="shared" si="87"/>
        <v>658.75386921083987</v>
      </c>
    </row>
    <row r="96" spans="1:73">
      <c r="A96" s="927">
        <f>'Input data'!A126</f>
        <v>2026</v>
      </c>
      <c r="B96" s="824">
        <f>'Input data'!B126</f>
        <v>63.421065342005143</v>
      </c>
      <c r="C96" s="824">
        <f>'Recycling - Case 3'!AK106/B96</f>
        <v>326.49534137552507</v>
      </c>
      <c r="D96" s="825">
        <f>'Recycling - Case 3'!AM106</f>
        <v>0.20451040324022446</v>
      </c>
      <c r="E96" s="826">
        <f>'Recycling - Case 3'!BE106</f>
        <v>0.19690110218745824</v>
      </c>
      <c r="F96" s="826">
        <f>'Recycling - Case 3'!BF106</f>
        <v>0.24972386653120623</v>
      </c>
      <c r="G96" s="826">
        <f>'Recycling - Case 3'!BG106</f>
        <v>6.3700184645464952E-2</v>
      </c>
      <c r="H96" s="826">
        <f>'Recycling - Case 3'!BH106</f>
        <v>0</v>
      </c>
      <c r="I96" s="826">
        <f>'Recycling - Case 3'!BI106</f>
        <v>0</v>
      </c>
      <c r="J96" s="826">
        <f>'Recycling - Case 3'!BJ106</f>
        <v>0</v>
      </c>
      <c r="K96" s="826">
        <f>'Recycling - Case 3'!BK106</f>
        <v>0.48967484663587058</v>
      </c>
      <c r="L96" s="827">
        <f t="shared" si="89"/>
        <v>1</v>
      </c>
      <c r="M96" s="4"/>
      <c r="N96" s="838">
        <f t="shared" si="56"/>
        <v>4234.7319631451019</v>
      </c>
      <c r="O96" s="833">
        <f>Parameters!R267</f>
        <v>0.91692307692307662</v>
      </c>
      <c r="P96" s="834">
        <f>E96*'MSW characteristics'!$B$28+'MSW characteristics'!$B$29*'4A SWD Case 3'!F96+'4A SWD Case 3'!G96*'MSW characteristics'!$B$30+'MSW characteristics'!$B$31*'4A SWD Case 3'!H96+'4A SWD Case 3'!I96*'MSW characteristics'!$B$32+'MSW characteristics'!$B$33*'4A SWD Case 3'!J96+'4A SWD Case 3'!K96*'MSW characteristics'!$B$35</f>
        <v>0.10496001249254597</v>
      </c>
      <c r="Q96" s="832">
        <f t="shared" si="57"/>
        <v>203.77584751812222</v>
      </c>
      <c r="R96" s="832">
        <f t="shared" si="58"/>
        <v>203.77584751812222</v>
      </c>
      <c r="S96" s="835">
        <f t="shared" si="59"/>
        <v>0</v>
      </c>
      <c r="T96" s="832">
        <f t="shared" si="60"/>
        <v>11191.352250158003</v>
      </c>
      <c r="U96" s="832">
        <f t="shared" si="61"/>
        <v>563.3450886786768</v>
      </c>
      <c r="V96" s="839">
        <f t="shared" si="62"/>
        <v>375.56339245245118</v>
      </c>
      <c r="W96" s="4"/>
      <c r="X96" s="852">
        <f>'Recycling - Case 3'!AM146</f>
        <v>0</v>
      </c>
      <c r="Y96" s="853">
        <f>Parameters!S266</f>
        <v>0.71500000000000008</v>
      </c>
      <c r="Z96" s="853">
        <f t="shared" si="63"/>
        <v>0.4</v>
      </c>
      <c r="AA96" s="854">
        <f t="shared" si="64"/>
        <v>0</v>
      </c>
      <c r="AB96" s="854">
        <f t="shared" si="65"/>
        <v>0</v>
      </c>
      <c r="AC96" s="855">
        <f t="shared" si="66"/>
        <v>0</v>
      </c>
      <c r="AD96" s="854">
        <f t="shared" si="67"/>
        <v>7355.0700740957882</v>
      </c>
      <c r="AE96" s="854">
        <f t="shared" si="68"/>
        <v>377.10250662137537</v>
      </c>
      <c r="AF96" s="856">
        <f t="shared" si="69"/>
        <v>251.40167108091691</v>
      </c>
      <c r="AG96" s="4"/>
      <c r="AH96" s="852">
        <f>'Recycling - Case 3'!AM186</f>
        <v>0</v>
      </c>
      <c r="AI96" s="853">
        <f>Parameters!S266</f>
        <v>0.71500000000000008</v>
      </c>
      <c r="AJ96" s="853">
        <f t="shared" si="70"/>
        <v>0.4</v>
      </c>
      <c r="AK96" s="854">
        <f t="shared" si="71"/>
        <v>0</v>
      </c>
      <c r="AL96" s="854">
        <f t="shared" si="72"/>
        <v>0</v>
      </c>
      <c r="AM96" s="855">
        <f t="shared" si="73"/>
        <v>0</v>
      </c>
      <c r="AN96" s="854">
        <f t="shared" si="74"/>
        <v>7355.0700740957882</v>
      </c>
      <c r="AO96" s="854">
        <f t="shared" si="75"/>
        <v>377.10250662137537</v>
      </c>
      <c r="AP96" s="856">
        <f t="shared" si="76"/>
        <v>251.40167108091691</v>
      </c>
      <c r="AQ96" s="4"/>
      <c r="AR96" s="850">
        <f>'Recycling - Case 3'!G106</f>
        <v>670.19900886595155</v>
      </c>
      <c r="AS96" s="846">
        <v>1</v>
      </c>
      <c r="AT96" s="846">
        <f t="shared" si="77"/>
        <v>0.05</v>
      </c>
      <c r="AU96" s="832">
        <f t="shared" si="78"/>
        <v>16.754975221648788</v>
      </c>
      <c r="AV96" s="832">
        <f t="shared" si="79"/>
        <v>16.754975221648788</v>
      </c>
      <c r="AW96" s="835">
        <f t="shared" si="80"/>
        <v>0</v>
      </c>
      <c r="AX96" s="832">
        <f t="shared" si="44"/>
        <v>190.77371048855414</v>
      </c>
      <c r="AY96" s="832">
        <f t="shared" si="49"/>
        <v>10.760717623096607</v>
      </c>
      <c r="AZ96" s="930">
        <f t="shared" si="47"/>
        <v>7.1738117487310715</v>
      </c>
      <c r="BA96" s="4"/>
      <c r="BB96" s="1055">
        <f t="shared" si="81"/>
        <v>375.56339245245118</v>
      </c>
      <c r="BC96" s="1056">
        <f t="shared" si="82"/>
        <v>251.40167108091691</v>
      </c>
      <c r="BD96" s="1082">
        <f t="shared" si="90"/>
        <v>7.1738117487310715</v>
      </c>
      <c r="BE96" s="1056">
        <f t="shared" si="54"/>
        <v>634.13887528209909</v>
      </c>
      <c r="BF96" s="167">
        <v>0</v>
      </c>
      <c r="BG96" s="1075">
        <f t="shared" si="83"/>
        <v>634.13887528209909</v>
      </c>
      <c r="BI96" s="1055">
        <f t="shared" si="84"/>
        <v>375.56339245245118</v>
      </c>
      <c r="BJ96" s="1056">
        <f t="shared" si="85"/>
        <v>251.40167108091691</v>
      </c>
      <c r="BK96" s="1082">
        <f t="shared" si="86"/>
        <v>7.1738117487310715</v>
      </c>
      <c r="BL96" s="1056">
        <f t="shared" si="55"/>
        <v>634.13887528209909</v>
      </c>
      <c r="BM96" s="167">
        <v>0</v>
      </c>
      <c r="BN96" s="1075">
        <f t="shared" si="87"/>
        <v>634.13887528209909</v>
      </c>
    </row>
    <row r="97" spans="1:66">
      <c r="A97" s="927">
        <f>'Input data'!A127</f>
        <v>2027</v>
      </c>
      <c r="B97" s="824">
        <f>'Input data'!B127</f>
        <v>64.045537563425796</v>
      </c>
      <c r="C97" s="824">
        <f>'Recycling - Case 3'!AK107/B97</f>
        <v>319.38789989359691</v>
      </c>
      <c r="D97" s="825">
        <f>'Recycling - Case 3'!AM107</f>
        <v>0.19067907685240901</v>
      </c>
      <c r="E97" s="826">
        <f>'Recycling - Case 3'!BE107</f>
        <v>0.20043273956918531</v>
      </c>
      <c r="F97" s="826">
        <f>'Recycling - Case 3'!BF107</f>
        <v>0.25420293816845591</v>
      </c>
      <c r="G97" s="826">
        <f>'Recycling - Case 3'!BG107</f>
        <v>6.1689515064928709E-2</v>
      </c>
      <c r="H97" s="826">
        <f>'Recycling - Case 3'!BH107</f>
        <v>0</v>
      </c>
      <c r="I97" s="826">
        <f>'Recycling - Case 3'!BI107</f>
        <v>0</v>
      </c>
      <c r="J97" s="826">
        <f>'Recycling - Case 3'!BJ107</f>
        <v>0</v>
      </c>
      <c r="K97" s="826">
        <f>'Recycling - Case 3'!BK107</f>
        <v>0.48367480719743011</v>
      </c>
      <c r="L97" s="827">
        <f t="shared" si="89"/>
        <v>1</v>
      </c>
      <c r="M97" s="4"/>
      <c r="N97" s="838">
        <f t="shared" si="56"/>
        <v>3900.4110186862781</v>
      </c>
      <c r="O97" s="833">
        <f>Parameters!R268</f>
        <v>0.93769230769230727</v>
      </c>
      <c r="P97" s="834">
        <f>E97*'MSW characteristics'!$B$28+'MSW characteristics'!$B$29*'4A SWD Case 3'!F97+'4A SWD Case 3'!G97*'MSW characteristics'!$B$30+'MSW characteristics'!$B$31*'4A SWD Case 3'!H97+'4A SWD Case 3'!I97*'MSW characteristics'!$B$32+'MSW characteristics'!$B$33*'4A SWD Case 3'!J97+'4A SWD Case 3'!K97*'MSW characteristics'!$B$35</f>
        <v>0.10558130459504046</v>
      </c>
      <c r="Q97" s="832">
        <f t="shared" si="57"/>
        <v>193.07576144773344</v>
      </c>
      <c r="R97" s="832">
        <f t="shared" si="58"/>
        <v>193.07576144773344</v>
      </c>
      <c r="S97" s="835">
        <f t="shared" si="59"/>
        <v>0</v>
      </c>
      <c r="T97" s="832">
        <f t="shared" si="60"/>
        <v>10838.619321750301</v>
      </c>
      <c r="U97" s="832">
        <f t="shared" si="61"/>
        <v>545.80868985543498</v>
      </c>
      <c r="V97" s="839">
        <f t="shared" si="62"/>
        <v>363.87245990362334</v>
      </c>
      <c r="W97" s="4"/>
      <c r="X97" s="852">
        <f>'Recycling - Case 3'!AM147</f>
        <v>0</v>
      </c>
      <c r="Y97" s="853">
        <f>Parameters!S267</f>
        <v>0.71500000000000008</v>
      </c>
      <c r="Z97" s="853">
        <f t="shared" si="63"/>
        <v>0.4</v>
      </c>
      <c r="AA97" s="854">
        <f t="shared" si="64"/>
        <v>0</v>
      </c>
      <c r="AB97" s="854">
        <f t="shared" si="65"/>
        <v>0</v>
      </c>
      <c r="AC97" s="855">
        <f t="shared" si="66"/>
        <v>0</v>
      </c>
      <c r="AD97" s="854">
        <f t="shared" si="67"/>
        <v>6996.3590737445602</v>
      </c>
      <c r="AE97" s="854">
        <f t="shared" si="68"/>
        <v>358.7110003512276</v>
      </c>
      <c r="AF97" s="856">
        <f t="shared" si="69"/>
        <v>239.14066690081839</v>
      </c>
      <c r="AG97" s="4"/>
      <c r="AH97" s="852">
        <f>'Recycling - Case 3'!AM187</f>
        <v>0</v>
      </c>
      <c r="AI97" s="853">
        <f>Parameters!S267</f>
        <v>0.71500000000000008</v>
      </c>
      <c r="AJ97" s="853">
        <f t="shared" si="70"/>
        <v>0.4</v>
      </c>
      <c r="AK97" s="854">
        <f t="shared" si="71"/>
        <v>0</v>
      </c>
      <c r="AL97" s="854">
        <f t="shared" si="72"/>
        <v>0</v>
      </c>
      <c r="AM97" s="855">
        <f t="shared" si="73"/>
        <v>0</v>
      </c>
      <c r="AN97" s="854">
        <f t="shared" si="74"/>
        <v>6996.3590737445602</v>
      </c>
      <c r="AO97" s="854">
        <f t="shared" si="75"/>
        <v>358.7110003512276</v>
      </c>
      <c r="AP97" s="856">
        <f t="shared" si="76"/>
        <v>239.14066690081839</v>
      </c>
      <c r="AQ97" s="4"/>
      <c r="AR97" s="850">
        <f>'Recycling - Case 3'!G107</f>
        <v>688.92146577149424</v>
      </c>
      <c r="AS97" s="846">
        <v>1</v>
      </c>
      <c r="AT97" s="846">
        <f t="shared" si="77"/>
        <v>0.05</v>
      </c>
      <c r="AU97" s="832">
        <f t="shared" si="78"/>
        <v>17.223036644287358</v>
      </c>
      <c r="AV97" s="832">
        <f t="shared" si="79"/>
        <v>17.223036644287358</v>
      </c>
      <c r="AW97" s="835">
        <f t="shared" si="80"/>
        <v>0</v>
      </c>
      <c r="AX97" s="832">
        <f t="shared" si="44"/>
        <v>196.88695112267706</v>
      </c>
      <c r="AY97" s="832">
        <f t="shared" si="49"/>
        <v>11.109796010164454</v>
      </c>
      <c r="AZ97" s="930">
        <f t="shared" si="47"/>
        <v>7.406530673442969</v>
      </c>
      <c r="BA97" s="4"/>
      <c r="BB97" s="1055">
        <f t="shared" si="81"/>
        <v>363.87245990362334</v>
      </c>
      <c r="BC97" s="1056">
        <f t="shared" si="82"/>
        <v>239.14066690081839</v>
      </c>
      <c r="BD97" s="1082">
        <f t="shared" si="90"/>
        <v>7.406530673442969</v>
      </c>
      <c r="BE97" s="1056">
        <f t="shared" si="54"/>
        <v>610.4196574778847</v>
      </c>
      <c r="BF97" s="167">
        <v>0</v>
      </c>
      <c r="BG97" s="1075">
        <f t="shared" si="83"/>
        <v>610.4196574778847</v>
      </c>
      <c r="BI97" s="1055">
        <f t="shared" si="84"/>
        <v>363.87245990362334</v>
      </c>
      <c r="BJ97" s="1056">
        <f t="shared" si="85"/>
        <v>239.14066690081839</v>
      </c>
      <c r="BK97" s="1082">
        <f t="shared" si="86"/>
        <v>7.406530673442969</v>
      </c>
      <c r="BL97" s="1056">
        <f t="shared" si="55"/>
        <v>610.4196574778847</v>
      </c>
      <c r="BM97" s="167">
        <v>0</v>
      </c>
      <c r="BN97" s="1075">
        <f t="shared" si="87"/>
        <v>610.4196574778847</v>
      </c>
    </row>
    <row r="98" spans="1:66">
      <c r="A98" s="927">
        <f>'Input data'!A128</f>
        <v>2028</v>
      </c>
      <c r="B98" s="824">
        <f>'Input data'!B128</f>
        <v>64.676158618096451</v>
      </c>
      <c r="C98" s="824">
        <f>'Recycling - Case 3'!AK108/B98</f>
        <v>312.40049312460883</v>
      </c>
      <c r="D98" s="825">
        <f>'Recycling - Case 3'!AM108</f>
        <v>0.17649661494683172</v>
      </c>
      <c r="E98" s="826">
        <f>'Recycling - Case 3'!BE108</f>
        <v>0.20402762314460737</v>
      </c>
      <c r="F98" s="826">
        <f>'Recycling - Case 3'!BF108</f>
        <v>0.25876222308972174</v>
      </c>
      <c r="G98" s="826">
        <f>'Recycling - Case 3'!BG108</f>
        <v>5.9640219057551069E-2</v>
      </c>
      <c r="H98" s="826">
        <f>'Recycling - Case 3'!BH108</f>
        <v>0</v>
      </c>
      <c r="I98" s="826">
        <f>'Recycling - Case 3'!BI108</f>
        <v>0</v>
      </c>
      <c r="J98" s="826">
        <f>'Recycling - Case 3'!BJ108</f>
        <v>0</v>
      </c>
      <c r="K98" s="826">
        <f>'Recycling - Case 3'!BK108</f>
        <v>0.4775699347081197</v>
      </c>
      <c r="L98" s="827">
        <f t="shared" si="89"/>
        <v>0.99999999999999989</v>
      </c>
      <c r="M98" s="4"/>
      <c r="N98" s="838">
        <f t="shared" si="56"/>
        <v>3566.0900742274539</v>
      </c>
      <c r="O98" s="833">
        <f>Parameters!R269</f>
        <v>0.95846153846153803</v>
      </c>
      <c r="P98" s="834">
        <f>E98*'MSW characteristics'!$B$28+'MSW characteristics'!$B$29*'4A SWD Case 3'!F98+'4A SWD Case 3'!G98*'MSW characteristics'!$B$30+'MSW characteristics'!$B$31*'4A SWD Case 3'!H98+'4A SWD Case 3'!I98*'MSW characteristics'!$B$32+'MSW characteristics'!$B$33*'4A SWD Case 3'!J98+'4A SWD Case 3'!K98*'MSW characteristics'!$B$35</f>
        <v>0.10621267571265587</v>
      </c>
      <c r="Q98" s="832">
        <f t="shared" si="57"/>
        <v>181.51534803676438</v>
      </c>
      <c r="R98" s="832">
        <f t="shared" si="58"/>
        <v>181.51534803676438</v>
      </c>
      <c r="S98" s="835">
        <f t="shared" si="59"/>
        <v>0</v>
      </c>
      <c r="T98" s="832">
        <f t="shared" si="60"/>
        <v>10491.528967847622</v>
      </c>
      <c r="U98" s="832">
        <f t="shared" si="61"/>
        <v>528.60570193944284</v>
      </c>
      <c r="V98" s="839">
        <f t="shared" si="62"/>
        <v>352.40380129296187</v>
      </c>
      <c r="W98" s="4"/>
      <c r="X98" s="852">
        <f>'Recycling - Case 3'!AM148</f>
        <v>0</v>
      </c>
      <c r="Y98" s="853">
        <f>Parameters!S268</f>
        <v>0.71500000000000008</v>
      </c>
      <c r="Z98" s="853">
        <f t="shared" si="63"/>
        <v>0.4</v>
      </c>
      <c r="AA98" s="854">
        <f t="shared" si="64"/>
        <v>0</v>
      </c>
      <c r="AB98" s="854">
        <f t="shared" si="65"/>
        <v>0</v>
      </c>
      <c r="AC98" s="855">
        <f t="shared" si="66"/>
        <v>0</v>
      </c>
      <c r="AD98" s="854">
        <f t="shared" si="67"/>
        <v>6655.1426153183866</v>
      </c>
      <c r="AE98" s="854">
        <f t="shared" si="68"/>
        <v>341.21645842617363</v>
      </c>
      <c r="AF98" s="856">
        <f t="shared" si="69"/>
        <v>227.47763895078242</v>
      </c>
      <c r="AG98" s="4"/>
      <c r="AH98" s="852">
        <f>'Recycling - Case 3'!AM188</f>
        <v>0</v>
      </c>
      <c r="AI98" s="853">
        <f>Parameters!S268</f>
        <v>0.71500000000000008</v>
      </c>
      <c r="AJ98" s="853">
        <f t="shared" si="70"/>
        <v>0.4</v>
      </c>
      <c r="AK98" s="854">
        <f t="shared" si="71"/>
        <v>0</v>
      </c>
      <c r="AL98" s="854">
        <f t="shared" si="72"/>
        <v>0</v>
      </c>
      <c r="AM98" s="855">
        <f t="shared" si="73"/>
        <v>0</v>
      </c>
      <c r="AN98" s="854">
        <f t="shared" si="74"/>
        <v>6655.1426153183866</v>
      </c>
      <c r="AO98" s="854">
        <f t="shared" si="75"/>
        <v>341.21645842617363</v>
      </c>
      <c r="AP98" s="856">
        <f t="shared" si="76"/>
        <v>227.47763895078242</v>
      </c>
      <c r="AQ98" s="4"/>
      <c r="AR98" s="850">
        <f>'Recycling - Case 3'!G108</f>
        <v>707.94764457850295</v>
      </c>
      <c r="AS98" s="846">
        <v>1</v>
      </c>
      <c r="AT98" s="846">
        <f t="shared" si="77"/>
        <v>0.05</v>
      </c>
      <c r="AU98" s="832">
        <f t="shared" si="78"/>
        <v>17.698691114462573</v>
      </c>
      <c r="AV98" s="832">
        <f t="shared" si="79"/>
        <v>17.698691114462573</v>
      </c>
      <c r="AW98" s="835">
        <f t="shared" si="80"/>
        <v>0</v>
      </c>
      <c r="AX98" s="832">
        <f t="shared" si="44"/>
        <v>203.11983880733533</v>
      </c>
      <c r="AY98" s="832">
        <f t="shared" si="49"/>
        <v>11.465803429804323</v>
      </c>
      <c r="AZ98" s="930">
        <f t="shared" si="47"/>
        <v>7.6438689532028823</v>
      </c>
      <c r="BA98" s="4"/>
      <c r="BB98" s="1055">
        <f t="shared" si="81"/>
        <v>352.40380129296187</v>
      </c>
      <c r="BC98" s="1056">
        <f t="shared" si="82"/>
        <v>227.47763895078242</v>
      </c>
      <c r="BD98" s="1082">
        <f t="shared" si="90"/>
        <v>7.6438689532028823</v>
      </c>
      <c r="BE98" s="1056">
        <f t="shared" si="54"/>
        <v>587.52530919694709</v>
      </c>
      <c r="BF98" s="167">
        <v>0</v>
      </c>
      <c r="BG98" s="1075">
        <f t="shared" si="83"/>
        <v>587.52530919694709</v>
      </c>
      <c r="BI98" s="1055">
        <f t="shared" si="84"/>
        <v>352.40380129296187</v>
      </c>
      <c r="BJ98" s="1056">
        <f t="shared" si="85"/>
        <v>227.47763895078242</v>
      </c>
      <c r="BK98" s="1082">
        <f t="shared" si="86"/>
        <v>7.6438689532028823</v>
      </c>
      <c r="BL98" s="1056">
        <f t="shared" si="55"/>
        <v>587.52530919694709</v>
      </c>
      <c r="BM98" s="167">
        <v>0</v>
      </c>
      <c r="BN98" s="1075">
        <f t="shared" si="87"/>
        <v>587.52530919694709</v>
      </c>
    </row>
    <row r="99" spans="1:66">
      <c r="A99" s="927">
        <f>'Input data'!A129</f>
        <v>2029</v>
      </c>
      <c r="B99" s="824">
        <f>'Input data'!B129</f>
        <v>65.31298905018393</v>
      </c>
      <c r="C99" s="824">
        <f>'Recycling - Case 3'!AK109/B99</f>
        <v>305.53070568103118</v>
      </c>
      <c r="D99" s="825">
        <f>'Recycling - Case 3'!AM109</f>
        <v>0.161951847001268</v>
      </c>
      <c r="E99" s="826">
        <f>'Recycling - Case 3'!BE109</f>
        <v>0.20768815931261841</v>
      </c>
      <c r="F99" s="826">
        <f>'Recycling - Case 3'!BF109</f>
        <v>0.26340477325982065</v>
      </c>
      <c r="G99" s="826">
        <f>'Recycling - Case 3'!BG109</f>
        <v>5.7550871499356622E-2</v>
      </c>
      <c r="H99" s="826">
        <f>'Recycling - Case 3'!BH109</f>
        <v>0</v>
      </c>
      <c r="I99" s="826">
        <f>'Recycling - Case 3'!BI109</f>
        <v>0</v>
      </c>
      <c r="J99" s="826">
        <f>'Recycling - Case 3'!BJ109</f>
        <v>0</v>
      </c>
      <c r="K99" s="826">
        <f>'Recycling - Case 3'!BK109</f>
        <v>0.47135619592820438</v>
      </c>
      <c r="L99" s="827">
        <f t="shared" si="89"/>
        <v>1</v>
      </c>
      <c r="M99" s="4"/>
      <c r="N99" s="838">
        <f t="shared" si="56"/>
        <v>3231.7691297686301</v>
      </c>
      <c r="O99" s="833">
        <f>Parameters!R270</f>
        <v>0.97923076923076879</v>
      </c>
      <c r="P99" s="834">
        <f>E99*'MSW characteristics'!$B$28+'MSW characteristics'!$B$29*'4A SWD Case 3'!F99+'4A SWD Case 3'!G99*'MSW characteristics'!$B$30+'MSW characteristics'!$B$31*'4A SWD Case 3'!H99+'4A SWD Case 3'!I99*'MSW characteristics'!$B$32+'MSW characteristics'!$B$33*'4A SWD Case 3'!J99+'4A SWD Case 3'!K99*'MSW characteristics'!$B$35</f>
        <v>0.10685452714859954</v>
      </c>
      <c r="Q99" s="832">
        <f t="shared" si="57"/>
        <v>169.07847057674107</v>
      </c>
      <c r="R99" s="832">
        <f t="shared" si="58"/>
        <v>169.07847057674107</v>
      </c>
      <c r="S99" s="835">
        <f t="shared" si="59"/>
        <v>0</v>
      </c>
      <c r="T99" s="832">
        <f t="shared" si="60"/>
        <v>10148.929532795006</v>
      </c>
      <c r="U99" s="832">
        <f t="shared" si="61"/>
        <v>511.67790562935841</v>
      </c>
      <c r="V99" s="839">
        <f t="shared" si="62"/>
        <v>341.11860375290559</v>
      </c>
      <c r="W99" s="4"/>
      <c r="X99" s="852">
        <f>'Recycling - Case 3'!AM149</f>
        <v>0</v>
      </c>
      <c r="Y99" s="853">
        <f>Parameters!S269</f>
        <v>0.71500000000000008</v>
      </c>
      <c r="Z99" s="853">
        <f t="shared" si="63"/>
        <v>0.4</v>
      </c>
      <c r="AA99" s="854">
        <f t="shared" si="64"/>
        <v>0</v>
      </c>
      <c r="AB99" s="854">
        <f t="shared" si="65"/>
        <v>0</v>
      </c>
      <c r="AC99" s="855">
        <f t="shared" si="66"/>
        <v>0</v>
      </c>
      <c r="AD99" s="854">
        <f t="shared" si="67"/>
        <v>6330.5674799394856</v>
      </c>
      <c r="AE99" s="854">
        <f t="shared" si="68"/>
        <v>324.57513537890094</v>
      </c>
      <c r="AF99" s="856">
        <f t="shared" si="69"/>
        <v>216.38342358593397</v>
      </c>
      <c r="AG99" s="4"/>
      <c r="AH99" s="852">
        <f>'Recycling - Case 3'!AM189</f>
        <v>0</v>
      </c>
      <c r="AI99" s="853">
        <f>Parameters!S269</f>
        <v>0.71500000000000008</v>
      </c>
      <c r="AJ99" s="853">
        <f t="shared" si="70"/>
        <v>0.4</v>
      </c>
      <c r="AK99" s="854">
        <f t="shared" si="71"/>
        <v>0</v>
      </c>
      <c r="AL99" s="854">
        <f t="shared" si="72"/>
        <v>0</v>
      </c>
      <c r="AM99" s="855">
        <f t="shared" si="73"/>
        <v>0</v>
      </c>
      <c r="AN99" s="854">
        <f t="shared" si="74"/>
        <v>6330.5674799394856</v>
      </c>
      <c r="AO99" s="854">
        <f t="shared" si="75"/>
        <v>324.57513537890094</v>
      </c>
      <c r="AP99" s="856">
        <f t="shared" si="76"/>
        <v>216.38342358593397</v>
      </c>
      <c r="AQ99" s="4"/>
      <c r="AR99" s="850">
        <f>'Recycling - Case 3'!G109</f>
        <v>727.28171126107532</v>
      </c>
      <c r="AS99" s="846">
        <v>1</v>
      </c>
      <c r="AT99" s="846">
        <f t="shared" si="77"/>
        <v>0.05</v>
      </c>
      <c r="AU99" s="832">
        <f t="shared" si="78"/>
        <v>18.182042781526885</v>
      </c>
      <c r="AV99" s="832">
        <f t="shared" si="79"/>
        <v>18.182042781526885</v>
      </c>
      <c r="AW99" s="835">
        <f t="shared" si="80"/>
        <v>0</v>
      </c>
      <c r="AX99" s="832">
        <f t="shared" si="44"/>
        <v>209.47310303762484</v>
      </c>
      <c r="AY99" s="832">
        <f t="shared" si="49"/>
        <v>11.82877855123739</v>
      </c>
      <c r="AZ99" s="930">
        <f t="shared" si="47"/>
        <v>7.8858523674915935</v>
      </c>
      <c r="BA99" s="4"/>
      <c r="BB99" s="1055">
        <f t="shared" si="81"/>
        <v>341.11860375290559</v>
      </c>
      <c r="BC99" s="1056">
        <f t="shared" si="82"/>
        <v>216.38342358593397</v>
      </c>
      <c r="BD99" s="1082">
        <f t="shared" si="90"/>
        <v>7.8858523674915935</v>
      </c>
      <c r="BE99" s="1056">
        <f t="shared" si="54"/>
        <v>565.38787970633109</v>
      </c>
      <c r="BF99" s="167">
        <v>0</v>
      </c>
      <c r="BG99" s="1075">
        <f t="shared" si="83"/>
        <v>565.38787970633109</v>
      </c>
      <c r="BI99" s="1055">
        <f t="shared" si="84"/>
        <v>341.11860375290559</v>
      </c>
      <c r="BJ99" s="1056">
        <f t="shared" si="85"/>
        <v>216.38342358593397</v>
      </c>
      <c r="BK99" s="1082">
        <f t="shared" si="86"/>
        <v>7.8858523674915935</v>
      </c>
      <c r="BL99" s="1056">
        <f t="shared" si="55"/>
        <v>565.38787970633109</v>
      </c>
      <c r="BM99" s="167">
        <v>0</v>
      </c>
      <c r="BN99" s="1075">
        <f t="shared" si="87"/>
        <v>565.38787970633109</v>
      </c>
    </row>
    <row r="100" spans="1:66">
      <c r="A100" s="927">
        <f>'Input data'!A130</f>
        <v>2030</v>
      </c>
      <c r="B100" s="824">
        <f>'Input data'!B130</f>
        <v>65.956090000000003</v>
      </c>
      <c r="C100" s="824">
        <f>'Recycling - Case 3'!AK110/B100</f>
        <v>298.77612226712506</v>
      </c>
      <c r="D100" s="825">
        <f>'Recycling - Case 3'!AM110</f>
        <v>0.1470330241938301</v>
      </c>
      <c r="E100" s="826">
        <f>'Recycling - Case 3'!BE110</f>
        <v>0.21141686250550593</v>
      </c>
      <c r="F100" s="826">
        <f>'Recycling - Case 3'!BF110</f>
        <v>0.26813377765913904</v>
      </c>
      <c r="G100" s="826">
        <f>'Recycling - Case 3'!BG110</f>
        <v>5.541998265772928E-2</v>
      </c>
      <c r="H100" s="826">
        <f>'Recycling - Case 3'!BH110</f>
        <v>0</v>
      </c>
      <c r="I100" s="826">
        <f>'Recycling - Case 3'!BI110</f>
        <v>0</v>
      </c>
      <c r="J100" s="826">
        <f>'Recycling - Case 3'!BJ110</f>
        <v>0</v>
      </c>
      <c r="K100" s="826">
        <f>'Recycling - Case 3'!BK110</f>
        <v>0.46502937717762582</v>
      </c>
      <c r="L100" s="827">
        <f t="shared" si="89"/>
        <v>1</v>
      </c>
      <c r="M100" s="4"/>
      <c r="N100" s="838">
        <f t="shared" si="56"/>
        <v>2897.4481853098064</v>
      </c>
      <c r="O100" s="833">
        <f>Parameters!R271</f>
        <v>1</v>
      </c>
      <c r="P100" s="834">
        <f>E100*'MSW characteristics'!$B$28+'MSW characteristics'!$B$29*'4A SWD Case 3'!F100+'4A SWD Case 3'!G100*'MSW characteristics'!$B$30+'MSW characteristics'!$B$31*'4A SWD Case 3'!H100+'4A SWD Case 3'!I100*'MSW characteristics'!$B$32+'MSW characteristics'!$B$33*'4A SWD Case 3'!J100+'4A SWD Case 3'!K100*'MSW characteristics'!$B$35</f>
        <v>0.1075072779707454</v>
      </c>
      <c r="Q100" s="832">
        <f t="shared" si="57"/>
        <v>155.74838373196658</v>
      </c>
      <c r="R100" s="832">
        <f t="shared" si="58"/>
        <v>155.74838373196658</v>
      </c>
      <c r="S100" s="835">
        <f t="shared" si="59"/>
        <v>0</v>
      </c>
      <c r="T100" s="832">
        <f t="shared" si="60"/>
        <v>9809.7087825108611</v>
      </c>
      <c r="U100" s="832">
        <f t="shared" si="61"/>
        <v>494.96913401611204</v>
      </c>
      <c r="V100" s="839">
        <f t="shared" si="62"/>
        <v>329.97942267740802</v>
      </c>
      <c r="W100" s="4"/>
      <c r="X100" s="852">
        <f>'Recycling - Case 3'!AM150</f>
        <v>0</v>
      </c>
      <c r="Y100" s="853">
        <f>Parameters!S270</f>
        <v>0.71500000000000008</v>
      </c>
      <c r="Z100" s="853">
        <f t="shared" si="63"/>
        <v>0.4</v>
      </c>
      <c r="AA100" s="854">
        <f t="shared" si="64"/>
        <v>0</v>
      </c>
      <c r="AB100" s="854">
        <f t="shared" si="65"/>
        <v>0</v>
      </c>
      <c r="AC100" s="855">
        <f t="shared" si="66"/>
        <v>0</v>
      </c>
      <c r="AD100" s="854">
        <f t="shared" si="67"/>
        <v>6021.8220607057719</v>
      </c>
      <c r="AE100" s="854">
        <f t="shared" si="68"/>
        <v>308.74541923371328</v>
      </c>
      <c r="AF100" s="856">
        <f t="shared" si="69"/>
        <v>205.83027948914219</v>
      </c>
      <c r="AG100" s="4"/>
      <c r="AH100" s="852">
        <f>'Recycling - Case 3'!AM190</f>
        <v>0</v>
      </c>
      <c r="AI100" s="853">
        <f>Parameters!S270</f>
        <v>0.71500000000000008</v>
      </c>
      <c r="AJ100" s="853">
        <f t="shared" si="70"/>
        <v>0.4</v>
      </c>
      <c r="AK100" s="854">
        <f t="shared" si="71"/>
        <v>0</v>
      </c>
      <c r="AL100" s="854">
        <f t="shared" si="72"/>
        <v>0</v>
      </c>
      <c r="AM100" s="855">
        <f t="shared" si="73"/>
        <v>0</v>
      </c>
      <c r="AN100" s="854">
        <f t="shared" si="74"/>
        <v>6021.8220607057719</v>
      </c>
      <c r="AO100" s="854">
        <f t="shared" si="75"/>
        <v>308.74541923371328</v>
      </c>
      <c r="AP100" s="856">
        <f t="shared" si="76"/>
        <v>205.83027948914219</v>
      </c>
      <c r="AQ100" s="4"/>
      <c r="AR100" s="850">
        <f>'Recycling - Case 3'!G110</f>
        <v>746.92788438679418</v>
      </c>
      <c r="AS100" s="846">
        <v>1</v>
      </c>
      <c r="AT100" s="846">
        <f t="shared" si="77"/>
        <v>0.05</v>
      </c>
      <c r="AU100" s="832">
        <f t="shared" si="78"/>
        <v>18.673197109669854</v>
      </c>
      <c r="AV100" s="832">
        <f t="shared" si="79"/>
        <v>18.673197109669854</v>
      </c>
      <c r="AW100" s="835">
        <f t="shared" si="80"/>
        <v>0</v>
      </c>
      <c r="AX100" s="832">
        <f t="shared" si="44"/>
        <v>215.94753629034386</v>
      </c>
      <c r="AY100" s="832">
        <f t="shared" si="49"/>
        <v>12.198763856950809</v>
      </c>
      <c r="AZ100" s="930">
        <f t="shared" si="47"/>
        <v>8.1325092379672057</v>
      </c>
      <c r="BA100" s="4"/>
      <c r="BB100" s="1055">
        <f t="shared" si="81"/>
        <v>329.97942267740802</v>
      </c>
      <c r="BC100" s="1056">
        <f t="shared" si="82"/>
        <v>205.83027948914219</v>
      </c>
      <c r="BD100" s="1082">
        <f t="shared" si="90"/>
        <v>8.1325092379672057</v>
      </c>
      <c r="BE100" s="1056">
        <f t="shared" si="54"/>
        <v>543.94221140451737</v>
      </c>
      <c r="BF100" s="167">
        <v>0</v>
      </c>
      <c r="BG100" s="1075">
        <f t="shared" si="83"/>
        <v>543.94221140451737</v>
      </c>
      <c r="BI100" s="1055">
        <f t="shared" si="84"/>
        <v>329.97942267740802</v>
      </c>
      <c r="BJ100" s="1056">
        <f t="shared" si="85"/>
        <v>205.83027948914219</v>
      </c>
      <c r="BK100" s="1082">
        <f t="shared" si="86"/>
        <v>8.1325092379672057</v>
      </c>
      <c r="BL100" s="1056">
        <f t="shared" si="55"/>
        <v>543.94221140451737</v>
      </c>
      <c r="BM100" s="167">
        <v>0</v>
      </c>
      <c r="BN100" s="1075">
        <f t="shared" si="87"/>
        <v>543.94221140451737</v>
      </c>
    </row>
    <row r="101" spans="1:66">
      <c r="A101" s="927">
        <f>'Input data'!A131</f>
        <v>2031</v>
      </c>
      <c r="B101" s="824">
        <f>'Input data'!B131</f>
        <v>66.518977190687664</v>
      </c>
      <c r="C101" s="824">
        <f>'Recycling - Case 3'!AK111/B101</f>
        <v>290.33093279482745</v>
      </c>
      <c r="D101" s="825">
        <f>'Recycling - Case 3'!AM111</f>
        <v>0.1327184478933309</v>
      </c>
      <c r="E101" s="826">
        <f>'Recycling - Case 3'!BE111</f>
        <v>0.21211281030749607</v>
      </c>
      <c r="F101" s="826">
        <f>'Recycling - Case 3'!BF111</f>
        <v>0.26901642775142459</v>
      </c>
      <c r="G101" s="826">
        <f>'Recycling - Case 3'!BG111</f>
        <v>5.525188586546504E-2</v>
      </c>
      <c r="H101" s="826">
        <f>'Recycling - Case 3'!BH111</f>
        <v>0</v>
      </c>
      <c r="I101" s="826">
        <f>'Recycling - Case 3'!BI111</f>
        <v>0</v>
      </c>
      <c r="J101" s="826">
        <f>'Recycling - Case 3'!BJ111</f>
        <v>0</v>
      </c>
      <c r="K101" s="826">
        <f>'Recycling - Case 3'!BK111</f>
        <v>0.46361887607561419</v>
      </c>
      <c r="L101" s="827">
        <f t="shared" si="89"/>
        <v>1</v>
      </c>
      <c r="M101" s="4"/>
      <c r="N101" s="838">
        <f t="shared" si="56"/>
        <v>2563.1272408509826</v>
      </c>
      <c r="O101" s="833">
        <f>Parameters!R272</f>
        <v>1</v>
      </c>
      <c r="P101" s="834">
        <f>E101*'MSW characteristics'!$B$28+'MSW characteristics'!$B$29*'4A SWD Case 3'!F101+'4A SWD Case 3'!G101*'MSW characteristics'!$B$30+'MSW characteristics'!$B$31*'4A SWD Case 3'!H101+'4A SWD Case 3'!I101*'MSW characteristics'!$B$32+'MSW characteristics'!$B$33*'4A SWD Case 3'!J101+'4A SWD Case 3'!K101*'MSW characteristics'!$B$35</f>
        <v>0.10772096144259535</v>
      </c>
      <c r="Q101" s="832">
        <f t="shared" si="57"/>
        <v>138.05126534208725</v>
      </c>
      <c r="R101" s="832">
        <f t="shared" si="58"/>
        <v>138.05126534208725</v>
      </c>
      <c r="S101" s="835">
        <f t="shared" si="59"/>
        <v>0</v>
      </c>
      <c r="T101" s="832">
        <f t="shared" si="60"/>
        <v>9469.3349050494926</v>
      </c>
      <c r="U101" s="832">
        <f t="shared" si="61"/>
        <v>478.42514280345472</v>
      </c>
      <c r="V101" s="839">
        <f t="shared" si="62"/>
        <v>318.95009520230315</v>
      </c>
      <c r="W101" s="4"/>
      <c r="X101" s="852">
        <f>'Recycling - Case 3'!AM151</f>
        <v>0</v>
      </c>
      <c r="Y101" s="853">
        <f>Parameters!S271</f>
        <v>0.71500000000000008</v>
      </c>
      <c r="Z101" s="853">
        <f t="shared" si="63"/>
        <v>0.4</v>
      </c>
      <c r="AA101" s="854">
        <f t="shared" si="64"/>
        <v>0</v>
      </c>
      <c r="AB101" s="854">
        <f t="shared" si="65"/>
        <v>0</v>
      </c>
      <c r="AC101" s="855">
        <f t="shared" si="66"/>
        <v>0</v>
      </c>
      <c r="AD101" s="854">
        <f t="shared" si="67"/>
        <v>5728.134333250855</v>
      </c>
      <c r="AE101" s="854">
        <f t="shared" si="68"/>
        <v>293.68772745491674</v>
      </c>
      <c r="AF101" s="856">
        <f t="shared" si="69"/>
        <v>195.79181830327784</v>
      </c>
      <c r="AG101" s="4"/>
      <c r="AH101" s="852">
        <f>'Recycling - Case 3'!AM191</f>
        <v>0</v>
      </c>
      <c r="AI101" s="853">
        <f>Parameters!S271</f>
        <v>0.71500000000000008</v>
      </c>
      <c r="AJ101" s="853">
        <f t="shared" si="70"/>
        <v>0.4</v>
      </c>
      <c r="AK101" s="854">
        <f t="shared" si="71"/>
        <v>0</v>
      </c>
      <c r="AL101" s="854">
        <f t="shared" si="72"/>
        <v>0</v>
      </c>
      <c r="AM101" s="855">
        <f t="shared" si="73"/>
        <v>0</v>
      </c>
      <c r="AN101" s="854">
        <f t="shared" si="74"/>
        <v>5728.134333250855</v>
      </c>
      <c r="AO101" s="854">
        <f t="shared" si="75"/>
        <v>293.68772745491674</v>
      </c>
      <c r="AP101" s="856">
        <f t="shared" si="76"/>
        <v>195.79181830327784</v>
      </c>
      <c r="AQ101" s="4"/>
      <c r="AR101" s="850">
        <f>'Recycling - Case 3'!G111</f>
        <v>753.30236987386229</v>
      </c>
      <c r="AS101" s="846">
        <v>1</v>
      </c>
      <c r="AT101" s="846">
        <f t="shared" si="77"/>
        <v>0.05</v>
      </c>
      <c r="AU101" s="832">
        <f t="shared" si="78"/>
        <v>18.832559246846557</v>
      </c>
      <c r="AV101" s="832">
        <f t="shared" si="79"/>
        <v>18.832559246846557</v>
      </c>
      <c r="AW101" s="835">
        <f t="shared" si="80"/>
        <v>0</v>
      </c>
      <c r="AX101" s="832">
        <f t="shared" si="44"/>
        <v>222.20429003998987</v>
      </c>
      <c r="AY101" s="832">
        <f t="shared" si="49"/>
        <v>12.57580549720055</v>
      </c>
      <c r="AZ101" s="930">
        <f t="shared" si="47"/>
        <v>8.3838703314670333</v>
      </c>
      <c r="BA101" s="4"/>
      <c r="BB101" s="1055">
        <f t="shared" si="81"/>
        <v>318.95009520230315</v>
      </c>
      <c r="BC101" s="1056">
        <f t="shared" si="82"/>
        <v>195.79181830327784</v>
      </c>
      <c r="BD101" s="1082">
        <f t="shared" si="90"/>
        <v>8.3838703314670333</v>
      </c>
      <c r="BE101" s="1056">
        <f t="shared" si="54"/>
        <v>523.12578383704806</v>
      </c>
      <c r="BF101" s="167">
        <v>0</v>
      </c>
      <c r="BG101" s="1075">
        <f t="shared" si="83"/>
        <v>523.12578383704806</v>
      </c>
      <c r="BI101" s="1055">
        <f t="shared" si="84"/>
        <v>318.95009520230315</v>
      </c>
      <c r="BJ101" s="1056">
        <f t="shared" si="85"/>
        <v>195.79181830327784</v>
      </c>
      <c r="BK101" s="1082">
        <f t="shared" si="86"/>
        <v>8.3838703314670333</v>
      </c>
      <c r="BL101" s="1056">
        <f t="shared" si="55"/>
        <v>523.12578383704806</v>
      </c>
      <c r="BM101" s="167">
        <v>0</v>
      </c>
      <c r="BN101" s="1075">
        <f t="shared" si="87"/>
        <v>523.12578383704806</v>
      </c>
    </row>
    <row r="102" spans="1:66">
      <c r="A102" s="927">
        <f>'Input data'!A132</f>
        <v>2032</v>
      </c>
      <c r="B102" s="824">
        <f>'Input data'!B132</f>
        <v>67.08666821358311</v>
      </c>
      <c r="C102" s="824">
        <f>'Recycling - Case 3'!AK112/B102</f>
        <v>282.03003311800558</v>
      </c>
      <c r="D102" s="825">
        <f>'Recycling - Case 3'!AM112</f>
        <v>0.117798766784085</v>
      </c>
      <c r="E102" s="826">
        <f>'Recycling - Case 3'!BE112</f>
        <v>0.21279871307702919</v>
      </c>
      <c r="F102" s="826">
        <f>'Recycling - Case 3'!BF112</f>
        <v>0.26988633802500545</v>
      </c>
      <c r="G102" s="826">
        <f>'Recycling - Case 3'!BG112</f>
        <v>5.5086215315124989E-2</v>
      </c>
      <c r="H102" s="826">
        <f>'Recycling - Case 3'!BH112</f>
        <v>0</v>
      </c>
      <c r="I102" s="826">
        <f>'Recycling - Case 3'!BI112</f>
        <v>0</v>
      </c>
      <c r="J102" s="826">
        <f>'Recycling - Case 3'!BJ112</f>
        <v>0</v>
      </c>
      <c r="K102" s="826">
        <f>'Recycling - Case 3'!BK112</f>
        <v>0.46222873358284033</v>
      </c>
      <c r="L102" s="827">
        <f t="shared" si="89"/>
        <v>1</v>
      </c>
      <c r="M102" s="4"/>
      <c r="N102" s="838">
        <f t="shared" si="56"/>
        <v>2228.8062963921589</v>
      </c>
      <c r="O102" s="833">
        <f>Parameters!R273</f>
        <v>1</v>
      </c>
      <c r="P102" s="834">
        <f>E102*'MSW characteristics'!$B$28+'MSW characteristics'!$B$29*'4A SWD Case 3'!F102+'4A SWD Case 3'!G102*'MSW characteristics'!$B$30+'MSW characteristics'!$B$31*'4A SWD Case 3'!H102+'4A SWD Case 3'!I102*'MSW characteristics'!$B$32+'MSW characteristics'!$B$33*'4A SWD Case 3'!J102+'4A SWD Case 3'!K102*'MSW characteristics'!$B$35</f>
        <v>0.10793156069260547</v>
      </c>
      <c r="Q102" s="832">
        <f t="shared" si="57"/>
        <v>120.27927102555576</v>
      </c>
      <c r="R102" s="832">
        <f t="shared" si="58"/>
        <v>120.27927102555576</v>
      </c>
      <c r="S102" s="835">
        <f t="shared" si="59"/>
        <v>0</v>
      </c>
      <c r="T102" s="832">
        <f t="shared" si="60"/>
        <v>9127.7892631603081</v>
      </c>
      <c r="U102" s="832">
        <f t="shared" si="61"/>
        <v>461.82491291474037</v>
      </c>
      <c r="V102" s="839">
        <f t="shared" si="62"/>
        <v>307.88327527649358</v>
      </c>
      <c r="W102" s="4"/>
      <c r="X102" s="852">
        <f>'Recycling - Case 3'!AM152</f>
        <v>0</v>
      </c>
      <c r="Y102" s="853">
        <f>Parameters!S272</f>
        <v>0.71500000000000008</v>
      </c>
      <c r="Z102" s="853">
        <f t="shared" si="63"/>
        <v>0.4</v>
      </c>
      <c r="AA102" s="854">
        <f t="shared" si="64"/>
        <v>0</v>
      </c>
      <c r="AB102" s="854">
        <f t="shared" si="65"/>
        <v>0</v>
      </c>
      <c r="AC102" s="855">
        <f t="shared" si="66"/>
        <v>0</v>
      </c>
      <c r="AD102" s="854">
        <f t="shared" si="67"/>
        <v>5448.7699252809916</v>
      </c>
      <c r="AE102" s="854">
        <f t="shared" si="68"/>
        <v>279.36440796986301</v>
      </c>
      <c r="AF102" s="856">
        <f t="shared" si="69"/>
        <v>186.24293864657534</v>
      </c>
      <c r="AG102" s="4"/>
      <c r="AH102" s="852">
        <f>'Recycling - Case 3'!AM192</f>
        <v>0</v>
      </c>
      <c r="AI102" s="853">
        <f>Parameters!S272</f>
        <v>0.71500000000000008</v>
      </c>
      <c r="AJ102" s="853">
        <f t="shared" si="70"/>
        <v>0.4</v>
      </c>
      <c r="AK102" s="854">
        <f t="shared" si="71"/>
        <v>0</v>
      </c>
      <c r="AL102" s="854">
        <f t="shared" si="72"/>
        <v>0</v>
      </c>
      <c r="AM102" s="855">
        <f t="shared" si="73"/>
        <v>0</v>
      </c>
      <c r="AN102" s="854">
        <f t="shared" si="74"/>
        <v>5448.7699252809916</v>
      </c>
      <c r="AO102" s="854">
        <f t="shared" si="75"/>
        <v>279.36440796986301</v>
      </c>
      <c r="AP102" s="856">
        <f t="shared" si="76"/>
        <v>186.24293864657534</v>
      </c>
      <c r="AQ102" s="4"/>
      <c r="AR102" s="850">
        <f>'Recycling - Case 3'!G112</f>
        <v>759.73125695186627</v>
      </c>
      <c r="AS102" s="846">
        <v>1</v>
      </c>
      <c r="AT102" s="846">
        <f t="shared" si="77"/>
        <v>0.05</v>
      </c>
      <c r="AU102" s="832">
        <f t="shared" si="78"/>
        <v>18.993281423796656</v>
      </c>
      <c r="AV102" s="832">
        <f t="shared" si="79"/>
        <v>18.993281423796656</v>
      </c>
      <c r="AW102" s="835">
        <f t="shared" si="80"/>
        <v>0</v>
      </c>
      <c r="AX102" s="832">
        <f t="shared" si="44"/>
        <v>228.25740099372683</v>
      </c>
      <c r="AY102" s="832">
        <f t="shared" si="49"/>
        <v>12.940170470059687</v>
      </c>
      <c r="AZ102" s="930">
        <f t="shared" si="47"/>
        <v>8.6267803133731249</v>
      </c>
      <c r="BA102" s="4"/>
      <c r="BB102" s="1055">
        <f t="shared" si="81"/>
        <v>307.88327527649358</v>
      </c>
      <c r="BC102" s="1056">
        <f t="shared" si="82"/>
        <v>186.24293864657534</v>
      </c>
      <c r="BD102" s="1082">
        <f t="shared" si="90"/>
        <v>8.6267803133731249</v>
      </c>
      <c r="BE102" s="1056">
        <f t="shared" si="54"/>
        <v>502.75299423644202</v>
      </c>
      <c r="BF102" s="167">
        <v>0</v>
      </c>
      <c r="BG102" s="1075">
        <f t="shared" si="83"/>
        <v>502.75299423644202</v>
      </c>
      <c r="BI102" s="1055">
        <f t="shared" si="84"/>
        <v>307.88327527649358</v>
      </c>
      <c r="BJ102" s="1056">
        <f t="shared" si="85"/>
        <v>186.24293864657534</v>
      </c>
      <c r="BK102" s="1082">
        <f t="shared" si="86"/>
        <v>8.6267803133731249</v>
      </c>
      <c r="BL102" s="1056">
        <f t="shared" si="55"/>
        <v>502.75299423644202</v>
      </c>
      <c r="BM102" s="167">
        <v>0</v>
      </c>
      <c r="BN102" s="1075">
        <f t="shared" si="87"/>
        <v>502.75299423644202</v>
      </c>
    </row>
    <row r="103" spans="1:66">
      <c r="A103" s="927">
        <f>'Input data'!A133</f>
        <v>2033</v>
      </c>
      <c r="B103" s="824">
        <f>'Input data'!B133</f>
        <v>67.659204065895452</v>
      </c>
      <c r="C103" s="824">
        <f>'Recycling - Case 3'!AK113/B103</f>
        <v>280.78520384759781</v>
      </c>
      <c r="D103" s="825">
        <f>'Recycling - Case 3'!AM113</f>
        <v>0.11731977538457024</v>
      </c>
      <c r="E103" s="826">
        <f>'Recycling - Case 3'!BE113</f>
        <v>0.21347476249844466</v>
      </c>
      <c r="F103" s="826">
        <f>'Recycling - Case 3'!BF113</f>
        <v>0.27074375158748171</v>
      </c>
      <c r="G103" s="826">
        <f>'Recycling - Case 3'!BG113</f>
        <v>5.492292470794579E-2</v>
      </c>
      <c r="H103" s="826">
        <f>'Recycling - Case 3'!BH113</f>
        <v>0</v>
      </c>
      <c r="I103" s="826">
        <f>'Recycling - Case 3'!BI113</f>
        <v>0</v>
      </c>
      <c r="J103" s="826">
        <f>'Recycling - Case 3'!BJ113</f>
        <v>0</v>
      </c>
      <c r="K103" s="826">
        <f>'Recycling - Case 3'!BK113</f>
        <v>0.46085856120612789</v>
      </c>
      <c r="L103" s="827">
        <f t="shared" si="89"/>
        <v>1</v>
      </c>
      <c r="M103" s="4"/>
      <c r="N103" s="838">
        <f t="shared" si="56"/>
        <v>2228.8062963921584</v>
      </c>
      <c r="O103" s="833">
        <f>Parameters!R274</f>
        <v>1</v>
      </c>
      <c r="P103" s="834">
        <f>E103*'MSW characteristics'!$B$28+'MSW characteristics'!$B$29*'4A SWD Case 3'!F103+'4A SWD Case 3'!G103*'MSW characteristics'!$B$30+'MSW characteristics'!$B$31*'4A SWD Case 3'!H103+'4A SWD Case 3'!I103*'MSW characteristics'!$B$32+'MSW characteristics'!$B$33*'4A SWD Case 3'!J103+'4A SWD Case 3'!K103*'MSW characteristics'!$B$35</f>
        <v>0.10813913457544136</v>
      </c>
      <c r="Q103" s="832">
        <f t="shared" si="57"/>
        <v>120.51059201407134</v>
      </c>
      <c r="R103" s="832">
        <f t="shared" si="58"/>
        <v>120.51059201407134</v>
      </c>
      <c r="S103" s="835">
        <f t="shared" si="59"/>
        <v>0</v>
      </c>
      <c r="T103" s="832">
        <f t="shared" si="60"/>
        <v>8803.1323197738493</v>
      </c>
      <c r="U103" s="832">
        <f t="shared" si="61"/>
        <v>445.16753540053179</v>
      </c>
      <c r="V103" s="839">
        <f t="shared" si="62"/>
        <v>296.77835693368786</v>
      </c>
      <c r="W103" s="4"/>
      <c r="X103" s="852">
        <f>'Recycling - Case 3'!AM153</f>
        <v>0</v>
      </c>
      <c r="Y103" s="853">
        <f>Parameters!S273</f>
        <v>0.71500000000000008</v>
      </c>
      <c r="Z103" s="853">
        <f t="shared" si="63"/>
        <v>0.4</v>
      </c>
      <c r="AA103" s="854">
        <f t="shared" si="64"/>
        <v>0</v>
      </c>
      <c r="AB103" s="854">
        <f t="shared" si="65"/>
        <v>0</v>
      </c>
      <c r="AC103" s="855">
        <f t="shared" si="66"/>
        <v>0</v>
      </c>
      <c r="AD103" s="854">
        <f t="shared" si="67"/>
        <v>5183.0302802618362</v>
      </c>
      <c r="AE103" s="854">
        <f t="shared" si="68"/>
        <v>265.73964501915543</v>
      </c>
      <c r="AF103" s="856">
        <f t="shared" si="69"/>
        <v>177.15976334610363</v>
      </c>
      <c r="AG103" s="4"/>
      <c r="AH103" s="852">
        <f>'Recycling - Case 3'!AM193</f>
        <v>0</v>
      </c>
      <c r="AI103" s="853">
        <f>Parameters!S273</f>
        <v>0.71500000000000008</v>
      </c>
      <c r="AJ103" s="853">
        <f t="shared" si="70"/>
        <v>0.4</v>
      </c>
      <c r="AK103" s="854">
        <f t="shared" si="71"/>
        <v>0</v>
      </c>
      <c r="AL103" s="854">
        <f t="shared" si="72"/>
        <v>0</v>
      </c>
      <c r="AM103" s="855">
        <f t="shared" si="73"/>
        <v>0</v>
      </c>
      <c r="AN103" s="854">
        <f t="shared" si="74"/>
        <v>5183.0302802618362</v>
      </c>
      <c r="AO103" s="854">
        <f t="shared" si="75"/>
        <v>265.73964501915543</v>
      </c>
      <c r="AP103" s="856">
        <f t="shared" si="76"/>
        <v>177.15976334610363</v>
      </c>
      <c r="AQ103" s="4"/>
      <c r="AR103" s="850">
        <f>'Recycling - Case 3'!G113</f>
        <v>766.21500989876245</v>
      </c>
      <c r="AS103" s="846">
        <v>1</v>
      </c>
      <c r="AT103" s="846">
        <f t="shared" si="77"/>
        <v>0.05</v>
      </c>
      <c r="AU103" s="832">
        <f t="shared" si="78"/>
        <v>19.155375247469063</v>
      </c>
      <c r="AV103" s="832">
        <f t="shared" si="79"/>
        <v>19.155375247469063</v>
      </c>
      <c r="AW103" s="835">
        <f t="shared" si="80"/>
        <v>0</v>
      </c>
      <c r="AX103" s="832">
        <f t="shared" si="44"/>
        <v>234.12010003147904</v>
      </c>
      <c r="AY103" s="832">
        <f t="shared" si="49"/>
        <v>13.292676209716852</v>
      </c>
      <c r="AZ103" s="930">
        <f t="shared" si="47"/>
        <v>8.8617841398112347</v>
      </c>
      <c r="BA103" s="4"/>
      <c r="BB103" s="1055">
        <f t="shared" si="81"/>
        <v>296.77835693368786</v>
      </c>
      <c r="BC103" s="1056">
        <f t="shared" si="82"/>
        <v>177.15976334610363</v>
      </c>
      <c r="BD103" s="1082">
        <f t="shared" si="90"/>
        <v>8.8617841398112347</v>
      </c>
      <c r="BE103" s="1056">
        <f t="shared" si="54"/>
        <v>482.79990441960274</v>
      </c>
      <c r="BF103" s="167">
        <v>0</v>
      </c>
      <c r="BG103" s="1075">
        <f t="shared" si="83"/>
        <v>482.79990441960274</v>
      </c>
      <c r="BI103" s="1055">
        <f t="shared" si="84"/>
        <v>296.77835693368786</v>
      </c>
      <c r="BJ103" s="1056">
        <f t="shared" si="85"/>
        <v>177.15976334610363</v>
      </c>
      <c r="BK103" s="1082">
        <f t="shared" si="86"/>
        <v>8.8617841398112347</v>
      </c>
      <c r="BL103" s="1056">
        <f t="shared" si="55"/>
        <v>482.79990441960274</v>
      </c>
      <c r="BM103" s="167">
        <v>0</v>
      </c>
      <c r="BN103" s="1075">
        <f t="shared" si="87"/>
        <v>482.79990441960274</v>
      </c>
    </row>
    <row r="104" spans="1:66">
      <c r="A104" s="927">
        <f>'Input data'!A134</f>
        <v>2034</v>
      </c>
      <c r="B104" s="824">
        <f>'Input data'!B134</f>
        <v>68.236626094715163</v>
      </c>
      <c r="C104" s="824">
        <f>'Recycling - Case 3'!AK114/B104</f>
        <v>279.5517936159477</v>
      </c>
      <c r="D104" s="825">
        <f>'Recycling - Case 3'!AM114</f>
        <v>0.11684025538406186</v>
      </c>
      <c r="E104" s="826">
        <f>'Recycling - Case 3'!BE114</f>
        <v>0.21414114548957475</v>
      </c>
      <c r="F104" s="826">
        <f>'Recycling - Case 3'!BF114</f>
        <v>0.27158890550123271</v>
      </c>
      <c r="G104" s="826">
        <f>'Recycling - Case 3'!BG114</f>
        <v>5.4761968896449478E-2</v>
      </c>
      <c r="H104" s="826">
        <f>'Recycling - Case 3'!BH114</f>
        <v>0</v>
      </c>
      <c r="I104" s="826">
        <f>'Recycling - Case 3'!BI114</f>
        <v>0</v>
      </c>
      <c r="J104" s="826">
        <f>'Recycling - Case 3'!BJ114</f>
        <v>0</v>
      </c>
      <c r="K104" s="826">
        <f>'Recycling - Case 3'!BK114</f>
        <v>0.45950798011274291</v>
      </c>
      <c r="L104" s="827">
        <f t="shared" si="89"/>
        <v>0.99999999999999978</v>
      </c>
      <c r="M104" s="4"/>
      <c r="N104" s="838">
        <f t="shared" si="56"/>
        <v>2228.8062963921584</v>
      </c>
      <c r="O104" s="833">
        <f>Parameters!R275</f>
        <v>1</v>
      </c>
      <c r="P104" s="834">
        <f>E104*'MSW characteristics'!$B$28+'MSW characteristics'!$B$29*'4A SWD Case 3'!F104+'4A SWD Case 3'!G104*'MSW characteristics'!$B$30+'MSW characteristics'!$B$31*'4A SWD Case 3'!H104+'4A SWD Case 3'!I104*'MSW characteristics'!$B$32+'MSW characteristics'!$B$33*'4A SWD Case 3'!J104+'4A SWD Case 3'!K104*'MSW characteristics'!$B$35</f>
        <v>0.10834374048226254</v>
      </c>
      <c r="Q104" s="832">
        <f t="shared" si="57"/>
        <v>120.73860548077236</v>
      </c>
      <c r="R104" s="832">
        <f t="shared" si="58"/>
        <v>120.73860548077236</v>
      </c>
      <c r="S104" s="835">
        <f t="shared" si="59"/>
        <v>0</v>
      </c>
      <c r="T104" s="832">
        <f t="shared" si="60"/>
        <v>8494.5370958228868</v>
      </c>
      <c r="U104" s="832">
        <f t="shared" si="61"/>
        <v>429.33382943173507</v>
      </c>
      <c r="V104" s="839">
        <f t="shared" si="62"/>
        <v>286.22255295449003</v>
      </c>
      <c r="W104" s="4"/>
      <c r="X104" s="852">
        <f>'Recycling - Case 3'!AM154</f>
        <v>0</v>
      </c>
      <c r="Y104" s="853">
        <f>Parameters!S274</f>
        <v>0.71500000000000008</v>
      </c>
      <c r="Z104" s="853">
        <f t="shared" si="63"/>
        <v>0.4</v>
      </c>
      <c r="AA104" s="854">
        <f t="shared" si="64"/>
        <v>0</v>
      </c>
      <c r="AB104" s="854">
        <f t="shared" si="65"/>
        <v>0</v>
      </c>
      <c r="AC104" s="855">
        <f t="shared" si="66"/>
        <v>0</v>
      </c>
      <c r="AD104" s="854">
        <f t="shared" si="67"/>
        <v>4930.2509106632406</v>
      </c>
      <c r="AE104" s="854">
        <f t="shared" si="68"/>
        <v>252.77936959859528</v>
      </c>
      <c r="AF104" s="856">
        <f t="shared" si="69"/>
        <v>168.51957973239686</v>
      </c>
      <c r="AG104" s="4"/>
      <c r="AH104" s="852">
        <f>'Recycling - Case 3'!AM194</f>
        <v>0</v>
      </c>
      <c r="AI104" s="853">
        <f>Parameters!S274</f>
        <v>0.71500000000000008</v>
      </c>
      <c r="AJ104" s="853">
        <f t="shared" si="70"/>
        <v>0.4</v>
      </c>
      <c r="AK104" s="854">
        <f t="shared" si="71"/>
        <v>0</v>
      </c>
      <c r="AL104" s="854">
        <f t="shared" si="72"/>
        <v>0</v>
      </c>
      <c r="AM104" s="855">
        <f t="shared" si="73"/>
        <v>0</v>
      </c>
      <c r="AN104" s="854">
        <f t="shared" si="74"/>
        <v>4930.2509106632406</v>
      </c>
      <c r="AO104" s="854">
        <f t="shared" si="75"/>
        <v>252.77936959859528</v>
      </c>
      <c r="AP104" s="856">
        <f t="shared" si="76"/>
        <v>168.51957973239686</v>
      </c>
      <c r="AQ104" s="4"/>
      <c r="AR104" s="850">
        <f>'Recycling - Case 3'!G114</f>
        <v>772.75409695478163</v>
      </c>
      <c r="AS104" s="846">
        <v>1</v>
      </c>
      <c r="AT104" s="846">
        <f t="shared" si="77"/>
        <v>0.05</v>
      </c>
      <c r="AU104" s="832">
        <f t="shared" si="78"/>
        <v>19.318852423869544</v>
      </c>
      <c r="AV104" s="832">
        <f t="shared" si="79"/>
        <v>19.318852423869544</v>
      </c>
      <c r="AW104" s="835">
        <f t="shared" si="80"/>
        <v>0</v>
      </c>
      <c r="AX104" s="832">
        <f t="shared" si="44"/>
        <v>239.80485923271306</v>
      </c>
      <c r="AY104" s="832">
        <f t="shared" si="49"/>
        <v>13.634093222635528</v>
      </c>
      <c r="AZ104" s="930">
        <f t="shared" si="47"/>
        <v>9.0893954817570179</v>
      </c>
      <c r="BA104" s="4"/>
      <c r="BB104" s="1055">
        <f t="shared" si="81"/>
        <v>286.22255295449003</v>
      </c>
      <c r="BC104" s="1056">
        <f t="shared" si="82"/>
        <v>168.51957973239686</v>
      </c>
      <c r="BD104" s="1082">
        <f t="shared" si="90"/>
        <v>9.0893954817570179</v>
      </c>
      <c r="BE104" s="1056">
        <f t="shared" si="54"/>
        <v>463.8315281686439</v>
      </c>
      <c r="BF104" s="167">
        <v>0</v>
      </c>
      <c r="BG104" s="1075">
        <f t="shared" si="83"/>
        <v>463.8315281686439</v>
      </c>
      <c r="BI104" s="1055">
        <f t="shared" si="84"/>
        <v>286.22255295449003</v>
      </c>
      <c r="BJ104" s="1056">
        <f t="shared" si="85"/>
        <v>168.51957973239686</v>
      </c>
      <c r="BK104" s="1082">
        <f t="shared" si="86"/>
        <v>9.0893954817570179</v>
      </c>
      <c r="BL104" s="1056">
        <f t="shared" si="55"/>
        <v>463.8315281686439</v>
      </c>
      <c r="BM104" s="167">
        <v>0</v>
      </c>
      <c r="BN104" s="1075">
        <f t="shared" si="87"/>
        <v>463.8315281686439</v>
      </c>
    </row>
    <row r="105" spans="1:66">
      <c r="A105" s="927">
        <f>'Input data'!A135</f>
        <v>2035</v>
      </c>
      <c r="B105" s="824">
        <f>'Input data'!B135</f>
        <v>68.818976000000006</v>
      </c>
      <c r="C105" s="824">
        <f>'Recycling - Case 3'!AK115/B105</f>
        <v>278.32968324673374</v>
      </c>
      <c r="D105" s="825">
        <f>'Recycling - Case 3'!AM115</f>
        <v>0.11636023627094678</v>
      </c>
      <c r="E105" s="826">
        <f>'Recycling - Case 3'!BE115</f>
        <v>0.21479804434918434</v>
      </c>
      <c r="F105" s="826">
        <f>'Recycling - Case 3'!BF115</f>
        <v>0.27242203097041112</v>
      </c>
      <c r="G105" s="826">
        <f>'Recycling - Case 3'!BG115</f>
        <v>5.4603303848831559E-2</v>
      </c>
      <c r="H105" s="826">
        <f>'Recycling - Case 3'!BH115</f>
        <v>0</v>
      </c>
      <c r="I105" s="826">
        <f>'Recycling - Case 3'!BI115</f>
        <v>0</v>
      </c>
      <c r="J105" s="826">
        <f>'Recycling - Case 3'!BJ115</f>
        <v>0</v>
      </c>
      <c r="K105" s="826">
        <f>'Recycling - Case 3'!BK115</f>
        <v>0.45817662083157323</v>
      </c>
      <c r="L105" s="827">
        <f t="shared" si="89"/>
        <v>1.0000000000000002</v>
      </c>
      <c r="M105" s="4"/>
      <c r="N105" s="838">
        <f t="shared" si="56"/>
        <v>2228.8062963921584</v>
      </c>
      <c r="O105" s="833">
        <f>Parameters!R276</f>
        <v>1</v>
      </c>
      <c r="P105" s="834">
        <f>E105*'MSW characteristics'!$B$28+'MSW characteristics'!$B$29*'4A SWD Case 3'!F105+'4A SWD Case 3'!G105*'MSW characteristics'!$B$30+'MSW characteristics'!$B$31*'4A SWD Case 3'!H105+'4A SWD Case 3'!I105*'MSW characteristics'!$B$32+'MSW characteristics'!$B$33*'4A SWD Case 3'!J105+'4A SWD Case 3'!K105*'MSW characteristics'!$B$35</f>
        <v>0.1085454343859925</v>
      </c>
      <c r="Q105" s="832">
        <f t="shared" si="57"/>
        <v>120.96337380206099</v>
      </c>
      <c r="R105" s="832">
        <f t="shared" si="58"/>
        <v>120.96337380206099</v>
      </c>
      <c r="S105" s="835">
        <f t="shared" si="59"/>
        <v>0</v>
      </c>
      <c r="T105" s="832">
        <f t="shared" si="60"/>
        <v>8201.2170068616324</v>
      </c>
      <c r="U105" s="832">
        <f t="shared" si="61"/>
        <v>414.28346276331558</v>
      </c>
      <c r="V105" s="839">
        <f t="shared" si="62"/>
        <v>276.1889751755437</v>
      </c>
      <c r="W105" s="4"/>
      <c r="X105" s="852">
        <f>'Recycling - Case 3'!AM155</f>
        <v>-751.91700000000026</v>
      </c>
      <c r="Y105" s="853">
        <f>Parameters!S275</f>
        <v>0.71500000000000008</v>
      </c>
      <c r="Z105" s="853">
        <f t="shared" si="63"/>
        <v>0.4</v>
      </c>
      <c r="AA105" s="854">
        <f t="shared" si="64"/>
        <v>-107.52413100000005</v>
      </c>
      <c r="AB105" s="854">
        <f t="shared" si="65"/>
        <v>-107.52413100000005</v>
      </c>
      <c r="AC105" s="855">
        <f t="shared" si="66"/>
        <v>0</v>
      </c>
      <c r="AD105" s="854">
        <f t="shared" si="67"/>
        <v>4582.2756053943158</v>
      </c>
      <c r="AE105" s="854">
        <f t="shared" si="68"/>
        <v>240.45117426892506</v>
      </c>
      <c r="AF105" s="856">
        <f t="shared" si="69"/>
        <v>160.30078284595004</v>
      </c>
      <c r="AG105" s="4"/>
      <c r="AH105" s="852">
        <f>'Recycling - Case 3'!AM195</f>
        <v>-751.91700000000026</v>
      </c>
      <c r="AI105" s="853">
        <f>Parameters!S275</f>
        <v>0.71500000000000008</v>
      </c>
      <c r="AJ105" s="853">
        <f t="shared" si="70"/>
        <v>0.4</v>
      </c>
      <c r="AK105" s="854">
        <f t="shared" si="71"/>
        <v>-107.52413100000005</v>
      </c>
      <c r="AL105" s="854">
        <f t="shared" si="72"/>
        <v>-107.52413100000005</v>
      </c>
      <c r="AM105" s="855">
        <f t="shared" si="73"/>
        <v>0</v>
      </c>
      <c r="AN105" s="854">
        <f t="shared" si="74"/>
        <v>4582.2756053943158</v>
      </c>
      <c r="AO105" s="854">
        <f t="shared" si="75"/>
        <v>240.45117426892506</v>
      </c>
      <c r="AP105" s="856">
        <f t="shared" si="76"/>
        <v>160.30078284595004</v>
      </c>
      <c r="AQ105" s="4"/>
      <c r="AR105" s="850">
        <f>'Recycling - Case 3'!G115</f>
        <v>779.34899035624392</v>
      </c>
      <c r="AS105" s="846">
        <v>1</v>
      </c>
      <c r="AT105" s="846">
        <f t="shared" si="77"/>
        <v>0.05</v>
      </c>
      <c r="AU105" s="832">
        <f t="shared" si="78"/>
        <v>19.483724758906099</v>
      </c>
      <c r="AV105" s="832">
        <f t="shared" si="79"/>
        <v>19.483724758906099</v>
      </c>
      <c r="AW105" s="835">
        <f t="shared" si="80"/>
        <v>0</v>
      </c>
      <c r="AX105" s="832">
        <f t="shared" si="44"/>
        <v>245.32343616543855</v>
      </c>
      <c r="AY105" s="832">
        <f t="shared" si="49"/>
        <v>13.965147826180624</v>
      </c>
      <c r="AZ105" s="930">
        <f t="shared" si="47"/>
        <v>9.3100985507870835</v>
      </c>
      <c r="BA105" s="4"/>
      <c r="BB105" s="1055">
        <f t="shared" si="81"/>
        <v>276.1889751755437</v>
      </c>
      <c r="BC105" s="1056">
        <f t="shared" si="82"/>
        <v>160.30078284595004</v>
      </c>
      <c r="BD105" s="1082">
        <f t="shared" si="90"/>
        <v>9.3100985507870835</v>
      </c>
      <c r="BE105" s="1056">
        <f t="shared" si="54"/>
        <v>445.79985657228082</v>
      </c>
      <c r="BF105" s="167">
        <v>0</v>
      </c>
      <c r="BG105" s="1075">
        <f t="shared" si="83"/>
        <v>445.79985657228082</v>
      </c>
      <c r="BI105" s="1055">
        <f t="shared" si="84"/>
        <v>276.1889751755437</v>
      </c>
      <c r="BJ105" s="1056">
        <f t="shared" si="85"/>
        <v>160.30078284595004</v>
      </c>
      <c r="BK105" s="1082">
        <f t="shared" si="86"/>
        <v>9.3100985507870835</v>
      </c>
      <c r="BL105" s="1056">
        <f t="shared" si="55"/>
        <v>445.79985657228082</v>
      </c>
      <c r="BM105" s="167">
        <v>0</v>
      </c>
      <c r="BN105" s="1075">
        <f t="shared" si="87"/>
        <v>445.79985657228082</v>
      </c>
    </row>
    <row r="106" spans="1:66">
      <c r="A106" s="927">
        <f>'Input data'!A136</f>
        <v>2036</v>
      </c>
      <c r="B106" s="824">
        <f>'Input data'!B136</f>
        <v>69.322810489383542</v>
      </c>
      <c r="C106" s="824">
        <f>'Recycling - Case 3'!AK116/B106</f>
        <v>277.28958269275716</v>
      </c>
      <c r="D106" s="825">
        <f>'Recycling - Case 3'!AM116</f>
        <v>0.11594782602683691</v>
      </c>
      <c r="E106" s="826">
        <f>'Recycling - Case 3'!BE116</f>
        <v>0.21535447797222657</v>
      </c>
      <c r="F106" s="826">
        <f>'Recycling - Case 3'!BF116</f>
        <v>0.27312773934009704</v>
      </c>
      <c r="G106" s="826">
        <f>'Recycling - Case 3'!BG116</f>
        <v>5.4468904822246644E-2</v>
      </c>
      <c r="H106" s="826">
        <f>'Recycling - Case 3'!BH116</f>
        <v>0</v>
      </c>
      <c r="I106" s="826">
        <f>'Recycling - Case 3'!BI116</f>
        <v>0</v>
      </c>
      <c r="J106" s="826">
        <f>'Recycling - Case 3'!BJ116</f>
        <v>0</v>
      </c>
      <c r="K106" s="826">
        <f>'Recycling - Case 3'!BK116</f>
        <v>0.45704887786542958</v>
      </c>
      <c r="L106" s="827">
        <f t="shared" si="89"/>
        <v>0.99999999999999978</v>
      </c>
      <c r="M106" s="4"/>
      <c r="N106" s="838">
        <f t="shared" si="56"/>
        <v>2228.8062963921584</v>
      </c>
      <c r="O106" s="833">
        <f>Parameters!R277</f>
        <v>1</v>
      </c>
      <c r="P106" s="834">
        <f>E106*'MSW characteristics'!$B$28+'MSW characteristics'!$B$29*'4A SWD Case 3'!F106+'4A SWD Case 3'!G106*'MSW characteristics'!$B$30+'MSW characteristics'!$B$31*'4A SWD Case 3'!H106+'4A SWD Case 3'!I106*'MSW characteristics'!$B$32+'MSW characteristics'!$B$33*'4A SWD Case 3'!J106+'4A SWD Case 3'!K106*'MSW characteristics'!$B$35</f>
        <v>0.10871628149275206</v>
      </c>
      <c r="Q106" s="832">
        <f t="shared" si="57"/>
        <v>121.15376635569403</v>
      </c>
      <c r="R106" s="832">
        <f t="shared" si="58"/>
        <v>121.15376635569403</v>
      </c>
      <c r="S106" s="835">
        <f t="shared" si="59"/>
        <v>0</v>
      </c>
      <c r="T106" s="832">
        <f t="shared" si="60"/>
        <v>7922.3926999981522</v>
      </c>
      <c r="U106" s="832">
        <f t="shared" si="61"/>
        <v>399.97807321917344</v>
      </c>
      <c r="V106" s="839">
        <f t="shared" si="62"/>
        <v>266.65204881278231</v>
      </c>
      <c r="W106" s="4"/>
      <c r="X106" s="852">
        <f>'Recycling - Case 3'!AM156</f>
        <v>-751.91700000000026</v>
      </c>
      <c r="Y106" s="853">
        <f>Parameters!S276</f>
        <v>0.71500000000000008</v>
      </c>
      <c r="Z106" s="853">
        <f t="shared" si="63"/>
        <v>0.4</v>
      </c>
      <c r="AA106" s="854">
        <f t="shared" si="64"/>
        <v>-107.52413100000005</v>
      </c>
      <c r="AB106" s="854">
        <f t="shared" si="65"/>
        <v>-107.52413100000005</v>
      </c>
      <c r="AC106" s="855">
        <f t="shared" si="66"/>
        <v>0</v>
      </c>
      <c r="AD106" s="854">
        <f t="shared" si="67"/>
        <v>4251.2712560228956</v>
      </c>
      <c r="AE106" s="854">
        <f t="shared" si="68"/>
        <v>223.48021837141988</v>
      </c>
      <c r="AF106" s="856">
        <f t="shared" si="69"/>
        <v>148.98681224761324</v>
      </c>
      <c r="AG106" s="4"/>
      <c r="AH106" s="852">
        <f>'Recycling - Case 3'!AM196</f>
        <v>-751.91700000000026</v>
      </c>
      <c r="AI106" s="853">
        <f>Parameters!S276</f>
        <v>0.71500000000000008</v>
      </c>
      <c r="AJ106" s="853">
        <f t="shared" si="70"/>
        <v>0.4</v>
      </c>
      <c r="AK106" s="854">
        <f t="shared" si="71"/>
        <v>-107.52413100000005</v>
      </c>
      <c r="AL106" s="854">
        <f t="shared" si="72"/>
        <v>-107.52413100000005</v>
      </c>
      <c r="AM106" s="855">
        <f t="shared" si="73"/>
        <v>0</v>
      </c>
      <c r="AN106" s="854">
        <f t="shared" si="74"/>
        <v>4251.2712560228956</v>
      </c>
      <c r="AO106" s="854">
        <f t="shared" si="75"/>
        <v>223.48021837141988</v>
      </c>
      <c r="AP106" s="856">
        <f t="shared" si="76"/>
        <v>148.98681224761324</v>
      </c>
      <c r="AQ106" s="4"/>
      <c r="AR106" s="850">
        <f>'Recycling - Case 3'!G116</f>
        <v>785.05472623652952</v>
      </c>
      <c r="AS106" s="846">
        <v>1</v>
      </c>
      <c r="AT106" s="846">
        <f t="shared" si="77"/>
        <v>0.05</v>
      </c>
      <c r="AU106" s="832">
        <f t="shared" si="78"/>
        <v>19.626368155913241</v>
      </c>
      <c r="AV106" s="832">
        <f t="shared" si="79"/>
        <v>19.626368155913241</v>
      </c>
      <c r="AW106" s="835">
        <f t="shared" si="80"/>
        <v>0</v>
      </c>
      <c r="AX106" s="832">
        <f t="shared" si="44"/>
        <v>250.66327959354268</v>
      </c>
      <c r="AY106" s="832">
        <f t="shared" si="49"/>
        <v>14.2865247278091</v>
      </c>
      <c r="AZ106" s="930">
        <f t="shared" si="47"/>
        <v>9.5243498185394007</v>
      </c>
      <c r="BA106" s="4"/>
      <c r="BB106" s="1055">
        <f t="shared" si="81"/>
        <v>266.65204881278231</v>
      </c>
      <c r="BC106" s="1056">
        <f t="shared" si="82"/>
        <v>148.98681224761324</v>
      </c>
      <c r="BD106" s="1082">
        <f t="shared" si="90"/>
        <v>9.5243498185394007</v>
      </c>
      <c r="BE106" s="1056">
        <f t="shared" si="54"/>
        <v>425.16321087893499</v>
      </c>
      <c r="BF106" s="167">
        <v>0</v>
      </c>
      <c r="BG106" s="1075">
        <f t="shared" si="83"/>
        <v>425.16321087893499</v>
      </c>
      <c r="BI106" s="1055">
        <f t="shared" si="84"/>
        <v>266.65204881278231</v>
      </c>
      <c r="BJ106" s="1056">
        <f t="shared" si="85"/>
        <v>148.98681224761324</v>
      </c>
      <c r="BK106" s="1082">
        <f t="shared" si="86"/>
        <v>9.5243498185394007</v>
      </c>
      <c r="BL106" s="1056">
        <f t="shared" si="55"/>
        <v>425.16321087893499</v>
      </c>
      <c r="BM106" s="167">
        <v>0</v>
      </c>
      <c r="BN106" s="1075">
        <f t="shared" si="87"/>
        <v>425.16321087893499</v>
      </c>
    </row>
    <row r="107" spans="1:66">
      <c r="A107" s="927">
        <f>'Input data'!A137</f>
        <v>2037</v>
      </c>
      <c r="B107" s="824">
        <f>'Input data'!B137</f>
        <v>69.830333629884052</v>
      </c>
      <c r="C107" s="824">
        <f>'Recycling - Case 3'!AK117/B107</f>
        <v>276.25764791535482</v>
      </c>
      <c r="D107" s="825">
        <f>'Recycling - Case 3'!AM117</f>
        <v>0.11553508790560191</v>
      </c>
      <c r="E107" s="826">
        <f>'Recycling - Case 3'!BE117</f>
        <v>0.21590416467961743</v>
      </c>
      <c r="F107" s="826">
        <f>'Recycling - Case 3'!BF117</f>
        <v>0.27382489079544936</v>
      </c>
      <c r="G107" s="826">
        <f>'Recycling - Case 3'!BG117</f>
        <v>5.4336135422015146E-2</v>
      </c>
      <c r="H107" s="826">
        <f>'Recycling - Case 3'!BH117</f>
        <v>0</v>
      </c>
      <c r="I107" s="826">
        <f>'Recycling - Case 3'!BI117</f>
        <v>0</v>
      </c>
      <c r="J107" s="826">
        <f>'Recycling - Case 3'!BJ117</f>
        <v>0</v>
      </c>
      <c r="K107" s="826">
        <f>'Recycling - Case 3'!BK117</f>
        <v>0.45593480910291828</v>
      </c>
      <c r="L107" s="827">
        <f t="shared" si="89"/>
        <v>1.0000000000000002</v>
      </c>
      <c r="M107" s="4"/>
      <c r="N107" s="838">
        <f t="shared" si="56"/>
        <v>2228.8062963921584</v>
      </c>
      <c r="O107" s="833">
        <f>Parameters!R278</f>
        <v>1</v>
      </c>
      <c r="P107" s="834">
        <f>E107*'MSW characteristics'!$B$28+'MSW characteristics'!$B$29*'4A SWD Case 3'!F107+'4A SWD Case 3'!G107*'MSW characteristics'!$B$30+'MSW characteristics'!$B$31*'4A SWD Case 3'!H107+'4A SWD Case 3'!I107*'MSW characteristics'!$B$32+'MSW characteristics'!$B$33*'4A SWD Case 3'!J107+'4A SWD Case 3'!K107*'MSW characteristics'!$B$35</f>
        <v>0.10888505702983856</v>
      </c>
      <c r="Q107" s="832">
        <f t="shared" si="57"/>
        <v>121.34185034556171</v>
      </c>
      <c r="R107" s="832">
        <f t="shared" si="58"/>
        <v>121.34185034556171</v>
      </c>
      <c r="S107" s="835">
        <f t="shared" si="59"/>
        <v>0</v>
      </c>
      <c r="T107" s="832">
        <f t="shared" si="60"/>
        <v>7657.3548990334621</v>
      </c>
      <c r="U107" s="832">
        <f t="shared" si="61"/>
        <v>386.37965131025203</v>
      </c>
      <c r="V107" s="839">
        <f t="shared" si="62"/>
        <v>257.58643420683467</v>
      </c>
      <c r="W107" s="4"/>
      <c r="X107" s="852">
        <f>'Recycling - Case 3'!AM157</f>
        <v>-751.91700000000026</v>
      </c>
      <c r="Y107" s="853">
        <f>Parameters!S277</f>
        <v>0.71500000000000008</v>
      </c>
      <c r="Z107" s="853">
        <f t="shared" si="63"/>
        <v>0.4</v>
      </c>
      <c r="AA107" s="854">
        <f t="shared" si="64"/>
        <v>-107.52413100000005</v>
      </c>
      <c r="AB107" s="854">
        <f t="shared" si="65"/>
        <v>-107.52413100000005</v>
      </c>
      <c r="AC107" s="855">
        <f t="shared" si="66"/>
        <v>0</v>
      </c>
      <c r="AD107" s="854">
        <f t="shared" si="67"/>
        <v>3936.4101792630863</v>
      </c>
      <c r="AE107" s="854">
        <f t="shared" si="68"/>
        <v>207.336945759809</v>
      </c>
      <c r="AF107" s="856">
        <f t="shared" si="69"/>
        <v>138.22463050653934</v>
      </c>
      <c r="AG107" s="4"/>
      <c r="AH107" s="852">
        <f>'Recycling - Case 3'!AM197</f>
        <v>-751.91700000000026</v>
      </c>
      <c r="AI107" s="853">
        <f>Parameters!S277</f>
        <v>0.71500000000000008</v>
      </c>
      <c r="AJ107" s="853">
        <f t="shared" si="70"/>
        <v>0.4</v>
      </c>
      <c r="AK107" s="854">
        <f t="shared" si="71"/>
        <v>-107.52413100000005</v>
      </c>
      <c r="AL107" s="854">
        <f t="shared" si="72"/>
        <v>-107.52413100000005</v>
      </c>
      <c r="AM107" s="855">
        <f t="shared" si="73"/>
        <v>0</v>
      </c>
      <c r="AN107" s="854">
        <f t="shared" si="74"/>
        <v>3936.4101792630863</v>
      </c>
      <c r="AO107" s="854">
        <f t="shared" si="75"/>
        <v>207.336945759809</v>
      </c>
      <c r="AP107" s="856">
        <f t="shared" si="76"/>
        <v>138.22463050653934</v>
      </c>
      <c r="AQ107" s="4"/>
      <c r="AR107" s="850">
        <f>'Recycling - Case 3'!G117</f>
        <v>790.80223470180374</v>
      </c>
      <c r="AS107" s="846">
        <v>1</v>
      </c>
      <c r="AT107" s="846">
        <f t="shared" si="77"/>
        <v>0.05</v>
      </c>
      <c r="AU107" s="832">
        <f t="shared" si="78"/>
        <v>19.770055867545096</v>
      </c>
      <c r="AV107" s="832">
        <f t="shared" si="79"/>
        <v>19.770055867545096</v>
      </c>
      <c r="AW107" s="835">
        <f t="shared" si="80"/>
        <v>0</v>
      </c>
      <c r="AX107" s="832">
        <f t="shared" si="44"/>
        <v>255.83584246065595</v>
      </c>
      <c r="AY107" s="832">
        <f t="shared" si="49"/>
        <v>14.597493000431829</v>
      </c>
      <c r="AZ107" s="930">
        <f t="shared" si="47"/>
        <v>9.7316620002878853</v>
      </c>
      <c r="BA107" s="4"/>
      <c r="BB107" s="1055">
        <f t="shared" si="81"/>
        <v>257.58643420683467</v>
      </c>
      <c r="BC107" s="1056">
        <f t="shared" si="82"/>
        <v>138.22463050653934</v>
      </c>
      <c r="BD107" s="1082">
        <f t="shared" si="90"/>
        <v>9.7316620002878853</v>
      </c>
      <c r="BE107" s="1056">
        <f t="shared" si="54"/>
        <v>405.54272671366186</v>
      </c>
      <c r="BF107" s="167">
        <v>0</v>
      </c>
      <c r="BG107" s="1075">
        <f t="shared" si="83"/>
        <v>405.54272671366186</v>
      </c>
      <c r="BI107" s="1055">
        <f t="shared" si="84"/>
        <v>257.58643420683467</v>
      </c>
      <c r="BJ107" s="1056">
        <f t="shared" si="85"/>
        <v>138.22463050653934</v>
      </c>
      <c r="BK107" s="1082">
        <f t="shared" si="86"/>
        <v>9.7316620002878853</v>
      </c>
      <c r="BL107" s="1056">
        <f t="shared" si="55"/>
        <v>405.54272671366186</v>
      </c>
      <c r="BM107" s="167">
        <v>0</v>
      </c>
      <c r="BN107" s="1075">
        <f t="shared" si="87"/>
        <v>405.54272671366186</v>
      </c>
    </row>
    <row r="108" spans="1:66">
      <c r="A108" s="927">
        <f>'Input data'!A138</f>
        <v>2038</v>
      </c>
      <c r="B108" s="824">
        <f>'Input data'!B138</f>
        <v>70.341572426693446</v>
      </c>
      <c r="C108" s="824">
        <f>'Recycling - Case 3'!AK118/B108</f>
        <v>275.23380642431778</v>
      </c>
      <c r="D108" s="825">
        <f>'Recycling - Case 3'!AM118</f>
        <v>0.11512204010082239</v>
      </c>
      <c r="E108" s="826">
        <f>'Recycling - Case 3'!BE118</f>
        <v>0.21644721208362872</v>
      </c>
      <c r="F108" s="826">
        <f>'Recycling - Case 3'!BF118</f>
        <v>0.27451362181794159</v>
      </c>
      <c r="G108" s="826">
        <f>'Recycling - Case 3'!BG118</f>
        <v>5.4204969655846105E-2</v>
      </c>
      <c r="H108" s="826">
        <f>'Recycling - Case 3'!BH118</f>
        <v>0</v>
      </c>
      <c r="I108" s="826">
        <f>'Recycling - Case 3'!BI118</f>
        <v>0</v>
      </c>
      <c r="J108" s="826">
        <f>'Recycling - Case 3'!BJ118</f>
        <v>0</v>
      </c>
      <c r="K108" s="826">
        <f>'Recycling - Case 3'!BK118</f>
        <v>0.45483419644258377</v>
      </c>
      <c r="L108" s="827">
        <f t="shared" si="89"/>
        <v>1.0000000000000002</v>
      </c>
      <c r="M108" s="4"/>
      <c r="N108" s="838">
        <f t="shared" si="56"/>
        <v>2228.8062963921584</v>
      </c>
      <c r="O108" s="833">
        <f>Parameters!R279</f>
        <v>1</v>
      </c>
      <c r="P108" s="834">
        <f>E108*'MSW characteristics'!$B$28+'MSW characteristics'!$B$29*'4A SWD Case 3'!F108+'4A SWD Case 3'!G108*'MSW characteristics'!$B$30+'MSW characteristics'!$B$31*'4A SWD Case 3'!H108+'4A SWD Case 3'!I108*'MSW characteristics'!$B$32+'MSW characteristics'!$B$33*'4A SWD Case 3'!J108+'4A SWD Case 3'!K108*'MSW characteristics'!$B$35</f>
        <v>0.10905179403847107</v>
      </c>
      <c r="Q108" s="832">
        <f t="shared" si="57"/>
        <v>121.52766259290257</v>
      </c>
      <c r="R108" s="832">
        <f t="shared" si="58"/>
        <v>121.52766259290257</v>
      </c>
      <c r="S108" s="835">
        <f t="shared" si="59"/>
        <v>0</v>
      </c>
      <c r="T108" s="832">
        <f t="shared" si="60"/>
        <v>7405.4289563982256</v>
      </c>
      <c r="U108" s="832">
        <f t="shared" si="61"/>
        <v>373.45360522813888</v>
      </c>
      <c r="V108" s="839">
        <f t="shared" si="62"/>
        <v>248.9690701520926</v>
      </c>
      <c r="W108" s="4"/>
      <c r="X108" s="852">
        <f>'Recycling - Case 3'!AM158</f>
        <v>-751.91700000000026</v>
      </c>
      <c r="Y108" s="853">
        <f>Parameters!S278</f>
        <v>0.71500000000000008</v>
      </c>
      <c r="Z108" s="853">
        <f t="shared" si="63"/>
        <v>0.4</v>
      </c>
      <c r="AA108" s="854">
        <f t="shared" si="64"/>
        <v>-107.52413100000005</v>
      </c>
      <c r="AB108" s="854">
        <f t="shared" si="65"/>
        <v>-107.52413100000005</v>
      </c>
      <c r="AC108" s="855">
        <f t="shared" si="66"/>
        <v>0</v>
      </c>
      <c r="AD108" s="854">
        <f t="shared" si="67"/>
        <v>3636.9050584191777</v>
      </c>
      <c r="AE108" s="854">
        <f t="shared" si="68"/>
        <v>191.98098984390822</v>
      </c>
      <c r="AF108" s="856">
        <f t="shared" si="69"/>
        <v>127.98732656260547</v>
      </c>
      <c r="AG108" s="4"/>
      <c r="AH108" s="852">
        <f>'Recycling - Case 3'!AM198</f>
        <v>-751.91700000000026</v>
      </c>
      <c r="AI108" s="853">
        <f>Parameters!S278</f>
        <v>0.71500000000000008</v>
      </c>
      <c r="AJ108" s="853">
        <f t="shared" si="70"/>
        <v>0.4</v>
      </c>
      <c r="AK108" s="854">
        <f t="shared" si="71"/>
        <v>-107.52413100000005</v>
      </c>
      <c r="AL108" s="854">
        <f t="shared" si="72"/>
        <v>-107.52413100000005</v>
      </c>
      <c r="AM108" s="855">
        <f t="shared" si="73"/>
        <v>0</v>
      </c>
      <c r="AN108" s="854">
        <f t="shared" si="74"/>
        <v>3636.9050584191777</v>
      </c>
      <c r="AO108" s="854">
        <f t="shared" si="75"/>
        <v>191.98098984390822</v>
      </c>
      <c r="AP108" s="856">
        <f t="shared" si="76"/>
        <v>127.98732656260547</v>
      </c>
      <c r="AQ108" s="4"/>
      <c r="AR108" s="850">
        <f>'Recycling - Case 3'!G118</f>
        <v>796.5918215756966</v>
      </c>
      <c r="AS108" s="846">
        <v>1</v>
      </c>
      <c r="AT108" s="846">
        <f t="shared" si="77"/>
        <v>0.05</v>
      </c>
      <c r="AU108" s="832">
        <f t="shared" si="78"/>
        <v>19.914795539392415</v>
      </c>
      <c r="AV108" s="832">
        <f t="shared" si="79"/>
        <v>19.914795539392415</v>
      </c>
      <c r="AW108" s="835">
        <f t="shared" si="80"/>
        <v>0</v>
      </c>
      <c r="AX108" s="832">
        <f t="shared" si="44"/>
        <v>260.85191838848539</v>
      </c>
      <c r="AY108" s="832">
        <f t="shared" si="49"/>
        <v>14.898719611562965</v>
      </c>
      <c r="AZ108" s="930">
        <f t="shared" si="47"/>
        <v>9.932479741041977</v>
      </c>
      <c r="BA108" s="4"/>
      <c r="BB108" s="1055">
        <f t="shared" si="81"/>
        <v>248.9690701520926</v>
      </c>
      <c r="BC108" s="1056">
        <f t="shared" si="82"/>
        <v>127.98732656260547</v>
      </c>
      <c r="BD108" s="1082">
        <f t="shared" si="90"/>
        <v>9.932479741041977</v>
      </c>
      <c r="BE108" s="1056">
        <f t="shared" si="54"/>
        <v>386.88887645574005</v>
      </c>
      <c r="BF108" s="167">
        <v>0</v>
      </c>
      <c r="BG108" s="1075">
        <f t="shared" si="83"/>
        <v>386.88887645574005</v>
      </c>
      <c r="BI108" s="1055">
        <f t="shared" si="84"/>
        <v>248.9690701520926</v>
      </c>
      <c r="BJ108" s="1056">
        <f t="shared" si="85"/>
        <v>127.98732656260547</v>
      </c>
      <c r="BK108" s="1082">
        <f t="shared" si="86"/>
        <v>9.932479741041977</v>
      </c>
      <c r="BL108" s="1056">
        <f t="shared" si="55"/>
        <v>386.88887645574005</v>
      </c>
      <c r="BM108" s="167">
        <v>0</v>
      </c>
      <c r="BN108" s="1075">
        <f t="shared" si="87"/>
        <v>386.88887645574005</v>
      </c>
    </row>
    <row r="109" spans="1:66">
      <c r="A109" s="927">
        <f>'Input data'!A139</f>
        <v>2039</v>
      </c>
      <c r="B109" s="824">
        <f>'Input data'!B139</f>
        <v>70.856554082712819</v>
      </c>
      <c r="C109" s="824">
        <f>'Recycling - Case 3'!AK119/B109</f>
        <v>274.21798658222781</v>
      </c>
      <c r="D109" s="825">
        <f>'Recycling - Case 3'!AM119</f>
        <v>0.11470870066993408</v>
      </c>
      <c r="E109" s="826">
        <f>'Recycling - Case 3'!BE119</f>
        <v>0.21698372556164097</v>
      </c>
      <c r="F109" s="826">
        <f>'Recycling - Case 3'!BF119</f>
        <v>0.27519406605460101</v>
      </c>
      <c r="G109" s="826">
        <f>'Recycling - Case 3'!BG119</f>
        <v>5.4075382071256443E-2</v>
      </c>
      <c r="H109" s="826">
        <f>'Recycling - Case 3'!BH119</f>
        <v>0</v>
      </c>
      <c r="I109" s="826">
        <f>'Recycling - Case 3'!BI119</f>
        <v>0</v>
      </c>
      <c r="J109" s="826">
        <f>'Recycling - Case 3'!BJ119</f>
        <v>0</v>
      </c>
      <c r="K109" s="826">
        <f>'Recycling - Case 3'!BK119</f>
        <v>0.45374682631250152</v>
      </c>
      <c r="L109" s="827">
        <f t="shared" si="89"/>
        <v>0.99999999999999989</v>
      </c>
      <c r="M109" s="4"/>
      <c r="N109" s="838">
        <f t="shared" si="56"/>
        <v>2228.8062963921584</v>
      </c>
      <c r="O109" s="833">
        <f>Parameters!R280</f>
        <v>1</v>
      </c>
      <c r="P109" s="834">
        <f>E109*'MSW characteristics'!$B$28+'MSW characteristics'!$B$29*'4A SWD Case 3'!F109+'4A SWD Case 3'!G109*'MSW characteristics'!$B$30+'MSW characteristics'!$B$31*'4A SWD Case 3'!H109+'4A SWD Case 3'!I109*'MSW characteristics'!$B$32+'MSW characteristics'!$B$33*'4A SWD Case 3'!J109+'4A SWD Case 3'!K109*'MSW characteristics'!$B$35</f>
        <v>0.10921652487366892</v>
      </c>
      <c r="Q109" s="832">
        <f t="shared" si="57"/>
        <v>121.71123915425204</v>
      </c>
      <c r="R109" s="832">
        <f t="shared" si="58"/>
        <v>121.71123915425204</v>
      </c>
      <c r="S109" s="835">
        <f t="shared" si="59"/>
        <v>0</v>
      </c>
      <c r="T109" s="832">
        <f t="shared" si="60"/>
        <v>7165.9731635298594</v>
      </c>
      <c r="U109" s="832">
        <f t="shared" si="61"/>
        <v>361.16703202261829</v>
      </c>
      <c r="V109" s="839">
        <f t="shared" si="62"/>
        <v>240.77802134841218</v>
      </c>
      <c r="W109" s="4"/>
      <c r="X109" s="852">
        <f>'Recycling - Case 3'!AM159</f>
        <v>-617.98908879033206</v>
      </c>
      <c r="Y109" s="853">
        <f>Parameters!S279</f>
        <v>0.71500000000000008</v>
      </c>
      <c r="Z109" s="853">
        <f t="shared" si="63"/>
        <v>0.4</v>
      </c>
      <c r="AA109" s="854">
        <f t="shared" si="64"/>
        <v>-88.372439697017498</v>
      </c>
      <c r="AB109" s="854">
        <f t="shared" si="65"/>
        <v>-88.372439697017498</v>
      </c>
      <c r="AC109" s="855">
        <f t="shared" si="66"/>
        <v>0</v>
      </c>
      <c r="AD109" s="854">
        <f t="shared" si="67"/>
        <v>3371.1586659867926</v>
      </c>
      <c r="AE109" s="854">
        <f t="shared" si="68"/>
        <v>177.37395273536762</v>
      </c>
      <c r="AF109" s="856">
        <f t="shared" si="69"/>
        <v>118.24930182357842</v>
      </c>
      <c r="AG109" s="4"/>
      <c r="AH109" s="852">
        <f>'Recycling - Case 3'!AM199</f>
        <v>-617.98908879033206</v>
      </c>
      <c r="AI109" s="853">
        <f>Parameters!S279</f>
        <v>0.71500000000000008</v>
      </c>
      <c r="AJ109" s="853">
        <f t="shared" si="70"/>
        <v>0.4</v>
      </c>
      <c r="AK109" s="854">
        <f t="shared" si="71"/>
        <v>-88.372439697017498</v>
      </c>
      <c r="AL109" s="854">
        <f t="shared" si="72"/>
        <v>-88.372439697017498</v>
      </c>
      <c r="AM109" s="855">
        <f t="shared" si="73"/>
        <v>0</v>
      </c>
      <c r="AN109" s="854">
        <f t="shared" si="74"/>
        <v>3371.1586659867926</v>
      </c>
      <c r="AO109" s="854">
        <f t="shared" si="75"/>
        <v>177.37395273536762</v>
      </c>
      <c r="AP109" s="856">
        <f t="shared" si="76"/>
        <v>118.24930182357842</v>
      </c>
      <c r="AQ109" s="4"/>
      <c r="AR109" s="850">
        <f>'Recycling - Case 3'!G119</f>
        <v>802.42379492081989</v>
      </c>
      <c r="AS109" s="846">
        <v>1</v>
      </c>
      <c r="AT109" s="846">
        <f t="shared" si="77"/>
        <v>0.05</v>
      </c>
      <c r="AU109" s="832">
        <f t="shared" si="78"/>
        <v>20.060594873020499</v>
      </c>
      <c r="AV109" s="832">
        <f t="shared" si="79"/>
        <v>20.060594873020499</v>
      </c>
      <c r="AW109" s="835">
        <f t="shared" si="80"/>
        <v>0</v>
      </c>
      <c r="AX109" s="832">
        <f t="shared" si="44"/>
        <v>265.72168012870895</v>
      </c>
      <c r="AY109" s="832">
        <f t="shared" si="49"/>
        <v>15.190833132796934</v>
      </c>
      <c r="AZ109" s="930">
        <f t="shared" si="47"/>
        <v>10.127222088531289</v>
      </c>
      <c r="BA109" s="4"/>
      <c r="BB109" s="1055">
        <f t="shared" si="81"/>
        <v>240.77802134841218</v>
      </c>
      <c r="BC109" s="1056">
        <f t="shared" si="82"/>
        <v>118.24930182357842</v>
      </c>
      <c r="BD109" s="1082">
        <f t="shared" si="90"/>
        <v>10.127222088531289</v>
      </c>
      <c r="BE109" s="1056">
        <f t="shared" si="54"/>
        <v>369.1545452605219</v>
      </c>
      <c r="BF109" s="167">
        <v>0</v>
      </c>
      <c r="BG109" s="1075">
        <f t="shared" si="83"/>
        <v>369.1545452605219</v>
      </c>
      <c r="BI109" s="1055">
        <f t="shared" si="84"/>
        <v>240.77802134841218</v>
      </c>
      <c r="BJ109" s="1056">
        <f t="shared" si="85"/>
        <v>118.24930182357842</v>
      </c>
      <c r="BK109" s="1082">
        <f t="shared" si="86"/>
        <v>10.127222088531289</v>
      </c>
      <c r="BL109" s="1056">
        <f t="shared" si="55"/>
        <v>369.1545452605219</v>
      </c>
      <c r="BM109" s="167">
        <v>0</v>
      </c>
      <c r="BN109" s="1075">
        <f t="shared" si="87"/>
        <v>369.1545452605219</v>
      </c>
    </row>
    <row r="110" spans="1:66">
      <c r="A110" s="927">
        <f>'Input data'!A140</f>
        <v>2040</v>
      </c>
      <c r="B110" s="824">
        <f>'Input data'!B140</f>
        <v>71.375305999999995</v>
      </c>
      <c r="C110" s="824">
        <f>'Recycling - Case 3'!AK120/B110</f>
        <v>273.21011758893553</v>
      </c>
      <c r="D110" s="825">
        <f>'Recycling - Case 3'!AM120</f>
        <v>0.11429508753609822</v>
      </c>
      <c r="E110" s="826">
        <f>'Recycling - Case 3'!BE120</f>
        <v>0.21751380831394043</v>
      </c>
      <c r="F110" s="826">
        <f>'Recycling - Case 3'!BF120</f>
        <v>0.27586635439130974</v>
      </c>
      <c r="G110" s="826">
        <f>'Recycling - Case 3'!BG120</f>
        <v>5.3947347741610877E-2</v>
      </c>
      <c r="H110" s="826">
        <f>'Recycling - Case 3'!BH120</f>
        <v>0</v>
      </c>
      <c r="I110" s="826">
        <f>'Recycling - Case 3'!BI120</f>
        <v>0</v>
      </c>
      <c r="J110" s="826">
        <f>'Recycling - Case 3'!BJ120</f>
        <v>0</v>
      </c>
      <c r="K110" s="826">
        <f>'Recycling - Case 3'!BK120</f>
        <v>0.45267248955313888</v>
      </c>
      <c r="L110" s="827">
        <f t="shared" si="89"/>
        <v>1</v>
      </c>
      <c r="M110" s="4"/>
      <c r="N110" s="838">
        <f t="shared" si="56"/>
        <v>2228.8062963921584</v>
      </c>
      <c r="O110" s="833">
        <f>Parameters!R281</f>
        <v>1</v>
      </c>
      <c r="P110" s="834">
        <f>E110*'MSW characteristics'!$B$28+'MSW characteristics'!$B$29*'4A SWD Case 3'!F110+'4A SWD Case 3'!G110*'MSW characteristics'!$B$30+'MSW characteristics'!$B$31*'4A SWD Case 3'!H110+'4A SWD Case 3'!I110*'MSW characteristics'!$B$32+'MSW characteristics'!$B$33*'4A SWD Case 3'!J110+'4A SWD Case 3'!K110*'MSW characteristics'!$B$35</f>
        <v>0.10937928122199736</v>
      </c>
      <c r="Q110" s="832">
        <f t="shared" si="57"/>
        <v>121.89261534121815</v>
      </c>
      <c r="R110" s="832">
        <f t="shared" si="58"/>
        <v>121.89261534121815</v>
      </c>
      <c r="S110" s="835">
        <f t="shared" si="59"/>
        <v>0</v>
      </c>
      <c r="T110" s="832">
        <f t="shared" si="60"/>
        <v>6938.3771436732877</v>
      </c>
      <c r="U110" s="832">
        <f t="shared" si="61"/>
        <v>349.48863519779025</v>
      </c>
      <c r="V110" s="839">
        <f t="shared" si="62"/>
        <v>232.9924234651935</v>
      </c>
      <c r="W110" s="4"/>
      <c r="X110" s="852">
        <f>'Recycling - Case 3'!AM160</f>
        <v>0</v>
      </c>
      <c r="Y110" s="853">
        <f>Parameters!S280</f>
        <v>0.71500000000000008</v>
      </c>
      <c r="Z110" s="853">
        <f t="shared" si="63"/>
        <v>0.4</v>
      </c>
      <c r="AA110" s="854">
        <f t="shared" si="64"/>
        <v>0</v>
      </c>
      <c r="AB110" s="854">
        <f t="shared" si="65"/>
        <v>0</v>
      </c>
      <c r="AC110" s="855">
        <f t="shared" si="66"/>
        <v>0</v>
      </c>
      <c r="AD110" s="854">
        <f t="shared" si="67"/>
        <v>3206.7453177472116</v>
      </c>
      <c r="AE110" s="854">
        <f t="shared" si="68"/>
        <v>164.4133482395811</v>
      </c>
      <c r="AF110" s="856">
        <f t="shared" si="69"/>
        <v>109.6088988263874</v>
      </c>
      <c r="AG110" s="4"/>
      <c r="AH110" s="852">
        <f>'Recycling - Case 3'!AM200</f>
        <v>0</v>
      </c>
      <c r="AI110" s="853">
        <f>Parameters!S280</f>
        <v>0.71500000000000008</v>
      </c>
      <c r="AJ110" s="853">
        <f t="shared" si="70"/>
        <v>0.4</v>
      </c>
      <c r="AK110" s="854">
        <f t="shared" si="71"/>
        <v>0</v>
      </c>
      <c r="AL110" s="854">
        <f t="shared" si="72"/>
        <v>0</v>
      </c>
      <c r="AM110" s="855">
        <f t="shared" si="73"/>
        <v>0</v>
      </c>
      <c r="AN110" s="854">
        <f t="shared" si="74"/>
        <v>3206.7453177472116</v>
      </c>
      <c r="AO110" s="854">
        <f t="shared" si="75"/>
        <v>164.4133482395811</v>
      </c>
      <c r="AP110" s="856">
        <f t="shared" si="76"/>
        <v>109.6088988263874</v>
      </c>
      <c r="AQ110" s="4"/>
      <c r="AR110" s="850">
        <f>'Recycling - Case 3'!G120</f>
        <v>808.29846505516082</v>
      </c>
      <c r="AS110" s="846">
        <v>1</v>
      </c>
      <c r="AT110" s="846">
        <f t="shared" si="77"/>
        <v>0.05</v>
      </c>
      <c r="AU110" s="832">
        <f t="shared" si="78"/>
        <v>20.207461626379022</v>
      </c>
      <c r="AV110" s="832">
        <f t="shared" si="79"/>
        <v>20.207461626379022</v>
      </c>
      <c r="AW110" s="835">
        <f t="shared" si="80"/>
        <v>0</v>
      </c>
      <c r="AX110" s="832">
        <f t="shared" si="44"/>
        <v>270.45471577601552</v>
      </c>
      <c r="AY110" s="832">
        <f t="shared" si="49"/>
        <v>15.474425979072434</v>
      </c>
      <c r="AZ110" s="930">
        <f t="shared" si="47"/>
        <v>10.316283986048289</v>
      </c>
      <c r="BA110" s="4"/>
      <c r="BB110" s="1055">
        <f t="shared" si="81"/>
        <v>232.9924234651935</v>
      </c>
      <c r="BC110" s="1056">
        <f t="shared" si="82"/>
        <v>109.6088988263874</v>
      </c>
      <c r="BD110" s="1082">
        <f t="shared" si="90"/>
        <v>10.316283986048289</v>
      </c>
      <c r="BE110" s="1056">
        <f t="shared" si="54"/>
        <v>352.9176062776292</v>
      </c>
      <c r="BF110" s="167">
        <v>0</v>
      </c>
      <c r="BG110" s="1075">
        <f t="shared" si="83"/>
        <v>352.9176062776292</v>
      </c>
      <c r="BI110" s="1055">
        <f t="shared" si="84"/>
        <v>232.9924234651935</v>
      </c>
      <c r="BJ110" s="1056">
        <f t="shared" si="85"/>
        <v>109.6088988263874</v>
      </c>
      <c r="BK110" s="1082">
        <f t="shared" si="86"/>
        <v>10.316283986048289</v>
      </c>
      <c r="BL110" s="1056">
        <f t="shared" si="55"/>
        <v>352.9176062776292</v>
      </c>
      <c r="BM110" s="167">
        <v>0</v>
      </c>
      <c r="BN110" s="1075">
        <f t="shared" si="87"/>
        <v>352.9176062776292</v>
      </c>
    </row>
    <row r="111" spans="1:66">
      <c r="A111" s="927">
        <f>'Input data'!A141</f>
        <v>2041</v>
      </c>
      <c r="B111" s="824">
        <f>'Input data'!B141</f>
        <v>71.818612994947316</v>
      </c>
      <c r="C111" s="824">
        <f>'Recycling - Case 3'!AK121/B111</f>
        <v>272.36080273005246</v>
      </c>
      <c r="D111" s="825">
        <f>'Recycling - Case 3'!AM121</f>
        <v>0.11394380208981811</v>
      </c>
      <c r="E111" s="826">
        <f>'Recycling - Case 3'!BE121</f>
        <v>0.2179587836733877</v>
      </c>
      <c r="F111" s="826">
        <f>'Recycling - Case 3'!BF121</f>
        <v>0.276430703529216</v>
      </c>
      <c r="G111" s="826">
        <f>'Recycling - Case 3'!BG121</f>
        <v>5.3839869953268366E-2</v>
      </c>
      <c r="H111" s="826">
        <f>'Recycling - Case 3'!BH121</f>
        <v>0</v>
      </c>
      <c r="I111" s="826">
        <f>'Recycling - Case 3'!BI121</f>
        <v>0</v>
      </c>
      <c r="J111" s="826">
        <f>'Recycling - Case 3'!BJ121</f>
        <v>0</v>
      </c>
      <c r="K111" s="826">
        <f>'Recycling - Case 3'!BK121</f>
        <v>0.45177064284412771</v>
      </c>
      <c r="L111" s="827">
        <f t="shared" si="89"/>
        <v>0.99999999999999978</v>
      </c>
      <c r="M111" s="4"/>
      <c r="N111" s="838">
        <f t="shared" si="56"/>
        <v>2228.8062963921584</v>
      </c>
      <c r="O111" s="833">
        <f>Parameters!R282</f>
        <v>1</v>
      </c>
      <c r="P111" s="834">
        <f>E111*'MSW characteristics'!$B$28+'MSW characteristics'!$B$29*'4A SWD Case 3'!F111+'4A SWD Case 3'!G111*'MSW characteristics'!$B$30+'MSW characteristics'!$B$31*'4A SWD Case 3'!H111+'4A SWD Case 3'!I111*'MSW characteristics'!$B$32+'MSW characteristics'!$B$33*'4A SWD Case 3'!J111+'4A SWD Case 3'!K111*'MSW characteristics'!$B$35</f>
        <v>0.10951590623815871</v>
      </c>
      <c r="Q111" s="832">
        <f t="shared" si="57"/>
        <v>122.0448706893507</v>
      </c>
      <c r="R111" s="832">
        <f t="shared" si="58"/>
        <v>122.0448706893507</v>
      </c>
      <c r="S111" s="835">
        <f t="shared" si="59"/>
        <v>0</v>
      </c>
      <c r="T111" s="832">
        <f t="shared" si="60"/>
        <v>6722.0333680345993</v>
      </c>
      <c r="U111" s="832">
        <f t="shared" si="61"/>
        <v>338.38864632803831</v>
      </c>
      <c r="V111" s="839">
        <f t="shared" si="62"/>
        <v>225.59243088535888</v>
      </c>
      <c r="W111" s="4"/>
      <c r="X111" s="852">
        <f>'Recycling - Case 3'!AM161</f>
        <v>0</v>
      </c>
      <c r="Y111" s="853">
        <f>Parameters!S281</f>
        <v>0.71500000000000008</v>
      </c>
      <c r="Z111" s="853">
        <f t="shared" si="63"/>
        <v>0.4</v>
      </c>
      <c r="AA111" s="854">
        <f t="shared" si="64"/>
        <v>0</v>
      </c>
      <c r="AB111" s="854">
        <f t="shared" si="65"/>
        <v>0</v>
      </c>
      <c r="AC111" s="855">
        <f t="shared" si="66"/>
        <v>0</v>
      </c>
      <c r="AD111" s="854">
        <f t="shared" si="67"/>
        <v>3050.3505031210393</v>
      </c>
      <c r="AE111" s="854">
        <f t="shared" si="68"/>
        <v>156.39481462617221</v>
      </c>
      <c r="AF111" s="856">
        <f t="shared" si="69"/>
        <v>104.26320975078147</v>
      </c>
      <c r="AG111" s="4"/>
      <c r="AH111" s="852">
        <f>'Recycling - Case 3'!AM201</f>
        <v>0</v>
      </c>
      <c r="AI111" s="853">
        <f>Parameters!S281</f>
        <v>0.71500000000000008</v>
      </c>
      <c r="AJ111" s="853">
        <f t="shared" si="70"/>
        <v>0.4</v>
      </c>
      <c r="AK111" s="854">
        <f t="shared" si="71"/>
        <v>0</v>
      </c>
      <c r="AL111" s="854">
        <f t="shared" si="72"/>
        <v>0</v>
      </c>
      <c r="AM111" s="855">
        <f t="shared" si="73"/>
        <v>0</v>
      </c>
      <c r="AN111" s="854">
        <f t="shared" si="74"/>
        <v>3050.3505031210393</v>
      </c>
      <c r="AO111" s="854">
        <f t="shared" si="75"/>
        <v>156.39481462617221</v>
      </c>
      <c r="AP111" s="856">
        <f t="shared" si="76"/>
        <v>104.26320975078147</v>
      </c>
      <c r="AQ111" s="4"/>
      <c r="AR111" s="850">
        <f>'Recycling - Case 3'!G121</f>
        <v>813.31874985175614</v>
      </c>
      <c r="AS111" s="846">
        <v>1</v>
      </c>
      <c r="AT111" s="846">
        <f t="shared" si="77"/>
        <v>0.05</v>
      </c>
      <c r="AU111" s="832">
        <f t="shared" si="78"/>
        <v>20.332968746293904</v>
      </c>
      <c r="AV111" s="832">
        <f t="shared" si="79"/>
        <v>20.332968746293904</v>
      </c>
      <c r="AW111" s="835">
        <f t="shared" si="80"/>
        <v>0</v>
      </c>
      <c r="AX111" s="832">
        <f t="shared" si="44"/>
        <v>275.03762800475369</v>
      </c>
      <c r="AY111" s="832">
        <f t="shared" si="49"/>
        <v>15.750056517555709</v>
      </c>
      <c r="AZ111" s="930">
        <f t="shared" si="47"/>
        <v>10.500037678370473</v>
      </c>
      <c r="BA111" s="4"/>
      <c r="BB111" s="1055">
        <f t="shared" si="81"/>
        <v>225.59243088535888</v>
      </c>
      <c r="BC111" s="1056">
        <f t="shared" si="82"/>
        <v>104.26320975078147</v>
      </c>
      <c r="BD111" s="1082">
        <f t="shared" si="90"/>
        <v>10.500037678370473</v>
      </c>
      <c r="BE111" s="1056">
        <f t="shared" si="54"/>
        <v>340.35567831451084</v>
      </c>
      <c r="BF111" s="167">
        <v>0</v>
      </c>
      <c r="BG111" s="1075">
        <f t="shared" si="83"/>
        <v>340.35567831451084</v>
      </c>
      <c r="BI111" s="1055">
        <f t="shared" si="84"/>
        <v>225.59243088535888</v>
      </c>
      <c r="BJ111" s="1056">
        <f t="shared" si="85"/>
        <v>104.26320975078147</v>
      </c>
      <c r="BK111" s="1082">
        <f t="shared" si="86"/>
        <v>10.500037678370473</v>
      </c>
      <c r="BL111" s="1056">
        <f t="shared" si="55"/>
        <v>340.35567831451084</v>
      </c>
      <c r="BM111" s="167">
        <v>0</v>
      </c>
      <c r="BN111" s="1075">
        <f t="shared" si="87"/>
        <v>340.35567831451084</v>
      </c>
    </row>
    <row r="112" spans="1:66">
      <c r="A112" s="927">
        <f>'Input data'!A142</f>
        <v>2042</v>
      </c>
      <c r="B112" s="824">
        <f>'Input data'!B142</f>
        <v>72.264673338395411</v>
      </c>
      <c r="C112" s="824">
        <f>'Recycling - Case 3'!AK122/B112</f>
        <v>271.51712367627835</v>
      </c>
      <c r="D112" s="825">
        <f>'Recycling - Case 3'!AM122</f>
        <v>0.11359234306754344</v>
      </c>
      <c r="E112" s="826">
        <f>'Recycling - Case 3'!BE122</f>
        <v>0.21839925921131736</v>
      </c>
      <c r="F112" s="826">
        <f>'Recycling - Case 3'!BF122</f>
        <v>0.27698934567607147</v>
      </c>
      <c r="G112" s="826">
        <f>'Recycling - Case 3'!BG122</f>
        <v>5.373347903603997E-2</v>
      </c>
      <c r="H112" s="826">
        <f>'Recycling - Case 3'!BH122</f>
        <v>0</v>
      </c>
      <c r="I112" s="826">
        <f>'Recycling - Case 3'!BI122</f>
        <v>0</v>
      </c>
      <c r="J112" s="826">
        <f>'Recycling - Case 3'!BJ122</f>
        <v>0</v>
      </c>
      <c r="K112" s="826">
        <f>'Recycling - Case 3'!BK122</f>
        <v>0.45087791607657107</v>
      </c>
      <c r="L112" s="827">
        <f t="shared" si="89"/>
        <v>0.99999999999999978</v>
      </c>
      <c r="M112" s="4"/>
      <c r="N112" s="838">
        <f t="shared" si="56"/>
        <v>2228.8062963921584</v>
      </c>
      <c r="O112" s="833">
        <f>Parameters!R283</f>
        <v>1</v>
      </c>
      <c r="P112" s="834">
        <f>E112*'MSW characteristics'!$B$28+'MSW characteristics'!$B$29*'4A SWD Case 3'!F112+'4A SWD Case 3'!G112*'MSW characteristics'!$B$30+'MSW characteristics'!$B$31*'4A SWD Case 3'!H112+'4A SWD Case 3'!I112*'MSW characteristics'!$B$32+'MSW characteristics'!$B$33*'4A SWD Case 3'!J112+'4A SWD Case 3'!K112*'MSW characteristics'!$B$35</f>
        <v>0.1096511496313279</v>
      </c>
      <c r="Q112" s="832">
        <f t="shared" si="57"/>
        <v>122.19558635247115</v>
      </c>
      <c r="R112" s="832">
        <f t="shared" si="58"/>
        <v>122.19558635247115</v>
      </c>
      <c r="S112" s="835">
        <f t="shared" si="59"/>
        <v>0</v>
      </c>
      <c r="T112" s="832">
        <f t="shared" si="60"/>
        <v>6516.391518502619</v>
      </c>
      <c r="U112" s="832">
        <f t="shared" si="61"/>
        <v>327.83743588445105</v>
      </c>
      <c r="V112" s="839">
        <f t="shared" si="62"/>
        <v>218.55829058963403</v>
      </c>
      <c r="W112" s="4"/>
      <c r="X112" s="852">
        <f>'Recycling - Case 3'!AM162</f>
        <v>0</v>
      </c>
      <c r="Y112" s="853">
        <f>Parameters!S282</f>
        <v>0.71500000000000008</v>
      </c>
      <c r="Z112" s="853">
        <f t="shared" si="63"/>
        <v>0.4</v>
      </c>
      <c r="AA112" s="854">
        <f t="shared" si="64"/>
        <v>0</v>
      </c>
      <c r="AB112" s="854">
        <f t="shared" si="65"/>
        <v>0</v>
      </c>
      <c r="AC112" s="855">
        <f t="shared" si="66"/>
        <v>0</v>
      </c>
      <c r="AD112" s="854">
        <f t="shared" si="67"/>
        <v>2901.5831536092896</v>
      </c>
      <c r="AE112" s="854">
        <f t="shared" si="68"/>
        <v>148.76734951174964</v>
      </c>
      <c r="AF112" s="856">
        <f t="shared" si="69"/>
        <v>99.1782330078331</v>
      </c>
      <c r="AG112" s="4"/>
      <c r="AH112" s="852">
        <f>'Recycling - Case 3'!AM202</f>
        <v>0</v>
      </c>
      <c r="AI112" s="853">
        <f>Parameters!S282</f>
        <v>0.71500000000000008</v>
      </c>
      <c r="AJ112" s="853">
        <f t="shared" si="70"/>
        <v>0.4</v>
      </c>
      <c r="AK112" s="854">
        <f t="shared" si="71"/>
        <v>0</v>
      </c>
      <c r="AL112" s="854">
        <f t="shared" si="72"/>
        <v>0</v>
      </c>
      <c r="AM112" s="855">
        <f t="shared" si="73"/>
        <v>0</v>
      </c>
      <c r="AN112" s="854">
        <f t="shared" si="74"/>
        <v>2901.5831536092896</v>
      </c>
      <c r="AO112" s="854">
        <f t="shared" si="75"/>
        <v>148.76734951174964</v>
      </c>
      <c r="AP112" s="856">
        <f t="shared" si="76"/>
        <v>99.1782330078331</v>
      </c>
      <c r="AQ112" s="4"/>
      <c r="AR112" s="850">
        <f>'Recycling - Case 3'!G122</f>
        <v>818.37021528338698</v>
      </c>
      <c r="AS112" s="846">
        <v>1</v>
      </c>
      <c r="AT112" s="846">
        <f t="shared" si="77"/>
        <v>0.05</v>
      </c>
      <c r="AU112" s="832">
        <f t="shared" si="78"/>
        <v>20.459255382084677</v>
      </c>
      <c r="AV112" s="832">
        <f t="shared" si="79"/>
        <v>20.459255382084677</v>
      </c>
      <c r="AW112" s="835">
        <f t="shared" si="80"/>
        <v>0</v>
      </c>
      <c r="AX112" s="832">
        <f t="shared" si="44"/>
        <v>279.47993883809966</v>
      </c>
      <c r="AY112" s="832">
        <f t="shared" si="49"/>
        <v>16.016944548738728</v>
      </c>
      <c r="AZ112" s="930">
        <f t="shared" si="47"/>
        <v>10.677963032492485</v>
      </c>
      <c r="BA112" s="4"/>
      <c r="BB112" s="1055">
        <f t="shared" si="81"/>
        <v>218.55829058963403</v>
      </c>
      <c r="BC112" s="1056">
        <f t="shared" si="82"/>
        <v>99.1782330078331</v>
      </c>
      <c r="BD112" s="1082">
        <f t="shared" si="90"/>
        <v>10.677963032492485</v>
      </c>
      <c r="BE112" s="1056">
        <f t="shared" si="54"/>
        <v>328.41448662995958</v>
      </c>
      <c r="BF112" s="167">
        <v>0</v>
      </c>
      <c r="BG112" s="1075">
        <f t="shared" si="83"/>
        <v>328.41448662995958</v>
      </c>
      <c r="BI112" s="1055">
        <f t="shared" si="84"/>
        <v>218.55829058963403</v>
      </c>
      <c r="BJ112" s="1056">
        <f t="shared" si="85"/>
        <v>99.1782330078331</v>
      </c>
      <c r="BK112" s="1082">
        <f t="shared" si="86"/>
        <v>10.677963032492485</v>
      </c>
      <c r="BL112" s="1056">
        <f t="shared" si="55"/>
        <v>328.41448662995958</v>
      </c>
      <c r="BM112" s="167">
        <v>0</v>
      </c>
      <c r="BN112" s="1075">
        <f t="shared" si="87"/>
        <v>328.41448662995958</v>
      </c>
    </row>
    <row r="113" spans="1:66">
      <c r="A113" s="927">
        <f>'Input data'!A143</f>
        <v>2043</v>
      </c>
      <c r="B113" s="824">
        <f>'Input data'!B143</f>
        <v>72.713504131197794</v>
      </c>
      <c r="C113" s="824">
        <f>'Recycling - Case 3'!AK123/B113</f>
        <v>270.67903850077238</v>
      </c>
      <c r="D113" s="825">
        <f>'Recycling - Case 3'!AM123</f>
        <v>0.11324072120840105</v>
      </c>
      <c r="E113" s="826">
        <f>'Recycling - Case 3'!BE123</f>
        <v>0.21883529452492329</v>
      </c>
      <c r="F113" s="826">
        <f>'Recycling - Case 3'!BF123</f>
        <v>0.27754235641724118</v>
      </c>
      <c r="G113" s="826">
        <f>'Recycling - Case 3'!BG123</f>
        <v>5.3628160595028347E-2</v>
      </c>
      <c r="H113" s="826">
        <f>'Recycling - Case 3'!BH123</f>
        <v>0</v>
      </c>
      <c r="I113" s="826">
        <f>'Recycling - Case 3'!BI123</f>
        <v>0</v>
      </c>
      <c r="J113" s="826">
        <f>'Recycling - Case 3'!BJ123</f>
        <v>0</v>
      </c>
      <c r="K113" s="826">
        <f>'Recycling - Case 3'!BK123</f>
        <v>0.4499941884628072</v>
      </c>
      <c r="L113" s="827">
        <f t="shared" si="89"/>
        <v>1</v>
      </c>
      <c r="M113" s="4"/>
      <c r="N113" s="838">
        <f t="shared" si="56"/>
        <v>2228.8062963921584</v>
      </c>
      <c r="O113" s="833">
        <f>Parameters!R284</f>
        <v>1</v>
      </c>
      <c r="P113" s="834">
        <f>E113*'MSW characteristics'!$B$28+'MSW characteristics'!$B$29*'4A SWD Case 3'!F113+'4A SWD Case 3'!G113*'MSW characteristics'!$B$30+'MSW characteristics'!$B$31*'4A SWD Case 3'!H113+'4A SWD Case 3'!I113*'MSW characteristics'!$B$32+'MSW characteristics'!$B$33*'4A SWD Case 3'!J113+'4A SWD Case 3'!K113*'MSW characteristics'!$B$35</f>
        <v>0.10978502970019809</v>
      </c>
      <c r="Q113" s="832">
        <f t="shared" si="57"/>
        <v>122.3447827227008</v>
      </c>
      <c r="R113" s="832">
        <f t="shared" si="58"/>
        <v>122.3447827227008</v>
      </c>
      <c r="S113" s="835">
        <f t="shared" si="59"/>
        <v>0</v>
      </c>
      <c r="T113" s="832">
        <f t="shared" si="60"/>
        <v>6320.928136689281</v>
      </c>
      <c r="U113" s="832">
        <f t="shared" si="61"/>
        <v>317.80816453603882</v>
      </c>
      <c r="V113" s="839">
        <f t="shared" si="62"/>
        <v>211.87210969069255</v>
      </c>
      <c r="W113" s="4"/>
      <c r="X113" s="852">
        <f>'Recycling - Case 3'!AM163</f>
        <v>0</v>
      </c>
      <c r="Y113" s="853">
        <f>Parameters!S283</f>
        <v>0.71500000000000008</v>
      </c>
      <c r="Z113" s="853">
        <f t="shared" si="63"/>
        <v>0.4</v>
      </c>
      <c r="AA113" s="854">
        <f t="shared" si="64"/>
        <v>0</v>
      </c>
      <c r="AB113" s="854">
        <f t="shared" si="65"/>
        <v>0</v>
      </c>
      <c r="AC113" s="855">
        <f t="shared" si="66"/>
        <v>0</v>
      </c>
      <c r="AD113" s="854">
        <f t="shared" si="67"/>
        <v>2760.0712733487317</v>
      </c>
      <c r="AE113" s="854">
        <f t="shared" si="68"/>
        <v>141.51188026055817</v>
      </c>
      <c r="AF113" s="856">
        <f t="shared" si="69"/>
        <v>94.341253507038786</v>
      </c>
      <c r="AG113" s="4"/>
      <c r="AH113" s="852">
        <f>'Recycling - Case 3'!AM203</f>
        <v>0</v>
      </c>
      <c r="AI113" s="853">
        <f>Parameters!S283</f>
        <v>0.71500000000000008</v>
      </c>
      <c r="AJ113" s="853">
        <f t="shared" si="70"/>
        <v>0.4</v>
      </c>
      <c r="AK113" s="854">
        <f t="shared" si="71"/>
        <v>0</v>
      </c>
      <c r="AL113" s="854">
        <f t="shared" si="72"/>
        <v>0</v>
      </c>
      <c r="AM113" s="855">
        <f t="shared" si="73"/>
        <v>0</v>
      </c>
      <c r="AN113" s="854">
        <f t="shared" si="74"/>
        <v>2760.0712733487317</v>
      </c>
      <c r="AO113" s="854">
        <f t="shared" si="75"/>
        <v>141.51188026055817</v>
      </c>
      <c r="AP113" s="856">
        <f t="shared" si="76"/>
        <v>94.341253507038786</v>
      </c>
      <c r="AQ113" s="4"/>
      <c r="AR113" s="850">
        <f>'Recycling - Case 3'!G123</f>
        <v>823.4530550107803</v>
      </c>
      <c r="AS113" s="846">
        <v>1</v>
      </c>
      <c r="AT113" s="846">
        <f t="shared" si="77"/>
        <v>0.05</v>
      </c>
      <c r="AU113" s="832">
        <f t="shared" si="78"/>
        <v>20.586326375269508</v>
      </c>
      <c r="AV113" s="832">
        <f t="shared" si="79"/>
        <v>20.586326375269508</v>
      </c>
      <c r="AW113" s="835">
        <f t="shared" si="80"/>
        <v>0</v>
      </c>
      <c r="AX113" s="832">
        <f t="shared" si="44"/>
        <v>283.79062062128679</v>
      </c>
      <c r="AY113" s="832">
        <f t="shared" si="49"/>
        <v>16.275644592082376</v>
      </c>
      <c r="AZ113" s="930">
        <f t="shared" si="47"/>
        <v>10.850429728054918</v>
      </c>
      <c r="BA113" s="4"/>
      <c r="BB113" s="1055">
        <f t="shared" si="81"/>
        <v>211.87210969069255</v>
      </c>
      <c r="BC113" s="1056">
        <f t="shared" si="82"/>
        <v>94.341253507038786</v>
      </c>
      <c r="BD113" s="1082">
        <f t="shared" si="90"/>
        <v>10.850429728054918</v>
      </c>
      <c r="BE113" s="1056">
        <f t="shared" si="54"/>
        <v>317.06379292578623</v>
      </c>
      <c r="BF113" s="167">
        <v>0</v>
      </c>
      <c r="BG113" s="1075">
        <f t="shared" si="83"/>
        <v>317.06379292578623</v>
      </c>
      <c r="BI113" s="1055">
        <f t="shared" si="84"/>
        <v>211.87210969069255</v>
      </c>
      <c r="BJ113" s="1056">
        <f t="shared" si="85"/>
        <v>94.341253507038786</v>
      </c>
      <c r="BK113" s="1082">
        <f t="shared" si="86"/>
        <v>10.850429728054918</v>
      </c>
      <c r="BL113" s="1056">
        <f t="shared" si="55"/>
        <v>317.06379292578623</v>
      </c>
      <c r="BM113" s="167">
        <v>0</v>
      </c>
      <c r="BN113" s="1075">
        <f t="shared" si="87"/>
        <v>317.06379292578623</v>
      </c>
    </row>
    <row r="114" spans="1:66">
      <c r="A114" s="927">
        <f>'Input data'!A144</f>
        <v>2044</v>
      </c>
      <c r="B114" s="824">
        <f>'Input data'!B144</f>
        <v>73.165122580420132</v>
      </c>
      <c r="C114" s="824">
        <f>'Recycling - Case 3'!AK124/B114</f>
        <v>269.84650568336718</v>
      </c>
      <c r="D114" s="825">
        <f>'Recycling - Case 3'!AM124</f>
        <v>0.11288894718501212</v>
      </c>
      <c r="E114" s="826">
        <f>'Recycling - Case 3'!BE124</f>
        <v>0.21926694818441095</v>
      </c>
      <c r="F114" s="826">
        <f>'Recycling - Case 3'!BF124</f>
        <v>0.27808981003559108</v>
      </c>
      <c r="G114" s="826">
        <f>'Recycling - Case 3'!BG124</f>
        <v>5.3523900483391409E-2</v>
      </c>
      <c r="H114" s="826">
        <f>'Recycling - Case 3'!BH124</f>
        <v>0</v>
      </c>
      <c r="I114" s="826">
        <f>'Recycling - Case 3'!BI124</f>
        <v>0</v>
      </c>
      <c r="J114" s="826">
        <f>'Recycling - Case 3'!BJ124</f>
        <v>0</v>
      </c>
      <c r="K114" s="826">
        <f>'Recycling - Case 3'!BK124</f>
        <v>0.44911934129660652</v>
      </c>
      <c r="L114" s="827">
        <f t="shared" si="89"/>
        <v>1</v>
      </c>
      <c r="M114" s="4"/>
      <c r="N114" s="838">
        <f t="shared" si="56"/>
        <v>2228.8062963921584</v>
      </c>
      <c r="O114" s="833">
        <f>Parameters!R285</f>
        <v>1</v>
      </c>
      <c r="P114" s="834">
        <f>E114*'MSW characteristics'!$B$28+'MSW characteristics'!$B$29*'4A SWD Case 3'!F114+'4A SWD Case 3'!G114*'MSW characteristics'!$B$30+'MSW characteristics'!$B$31*'4A SWD Case 3'!H114+'4A SWD Case 3'!I114*'MSW characteristics'!$B$32+'MSW characteristics'!$B$33*'4A SWD Case 3'!J114+'4A SWD Case 3'!K114*'MSW characteristics'!$B$35</f>
        <v>0.10991756442813642</v>
      </c>
      <c r="Q114" s="832">
        <f t="shared" si="57"/>
        <v>122.49247984076059</v>
      </c>
      <c r="R114" s="832">
        <f t="shared" si="58"/>
        <v>122.49247984076059</v>
      </c>
      <c r="S114" s="835">
        <f t="shared" si="59"/>
        <v>0</v>
      </c>
      <c r="T114" s="832">
        <f t="shared" si="60"/>
        <v>6135.1453136140763</v>
      </c>
      <c r="U114" s="832">
        <f t="shared" si="61"/>
        <v>308.27530291596565</v>
      </c>
      <c r="V114" s="839">
        <f t="shared" si="62"/>
        <v>205.51686861064377</v>
      </c>
      <c r="W114" s="4"/>
      <c r="X114" s="852">
        <f>'Recycling - Case 3'!AM164</f>
        <v>0</v>
      </c>
      <c r="Y114" s="853">
        <f>Parameters!S284</f>
        <v>0.71500000000000008</v>
      </c>
      <c r="Z114" s="853">
        <f t="shared" si="63"/>
        <v>0.4</v>
      </c>
      <c r="AA114" s="854">
        <f t="shared" si="64"/>
        <v>0</v>
      </c>
      <c r="AB114" s="854">
        <f t="shared" si="65"/>
        <v>0</v>
      </c>
      <c r="AC114" s="855">
        <f t="shared" si="66"/>
        <v>0</v>
      </c>
      <c r="AD114" s="854">
        <f t="shared" si="67"/>
        <v>2625.461008928467</v>
      </c>
      <c r="AE114" s="854">
        <f t="shared" si="68"/>
        <v>134.61026442026471</v>
      </c>
      <c r="AF114" s="856">
        <f t="shared" si="69"/>
        <v>89.74017628017647</v>
      </c>
      <c r="AG114" s="4"/>
      <c r="AH114" s="852">
        <f>'Recycling - Case 3'!AM204</f>
        <v>0</v>
      </c>
      <c r="AI114" s="853">
        <f>Parameters!S284</f>
        <v>0.71500000000000008</v>
      </c>
      <c r="AJ114" s="853">
        <f t="shared" si="70"/>
        <v>0.4</v>
      </c>
      <c r="AK114" s="854">
        <f t="shared" si="71"/>
        <v>0</v>
      </c>
      <c r="AL114" s="854">
        <f t="shared" si="72"/>
        <v>0</v>
      </c>
      <c r="AM114" s="855">
        <f t="shared" si="73"/>
        <v>0</v>
      </c>
      <c r="AN114" s="854">
        <f t="shared" si="74"/>
        <v>2625.461008928467</v>
      </c>
      <c r="AO114" s="854">
        <f t="shared" si="75"/>
        <v>134.61026442026471</v>
      </c>
      <c r="AP114" s="856">
        <f t="shared" si="76"/>
        <v>89.74017628017647</v>
      </c>
      <c r="AQ114" s="4"/>
      <c r="AR114" s="850">
        <f>'Recycling - Case 3'!G124</f>
        <v>828.56746389747582</v>
      </c>
      <c r="AS114" s="846">
        <v>1</v>
      </c>
      <c r="AT114" s="846">
        <f t="shared" si="77"/>
        <v>0.05</v>
      </c>
      <c r="AU114" s="832">
        <f t="shared" si="78"/>
        <v>20.714186597436896</v>
      </c>
      <c r="AV114" s="832">
        <f t="shared" si="79"/>
        <v>20.714186597436896</v>
      </c>
      <c r="AW114" s="835">
        <f t="shared" si="80"/>
        <v>0</v>
      </c>
      <c r="AX114" s="832">
        <f t="shared" ref="AX114:AX120" si="91">AV114+(AX113*$E$8)</f>
        <v>287.97812806242752</v>
      </c>
      <c r="AY114" s="832">
        <f t="shared" si="49"/>
        <v>16.526679156296158</v>
      </c>
      <c r="AZ114" s="930">
        <f t="shared" si="47"/>
        <v>11.017786104197439</v>
      </c>
      <c r="BA114" s="4"/>
      <c r="BB114" s="1055">
        <f t="shared" si="81"/>
        <v>205.51686861064377</v>
      </c>
      <c r="BC114" s="1056">
        <f t="shared" si="82"/>
        <v>89.74017628017647</v>
      </c>
      <c r="BD114" s="1082">
        <f t="shared" si="90"/>
        <v>11.017786104197439</v>
      </c>
      <c r="BE114" s="1056">
        <f t="shared" si="54"/>
        <v>306.27483099501768</v>
      </c>
      <c r="BF114" s="167">
        <v>0</v>
      </c>
      <c r="BG114" s="1075">
        <f t="shared" si="83"/>
        <v>306.27483099501768</v>
      </c>
      <c r="BI114" s="1055">
        <f t="shared" si="84"/>
        <v>205.51686861064377</v>
      </c>
      <c r="BJ114" s="1056">
        <f t="shared" si="85"/>
        <v>89.74017628017647</v>
      </c>
      <c r="BK114" s="1082">
        <f t="shared" si="86"/>
        <v>11.017786104197439</v>
      </c>
      <c r="BL114" s="1056">
        <f t="shared" si="55"/>
        <v>306.27483099501768</v>
      </c>
      <c r="BM114" s="167">
        <v>0</v>
      </c>
      <c r="BN114" s="1075">
        <f t="shared" si="87"/>
        <v>306.27483099501768</v>
      </c>
    </row>
    <row r="115" spans="1:66">
      <c r="A115" s="927">
        <f>'Input data'!A145</f>
        <v>2045</v>
      </c>
      <c r="B115" s="824">
        <f>'Input data'!B145</f>
        <v>73.619545999999971</v>
      </c>
      <c r="C115" s="824">
        <f>'Recycling - Case 3'!AK125/B115</f>
        <v>269.0194841045323</v>
      </c>
      <c r="D115" s="825">
        <f>'Recycling - Case 3'!AM125</f>
        <v>0.11253703160414483</v>
      </c>
      <c r="E115" s="826">
        <f>'Recycling - Case 3'!BE125</f>
        <v>0.21969427775505454</v>
      </c>
      <c r="F115" s="826">
        <f>'Recycling - Case 3'!BF125</f>
        <v>0.27863177953946222</v>
      </c>
      <c r="G115" s="826">
        <f>'Recycling - Case 3'!BG125</f>
        <v>5.3420684797014596E-2</v>
      </c>
      <c r="H115" s="826">
        <f>'Recycling - Case 3'!BH125</f>
        <v>0</v>
      </c>
      <c r="I115" s="826">
        <f>'Recycling - Case 3'!BI125</f>
        <v>0</v>
      </c>
      <c r="J115" s="826">
        <f>'Recycling - Case 3'!BJ125</f>
        <v>0</v>
      </c>
      <c r="K115" s="826">
        <f>'Recycling - Case 3'!BK125</f>
        <v>0.44825325790846843</v>
      </c>
      <c r="L115" s="827">
        <f t="shared" si="89"/>
        <v>0.99999999999999978</v>
      </c>
      <c r="M115" s="4"/>
      <c r="N115" s="838">
        <f t="shared" si="56"/>
        <v>2228.8062963921584</v>
      </c>
      <c r="O115" s="833">
        <f>Parameters!R286</f>
        <v>1</v>
      </c>
      <c r="P115" s="834">
        <f>E115*'MSW characteristics'!$B$28+'MSW characteristics'!$B$29*'4A SWD Case 3'!F115+'4A SWD Case 3'!G115*'MSW characteristics'!$B$30+'MSW characteristics'!$B$31*'4A SWD Case 3'!H115+'4A SWD Case 3'!I115*'MSW characteristics'!$B$32+'MSW characteristics'!$B$33*'4A SWD Case 3'!J115+'4A SWD Case 3'!K115*'MSW characteristics'!$B$35</f>
        <v>0.11004877148995647</v>
      </c>
      <c r="Q115" s="832">
        <f t="shared" si="57"/>
        <v>122.63869740351841</v>
      </c>
      <c r="R115" s="832">
        <f t="shared" si="58"/>
        <v>122.63869740351841</v>
      </c>
      <c r="S115" s="835">
        <f t="shared" si="59"/>
        <v>0</v>
      </c>
      <c r="T115" s="832">
        <f t="shared" si="60"/>
        <v>5958.5694433008894</v>
      </c>
      <c r="U115" s="832">
        <f t="shared" si="61"/>
        <v>299.21456771670591</v>
      </c>
      <c r="V115" s="839">
        <f t="shared" si="62"/>
        <v>199.47637847780393</v>
      </c>
      <c r="W115" s="4"/>
      <c r="X115" s="852">
        <f>'Recycling - Case 3'!AM165</f>
        <v>0</v>
      </c>
      <c r="Y115" s="853">
        <f>Parameters!S285</f>
        <v>0.71500000000000008</v>
      </c>
      <c r="Z115" s="853">
        <f t="shared" si="63"/>
        <v>0.4</v>
      </c>
      <c r="AA115" s="854">
        <f t="shared" si="64"/>
        <v>0</v>
      </c>
      <c r="AB115" s="854">
        <f t="shared" si="65"/>
        <v>0</v>
      </c>
      <c r="AC115" s="855">
        <f t="shared" si="66"/>
        <v>0</v>
      </c>
      <c r="AD115" s="854">
        <f t="shared" si="67"/>
        <v>2497.4157645720898</v>
      </c>
      <c r="AE115" s="854">
        <f t="shared" si="68"/>
        <v>128.04524435637734</v>
      </c>
      <c r="AF115" s="856">
        <f t="shared" si="69"/>
        <v>85.363496237584897</v>
      </c>
      <c r="AG115" s="4"/>
      <c r="AH115" s="852">
        <f>'Recycling - Case 3'!AM205</f>
        <v>0</v>
      </c>
      <c r="AI115" s="853">
        <f>Parameters!S285</f>
        <v>0.71500000000000008</v>
      </c>
      <c r="AJ115" s="853">
        <f t="shared" si="70"/>
        <v>0.4</v>
      </c>
      <c r="AK115" s="854">
        <f t="shared" si="71"/>
        <v>0</v>
      </c>
      <c r="AL115" s="854">
        <f t="shared" si="72"/>
        <v>0</v>
      </c>
      <c r="AM115" s="855">
        <f t="shared" si="73"/>
        <v>0</v>
      </c>
      <c r="AN115" s="854">
        <f t="shared" si="74"/>
        <v>2497.4157645720898</v>
      </c>
      <c r="AO115" s="854">
        <f t="shared" si="75"/>
        <v>128.04524435637734</v>
      </c>
      <c r="AP115" s="856">
        <f t="shared" si="76"/>
        <v>85.363496237584897</v>
      </c>
      <c r="AQ115" s="4"/>
      <c r="AR115" s="850">
        <f>'Recycling - Case 3'!G125</f>
        <v>833.71363801729672</v>
      </c>
      <c r="AS115" s="846">
        <v>1</v>
      </c>
      <c r="AT115" s="846">
        <f t="shared" si="77"/>
        <v>0.05</v>
      </c>
      <c r="AU115" s="832">
        <f t="shared" si="78"/>
        <v>20.842840950432418</v>
      </c>
      <c r="AV115" s="832">
        <f t="shared" si="79"/>
        <v>20.842840950432418</v>
      </c>
      <c r="AW115" s="835">
        <f t="shared" si="80"/>
        <v>0</v>
      </c>
      <c r="AX115" s="832">
        <f t="shared" si="91"/>
        <v>292.0504284076095</v>
      </c>
      <c r="AY115" s="832">
        <f t="shared" si="49"/>
        <v>16.770540605250417</v>
      </c>
      <c r="AZ115" s="930">
        <f t="shared" si="47"/>
        <v>11.180360403500279</v>
      </c>
      <c r="BA115" s="4"/>
      <c r="BB115" s="1055">
        <f t="shared" si="81"/>
        <v>199.47637847780393</v>
      </c>
      <c r="BC115" s="1056">
        <f t="shared" si="82"/>
        <v>85.363496237584897</v>
      </c>
      <c r="BD115" s="1082">
        <f t="shared" si="90"/>
        <v>11.180360403500279</v>
      </c>
      <c r="BE115" s="1056">
        <f t="shared" si="54"/>
        <v>296.0202351188891</v>
      </c>
      <c r="BF115" s="167">
        <v>0</v>
      </c>
      <c r="BG115" s="1075">
        <f t="shared" si="83"/>
        <v>296.0202351188891</v>
      </c>
      <c r="BI115" s="1055">
        <f t="shared" si="84"/>
        <v>199.47637847780393</v>
      </c>
      <c r="BJ115" s="1056">
        <f t="shared" si="85"/>
        <v>85.363496237584897</v>
      </c>
      <c r="BK115" s="1082">
        <f t="shared" si="86"/>
        <v>11.180360403500279</v>
      </c>
      <c r="BL115" s="1056">
        <f t="shared" si="55"/>
        <v>296.0202351188891</v>
      </c>
      <c r="BM115" s="167">
        <v>0</v>
      </c>
      <c r="BN115" s="1075">
        <f t="shared" si="87"/>
        <v>296.0202351188891</v>
      </c>
    </row>
    <row r="116" spans="1:66">
      <c r="A116" s="927">
        <f>'Input data'!A146</f>
        <v>2046</v>
      </c>
      <c r="B116" s="824">
        <f>'Input data'!B146</f>
        <v>73.995362001779526</v>
      </c>
      <c r="C116" s="824">
        <f>'Recycling - Case 3'!AK126/B116</f>
        <v>268.34347153368111</v>
      </c>
      <c r="D116" s="825">
        <f>'Recycling - Case 3'!AM126</f>
        <v>0.11224752992749164</v>
      </c>
      <c r="E116" s="826">
        <f>'Recycling - Case 3'!BE126</f>
        <v>0.22004249838631784</v>
      </c>
      <c r="F116" s="826">
        <f>'Recycling - Case 3'!BF126</f>
        <v>0.27907341750633474</v>
      </c>
      <c r="G116" s="826">
        <f>'Recycling - Case 3'!BG126</f>
        <v>5.3336576806518536E-2</v>
      </c>
      <c r="H116" s="826">
        <f>'Recycling - Case 3'!BH126</f>
        <v>0</v>
      </c>
      <c r="I116" s="826">
        <f>'Recycling - Case 3'!BI126</f>
        <v>0</v>
      </c>
      <c r="J116" s="826">
        <f>'Recycling - Case 3'!BJ126</f>
        <v>0</v>
      </c>
      <c r="K116" s="826">
        <f>'Recycling - Case 3'!BK126</f>
        <v>0.44754750730082893</v>
      </c>
      <c r="L116" s="827">
        <f t="shared" si="89"/>
        <v>1</v>
      </c>
      <c r="M116" s="4"/>
      <c r="N116" s="838">
        <f t="shared" si="56"/>
        <v>2228.8062963921584</v>
      </c>
      <c r="O116" s="833">
        <f>Parameters!R287</f>
        <v>1</v>
      </c>
      <c r="P116" s="834">
        <f>E116*'MSW characteristics'!$B$28+'MSW characteristics'!$B$29*'4A SWD Case 3'!F116+'4A SWD Case 3'!G116*'MSW characteristics'!$B$30+'MSW characteristics'!$B$31*'4A SWD Case 3'!H116+'4A SWD Case 3'!I116*'MSW characteristics'!$B$32+'MSW characteristics'!$B$33*'4A SWD Case 3'!J116+'4A SWD Case 3'!K116*'MSW characteristics'!$B$35</f>
        <v>0.11015568898182204</v>
      </c>
      <c r="Q116" s="832">
        <f t="shared" si="57"/>
        <v>122.75784659305064</v>
      </c>
      <c r="R116" s="832">
        <f t="shared" si="58"/>
        <v>122.75784659305064</v>
      </c>
      <c r="S116" s="835">
        <f t="shared" si="59"/>
        <v>0</v>
      </c>
      <c r="T116" s="832">
        <f>R116+(T115*$C$8)</f>
        <v>5790.7244289916962</v>
      </c>
      <c r="U116" s="832">
        <f t="shared" si="61"/>
        <v>290.60286090224446</v>
      </c>
      <c r="V116" s="839">
        <f t="shared" si="62"/>
        <v>193.73524060149632</v>
      </c>
      <c r="W116" s="4"/>
      <c r="X116" s="852">
        <f>'Recycling - Case 3'!AM166</f>
        <v>0</v>
      </c>
      <c r="Y116" s="853">
        <f>Parameters!S286</f>
        <v>0.71500000000000008</v>
      </c>
      <c r="Z116" s="853">
        <f t="shared" si="63"/>
        <v>0.4</v>
      </c>
      <c r="AA116" s="854">
        <f t="shared" si="64"/>
        <v>0</v>
      </c>
      <c r="AB116" s="854">
        <f t="shared" si="65"/>
        <v>0</v>
      </c>
      <c r="AC116" s="855">
        <f t="shared" si="66"/>
        <v>0</v>
      </c>
      <c r="AD116" s="854">
        <f t="shared" si="67"/>
        <v>2375.6153604729197</v>
      </c>
      <c r="AE116" s="854">
        <f t="shared" si="68"/>
        <v>121.80040409917014</v>
      </c>
      <c r="AF116" s="856">
        <f t="shared" si="69"/>
        <v>81.200269399446753</v>
      </c>
      <c r="AG116" s="4"/>
      <c r="AH116" s="852">
        <f>'Recycling - Case 3'!AM206</f>
        <v>0</v>
      </c>
      <c r="AI116" s="853">
        <f>Parameters!S286</f>
        <v>0.71500000000000008</v>
      </c>
      <c r="AJ116" s="853">
        <f t="shared" si="70"/>
        <v>0.4</v>
      </c>
      <c r="AK116" s="854">
        <f t="shared" si="71"/>
        <v>0</v>
      </c>
      <c r="AL116" s="854">
        <f t="shared" si="72"/>
        <v>0</v>
      </c>
      <c r="AM116" s="855">
        <f t="shared" si="73"/>
        <v>0</v>
      </c>
      <c r="AN116" s="854">
        <f t="shared" si="74"/>
        <v>2375.6153604729197</v>
      </c>
      <c r="AO116" s="854">
        <f t="shared" si="75"/>
        <v>121.80040409917014</v>
      </c>
      <c r="AP116" s="856">
        <f t="shared" si="76"/>
        <v>81.200269399446753</v>
      </c>
      <c r="AQ116" s="4"/>
      <c r="AR116" s="850">
        <f>'Recycling - Case 3'!G126</f>
        <v>837.96961272907708</v>
      </c>
      <c r="AS116" s="846">
        <v>1</v>
      </c>
      <c r="AT116" s="846">
        <f t="shared" si="77"/>
        <v>0.05</v>
      </c>
      <c r="AU116" s="832">
        <f t="shared" si="78"/>
        <v>20.949240318226927</v>
      </c>
      <c r="AV116" s="832">
        <f t="shared" si="79"/>
        <v>20.949240318226927</v>
      </c>
      <c r="AW116" s="835">
        <f t="shared" si="80"/>
        <v>0</v>
      </c>
      <c r="AX116" s="832">
        <f t="shared" si="91"/>
        <v>295.99197581059934</v>
      </c>
      <c r="AY116" s="832">
        <f t="shared" si="49"/>
        <v>17.007692915237115</v>
      </c>
      <c r="AZ116" s="930">
        <f t="shared" si="47"/>
        <v>11.33846194349141</v>
      </c>
      <c r="BA116" s="4"/>
      <c r="BB116" s="1055">
        <f t="shared" si="81"/>
        <v>193.73524060149632</v>
      </c>
      <c r="BC116" s="1056">
        <f t="shared" si="82"/>
        <v>81.200269399446753</v>
      </c>
      <c r="BD116" s="1082">
        <f t="shared" si="90"/>
        <v>11.33846194349141</v>
      </c>
      <c r="BE116" s="1056">
        <f t="shared" si="54"/>
        <v>286.27397194443449</v>
      </c>
      <c r="BF116" s="167">
        <v>0</v>
      </c>
      <c r="BG116" s="1075">
        <f t="shared" si="83"/>
        <v>286.27397194443449</v>
      </c>
      <c r="BI116" s="1055">
        <f t="shared" si="84"/>
        <v>193.73524060149632</v>
      </c>
      <c r="BJ116" s="1056">
        <f t="shared" si="85"/>
        <v>81.200269399446753</v>
      </c>
      <c r="BK116" s="1082">
        <f t="shared" si="86"/>
        <v>11.33846194349141</v>
      </c>
      <c r="BL116" s="1056">
        <f t="shared" si="55"/>
        <v>286.27397194443449</v>
      </c>
      <c r="BM116" s="167">
        <v>0</v>
      </c>
      <c r="BN116" s="1075">
        <f t="shared" si="87"/>
        <v>286.27397194443449</v>
      </c>
    </row>
    <row r="117" spans="1:66">
      <c r="A117" s="927">
        <f>'Input data'!A147</f>
        <v>2047</v>
      </c>
      <c r="B117" s="824">
        <f>'Input data'!B147</f>
        <v>74.373096484110363</v>
      </c>
      <c r="C117" s="824">
        <f>'Recycling - Case 3'!AK127/B117</f>
        <v>267.67113612541198</v>
      </c>
      <c r="D117" s="825">
        <f>'Recycling - Case 3'!AM127</f>
        <v>0.11195794547794445</v>
      </c>
      <c r="E117" s="826">
        <f>'Recycling - Case 3'!BE127</f>
        <v>0.22038786396742607</v>
      </c>
      <c r="F117" s="826">
        <f>'Recycling - Case 3'!BF127</f>
        <v>0.27951143449721488</v>
      </c>
      <c r="G117" s="826">
        <f>'Recycling - Case 3'!BG127</f>
        <v>5.3253158414827681E-2</v>
      </c>
      <c r="H117" s="826">
        <f>'Recycling - Case 3'!BH127</f>
        <v>0</v>
      </c>
      <c r="I117" s="826">
        <f>'Recycling - Case 3'!BI127</f>
        <v>0</v>
      </c>
      <c r="J117" s="826">
        <f>'Recycling - Case 3'!BJ127</f>
        <v>0</v>
      </c>
      <c r="K117" s="826">
        <f>'Recycling - Case 3'!BK127</f>
        <v>0.44684754312053121</v>
      </c>
      <c r="L117" s="827">
        <f t="shared" si="89"/>
        <v>0.99999999999999989</v>
      </c>
      <c r="M117" s="4"/>
      <c r="N117" s="838">
        <f t="shared" si="56"/>
        <v>2228.8062963921584</v>
      </c>
      <c r="O117" s="833">
        <f>Parameters!R288</f>
        <v>1</v>
      </c>
      <c r="P117" s="834">
        <f>E117*'MSW characteristics'!$B$28+'MSW characteristics'!$B$29*'4A SWD Case 3'!F117+'4A SWD Case 3'!G117*'MSW characteristics'!$B$30+'MSW characteristics'!$B$31*'4A SWD Case 3'!H117+'4A SWD Case 3'!I117*'MSW characteristics'!$B$32+'MSW characteristics'!$B$33*'4A SWD Case 3'!J117+'4A SWD Case 3'!K117*'MSW characteristics'!$B$35</f>
        <v>0.11026172986048796</v>
      </c>
      <c r="Q117" s="832">
        <f t="shared" si="57"/>
        <v>122.87601888207341</v>
      </c>
      <c r="R117" s="832">
        <f t="shared" si="58"/>
        <v>122.87601888207341</v>
      </c>
      <c r="S117" s="835">
        <f t="shared" si="59"/>
        <v>0</v>
      </c>
      <c r="T117" s="832">
        <f t="shared" ref="T117:T120" si="92">R117+(T116*$C$8)</f>
        <v>5631.1834849140705</v>
      </c>
      <c r="U117" s="832">
        <f t="shared" si="61"/>
        <v>282.41696295969922</v>
      </c>
      <c r="V117" s="839">
        <f t="shared" si="62"/>
        <v>188.27797530646615</v>
      </c>
      <c r="W117" s="4"/>
      <c r="X117" s="852">
        <f>'Recycling - Case 3'!AM167</f>
        <v>0</v>
      </c>
      <c r="Y117" s="853">
        <f>Parameters!S287</f>
        <v>0.71500000000000008</v>
      </c>
      <c r="Z117" s="853">
        <f t="shared" si="63"/>
        <v>0.4</v>
      </c>
      <c r="AA117" s="854">
        <f t="shared" si="64"/>
        <v>0</v>
      </c>
      <c r="AB117" s="854">
        <f t="shared" si="65"/>
        <v>0</v>
      </c>
      <c r="AC117" s="855">
        <f t="shared" si="66"/>
        <v>0</v>
      </c>
      <c r="AD117" s="854">
        <f t="shared" si="67"/>
        <v>2259.7552321777116</v>
      </c>
      <c r="AE117" s="854">
        <f t="shared" si="68"/>
        <v>115.86012829520801</v>
      </c>
      <c r="AF117" s="856">
        <f t="shared" si="69"/>
        <v>77.240085530138671</v>
      </c>
      <c r="AG117" s="4"/>
      <c r="AH117" s="852">
        <f>'Recycling - Case 3'!AM207</f>
        <v>0</v>
      </c>
      <c r="AI117" s="853">
        <f>Parameters!S287</f>
        <v>0.71500000000000008</v>
      </c>
      <c r="AJ117" s="853">
        <f t="shared" si="70"/>
        <v>0.4</v>
      </c>
      <c r="AK117" s="854">
        <f t="shared" si="71"/>
        <v>0</v>
      </c>
      <c r="AL117" s="854">
        <f t="shared" si="72"/>
        <v>0</v>
      </c>
      <c r="AM117" s="855">
        <f t="shared" si="73"/>
        <v>0</v>
      </c>
      <c r="AN117" s="854">
        <f t="shared" si="74"/>
        <v>2259.7552321777116</v>
      </c>
      <c r="AO117" s="854">
        <f t="shared" si="75"/>
        <v>115.86012829520801</v>
      </c>
      <c r="AP117" s="856">
        <f t="shared" si="76"/>
        <v>77.240085530138671</v>
      </c>
      <c r="AQ117" s="4"/>
      <c r="AR117" s="850">
        <f>'Recycling - Case 3'!G127</f>
        <v>842.24731351072307</v>
      </c>
      <c r="AS117" s="846">
        <v>1</v>
      </c>
      <c r="AT117" s="846">
        <f t="shared" si="77"/>
        <v>0.05</v>
      </c>
      <c r="AU117" s="832">
        <f t="shared" si="78"/>
        <v>21.056182837768077</v>
      </c>
      <c r="AV117" s="832">
        <f t="shared" si="79"/>
        <v>21.056182837768077</v>
      </c>
      <c r="AW117" s="835">
        <f t="shared" si="80"/>
        <v>0</v>
      </c>
      <c r="AX117" s="832">
        <f t="shared" si="91"/>
        <v>299.81092788171736</v>
      </c>
      <c r="AY117" s="832">
        <f t="shared" si="49"/>
        <v>17.237230766650022</v>
      </c>
      <c r="AZ117" s="930">
        <f t="shared" si="47"/>
        <v>11.491487177766681</v>
      </c>
      <c r="BA117" s="4"/>
      <c r="BB117" s="1055">
        <f t="shared" si="81"/>
        <v>188.27797530646615</v>
      </c>
      <c r="BC117" s="1056">
        <f t="shared" si="82"/>
        <v>77.240085530138671</v>
      </c>
      <c r="BD117" s="1082">
        <f t="shared" si="90"/>
        <v>11.491487177766681</v>
      </c>
      <c r="BE117" s="1056">
        <f t="shared" si="54"/>
        <v>277.00954801437149</v>
      </c>
      <c r="BF117" s="167">
        <v>0</v>
      </c>
      <c r="BG117" s="1075">
        <f t="shared" si="83"/>
        <v>277.00954801437149</v>
      </c>
      <c r="BI117" s="1055">
        <f t="shared" si="84"/>
        <v>188.27797530646615</v>
      </c>
      <c r="BJ117" s="1056">
        <f t="shared" si="85"/>
        <v>77.240085530138671</v>
      </c>
      <c r="BK117" s="1082">
        <f t="shared" si="86"/>
        <v>11.491487177766681</v>
      </c>
      <c r="BL117" s="1056">
        <f t="shared" si="55"/>
        <v>277.00954801437149</v>
      </c>
      <c r="BM117" s="167">
        <v>0</v>
      </c>
      <c r="BN117" s="1075">
        <f t="shared" si="87"/>
        <v>277.00954801437149</v>
      </c>
    </row>
    <row r="118" spans="1:66">
      <c r="A118" s="927">
        <f>'Input data'!A148</f>
        <v>2048</v>
      </c>
      <c r="B118" s="824">
        <f>'Input data'!B148</f>
        <v>74.752759240528661</v>
      </c>
      <c r="C118" s="824">
        <f>'Recycling - Case 3'!AK128/B118</f>
        <v>267.00245560366284</v>
      </c>
      <c r="D118" s="825">
        <f>'Recycling - Case 3'!AM128</f>
        <v>0.11166828405608349</v>
      </c>
      <c r="E118" s="826">
        <f>'Recycling - Case 3'!BE128</f>
        <v>0.22073040504531644</v>
      </c>
      <c r="F118" s="826">
        <f>'Recycling - Case 3'!BF128</f>
        <v>0.27994586925388332</v>
      </c>
      <c r="G118" s="826">
        <f>'Recycling - Case 3'!BG128</f>
        <v>5.3170422243742146E-2</v>
      </c>
      <c r="H118" s="826">
        <f>'Recycling - Case 3'!BH128</f>
        <v>0</v>
      </c>
      <c r="I118" s="826">
        <f>'Recycling - Case 3'!BI128</f>
        <v>0</v>
      </c>
      <c r="J118" s="826">
        <f>'Recycling - Case 3'!BJ128</f>
        <v>0</v>
      </c>
      <c r="K118" s="826">
        <f>'Recycling - Case 3'!BK128</f>
        <v>0.44615330345705817</v>
      </c>
      <c r="L118" s="827">
        <f t="shared" si="89"/>
        <v>1</v>
      </c>
      <c r="M118" s="4"/>
      <c r="N118" s="838">
        <f t="shared" si="56"/>
        <v>2228.8062963921584</v>
      </c>
      <c r="O118" s="833">
        <f>Parameters!R289</f>
        <v>1</v>
      </c>
      <c r="P118" s="834">
        <f>E118*'MSW characteristics'!$B$28+'MSW characteristics'!$B$29*'4A SWD Case 3'!F118+'4A SWD Case 3'!G118*'MSW characteristics'!$B$30+'MSW characteristics'!$B$31*'4A SWD Case 3'!H118+'4A SWD Case 3'!I118*'MSW characteristics'!$B$32+'MSW characteristics'!$B$33*'4A SWD Case 3'!J118+'4A SWD Case 3'!K118*'MSW characteristics'!$B$35</f>
        <v>0.11036690350507099</v>
      </c>
      <c r="Q118" s="832">
        <f t="shared" si="57"/>
        <v>122.993224722704</v>
      </c>
      <c r="R118" s="832">
        <f t="shared" si="58"/>
        <v>122.993224722704</v>
      </c>
      <c r="S118" s="835">
        <f t="shared" si="59"/>
        <v>0</v>
      </c>
      <c r="T118" s="832">
        <f t="shared" si="92"/>
        <v>5479.5406503354407</v>
      </c>
      <c r="U118" s="832">
        <f t="shared" si="61"/>
        <v>274.63605930133406</v>
      </c>
      <c r="V118" s="839">
        <f t="shared" si="62"/>
        <v>183.09070620088937</v>
      </c>
      <c r="W118" s="4"/>
      <c r="X118" s="852">
        <f>'Recycling - Case 3'!AM168</f>
        <v>0</v>
      </c>
      <c r="Y118" s="853">
        <f>Parameters!S288</f>
        <v>0.71500000000000008</v>
      </c>
      <c r="Z118" s="853">
        <f t="shared" si="63"/>
        <v>0.4</v>
      </c>
      <c r="AA118" s="854">
        <f t="shared" si="64"/>
        <v>0</v>
      </c>
      <c r="AB118" s="854">
        <f t="shared" si="65"/>
        <v>0</v>
      </c>
      <c r="AC118" s="855">
        <f t="shared" si="66"/>
        <v>0</v>
      </c>
      <c r="AD118" s="854">
        <f t="shared" si="67"/>
        <v>2149.5456690168821</v>
      </c>
      <c r="AE118" s="854">
        <f t="shared" si="68"/>
        <v>110.20956316082962</v>
      </c>
      <c r="AF118" s="856">
        <f t="shared" si="69"/>
        <v>73.47304210721974</v>
      </c>
      <c r="AG118" s="4"/>
      <c r="AH118" s="852">
        <f>'Recycling - Case 3'!AM208</f>
        <v>0</v>
      </c>
      <c r="AI118" s="853">
        <f>Parameters!S288</f>
        <v>0.71500000000000008</v>
      </c>
      <c r="AJ118" s="853">
        <f t="shared" si="70"/>
        <v>0.4</v>
      </c>
      <c r="AK118" s="854">
        <f t="shared" si="71"/>
        <v>0</v>
      </c>
      <c r="AL118" s="854">
        <f t="shared" si="72"/>
        <v>0</v>
      </c>
      <c r="AM118" s="855">
        <f t="shared" si="73"/>
        <v>0</v>
      </c>
      <c r="AN118" s="854">
        <f t="shared" si="74"/>
        <v>2149.5456690168821</v>
      </c>
      <c r="AO118" s="854">
        <f t="shared" si="75"/>
        <v>110.20956316082962</v>
      </c>
      <c r="AP118" s="856">
        <f t="shared" si="76"/>
        <v>73.47304210721974</v>
      </c>
      <c r="AQ118" s="4"/>
      <c r="AR118" s="850">
        <f>'Recycling - Case 3'!G128</f>
        <v>846.5468512703444</v>
      </c>
      <c r="AS118" s="846">
        <v>1</v>
      </c>
      <c r="AT118" s="846">
        <f t="shared" si="77"/>
        <v>0.05</v>
      </c>
      <c r="AU118" s="832">
        <f t="shared" si="78"/>
        <v>21.16367128175861</v>
      </c>
      <c r="AV118" s="832">
        <f t="shared" si="79"/>
        <v>21.16367128175861</v>
      </c>
      <c r="AW118" s="835">
        <f t="shared" si="80"/>
        <v>0</v>
      </c>
      <c r="AX118" s="832">
        <f t="shared" si="91"/>
        <v>303.51496994174499</v>
      </c>
      <c r="AY118" s="832">
        <f t="shared" si="49"/>
        <v>17.459629221730982</v>
      </c>
      <c r="AZ118" s="930">
        <f t="shared" si="47"/>
        <v>11.639752814487322</v>
      </c>
      <c r="BA118" s="4"/>
      <c r="BB118" s="1055">
        <f t="shared" si="81"/>
        <v>183.09070620088937</v>
      </c>
      <c r="BC118" s="1056">
        <f t="shared" si="82"/>
        <v>73.47304210721974</v>
      </c>
      <c r="BD118" s="1082">
        <f t="shared" si="90"/>
        <v>11.639752814487322</v>
      </c>
      <c r="BE118" s="1056">
        <f t="shared" si="54"/>
        <v>268.20350112259644</v>
      </c>
      <c r="BF118" s="167">
        <v>0</v>
      </c>
      <c r="BG118" s="1075">
        <f t="shared" si="83"/>
        <v>268.20350112259644</v>
      </c>
      <c r="BI118" s="1055">
        <f t="shared" si="84"/>
        <v>183.09070620088937</v>
      </c>
      <c r="BJ118" s="1056">
        <f t="shared" si="85"/>
        <v>73.47304210721974</v>
      </c>
      <c r="BK118" s="1082">
        <f t="shared" si="86"/>
        <v>11.639752814487322</v>
      </c>
      <c r="BL118" s="1056">
        <f t="shared" si="55"/>
        <v>268.20350112259644</v>
      </c>
      <c r="BM118" s="167">
        <v>0</v>
      </c>
      <c r="BN118" s="1075">
        <f t="shared" si="87"/>
        <v>268.20350112259644</v>
      </c>
    </row>
    <row r="119" spans="1:66">
      <c r="A119" s="927">
        <f>'Input data'!A149</f>
        <v>2049</v>
      </c>
      <c r="B119" s="824">
        <f>'Input data'!B149</f>
        <v>75.134360114565098</v>
      </c>
      <c r="C119" s="824">
        <f>'Recycling - Case 3'!AK129/B119</f>
        <v>266.33740786604682</v>
      </c>
      <c r="D119" s="825">
        <f>'Recycling - Case 3'!AM129</f>
        <v>0.11137855143335285</v>
      </c>
      <c r="E119" s="826">
        <f>'Recycling - Case 3'!BE129</f>
        <v>0.22107015174195349</v>
      </c>
      <c r="F119" s="826">
        <f>'Recycling - Case 3'!BF129</f>
        <v>0.28037675997914002</v>
      </c>
      <c r="G119" s="826">
        <f>'Recycling - Case 3'!BG129</f>
        <v>5.3088361017708037E-2</v>
      </c>
      <c r="H119" s="826">
        <f>'Recycling - Case 3'!BH129</f>
        <v>0</v>
      </c>
      <c r="I119" s="826">
        <f>'Recycling - Case 3'!BI129</f>
        <v>0</v>
      </c>
      <c r="J119" s="826">
        <f>'Recycling - Case 3'!BJ129</f>
        <v>0</v>
      </c>
      <c r="K119" s="826">
        <f>'Recycling - Case 3'!BK129</f>
        <v>0.44546472726119851</v>
      </c>
      <c r="L119" s="827">
        <f t="shared" si="89"/>
        <v>1.0000000000000002</v>
      </c>
      <c r="M119" s="4"/>
      <c r="N119" s="838">
        <f t="shared" si="56"/>
        <v>2228.8062963921584</v>
      </c>
      <c r="O119" s="833">
        <f>Parameters!R290</f>
        <v>1</v>
      </c>
      <c r="P119" s="834">
        <f>E119*'MSW characteristics'!$B$28+'MSW characteristics'!$B$29*'4A SWD Case 3'!F119+'4A SWD Case 3'!G119*'MSW characteristics'!$B$30+'MSW characteristics'!$B$31*'4A SWD Case 3'!H119+'4A SWD Case 3'!I119*'MSW characteristics'!$B$32+'MSW characteristics'!$B$33*'4A SWD Case 3'!J119+'4A SWD Case 3'!K119*'MSW characteristics'!$B$35</f>
        <v>0.11047121916420424</v>
      </c>
      <c r="Q119" s="832">
        <f t="shared" si="57"/>
        <v>123.10947442164824</v>
      </c>
      <c r="R119" s="832">
        <f t="shared" si="58"/>
        <v>123.10947442164824</v>
      </c>
      <c r="S119" s="835">
        <f t="shared" si="59"/>
        <v>0</v>
      </c>
      <c r="T119" s="832">
        <f t="shared" si="92"/>
        <v>5335.409773768497</v>
      </c>
      <c r="U119" s="832">
        <f t="shared" si="61"/>
        <v>267.24035098859122</v>
      </c>
      <c r="V119" s="839">
        <f t="shared" si="62"/>
        <v>178.16023399239415</v>
      </c>
      <c r="W119" s="4"/>
      <c r="X119" s="852">
        <f>'Recycling - Case 3'!AM169</f>
        <v>0</v>
      </c>
      <c r="Y119" s="853">
        <f>Parameters!S289</f>
        <v>0.71500000000000008</v>
      </c>
      <c r="Z119" s="853">
        <f t="shared" si="63"/>
        <v>0.4</v>
      </c>
      <c r="AA119" s="854">
        <f t="shared" si="64"/>
        <v>0</v>
      </c>
      <c r="AB119" s="854">
        <f t="shared" si="65"/>
        <v>0</v>
      </c>
      <c r="AC119" s="855">
        <f t="shared" si="66"/>
        <v>0</v>
      </c>
      <c r="AD119" s="854">
        <f t="shared" si="67"/>
        <v>2044.7110896769311</v>
      </c>
      <c r="AE119" s="854">
        <f t="shared" si="68"/>
        <v>104.83457933995105</v>
      </c>
      <c r="AF119" s="856">
        <f t="shared" si="69"/>
        <v>69.889719559967361</v>
      </c>
      <c r="AG119" s="4"/>
      <c r="AH119" s="852">
        <f>'Recycling - Case 3'!AM209</f>
        <v>0</v>
      </c>
      <c r="AI119" s="853">
        <f>Parameters!S289</f>
        <v>0.71500000000000008</v>
      </c>
      <c r="AJ119" s="853">
        <f t="shared" si="70"/>
        <v>0.4</v>
      </c>
      <c r="AK119" s="854">
        <f t="shared" si="71"/>
        <v>0</v>
      </c>
      <c r="AL119" s="854">
        <f t="shared" si="72"/>
        <v>0</v>
      </c>
      <c r="AM119" s="855">
        <f t="shared" si="73"/>
        <v>0</v>
      </c>
      <c r="AN119" s="854">
        <f t="shared" si="74"/>
        <v>2044.7110896769311</v>
      </c>
      <c r="AO119" s="854">
        <f t="shared" si="75"/>
        <v>104.83457933995105</v>
      </c>
      <c r="AP119" s="856">
        <f t="shared" si="76"/>
        <v>69.889719559967361</v>
      </c>
      <c r="AQ119" s="4"/>
      <c r="AR119" s="850">
        <f>'Recycling - Case 3'!G129</f>
        <v>850.86833748221932</v>
      </c>
      <c r="AS119" s="846">
        <v>1</v>
      </c>
      <c r="AT119" s="846">
        <f t="shared" si="77"/>
        <v>0.05</v>
      </c>
      <c r="AU119" s="832">
        <f t="shared" si="78"/>
        <v>21.271708437055484</v>
      </c>
      <c r="AV119" s="832">
        <f t="shared" si="79"/>
        <v>21.271708437055484</v>
      </c>
      <c r="AW119" s="835">
        <f t="shared" si="80"/>
        <v>0</v>
      </c>
      <c r="AX119" s="832">
        <f t="shared" si="91"/>
        <v>307.11134254008027</v>
      </c>
      <c r="AY119" s="832">
        <f t="shared" si="49"/>
        <v>17.675335838720251</v>
      </c>
      <c r="AZ119" s="930">
        <f t="shared" si="47"/>
        <v>11.783557225813501</v>
      </c>
      <c r="BA119" s="4"/>
      <c r="BB119" s="1055">
        <f t="shared" si="81"/>
        <v>178.16023399239415</v>
      </c>
      <c r="BC119" s="1056">
        <f t="shared" si="82"/>
        <v>69.889719559967361</v>
      </c>
      <c r="BD119" s="1082">
        <f t="shared" si="90"/>
        <v>11.783557225813501</v>
      </c>
      <c r="BE119" s="1056">
        <f t="shared" si="54"/>
        <v>259.83351077817503</v>
      </c>
      <c r="BF119" s="167">
        <v>0</v>
      </c>
      <c r="BG119" s="1075">
        <f t="shared" si="83"/>
        <v>259.83351077817503</v>
      </c>
      <c r="BI119" s="1055">
        <f t="shared" si="84"/>
        <v>178.16023399239415</v>
      </c>
      <c r="BJ119" s="1056">
        <f t="shared" si="85"/>
        <v>69.889719559967361</v>
      </c>
      <c r="BK119" s="1082">
        <f t="shared" si="86"/>
        <v>11.783557225813501</v>
      </c>
      <c r="BL119" s="1056">
        <f t="shared" si="55"/>
        <v>259.83351077817503</v>
      </c>
      <c r="BM119" s="167">
        <v>0</v>
      </c>
      <c r="BN119" s="1075">
        <f t="shared" si="87"/>
        <v>259.83351077817503</v>
      </c>
    </row>
    <row r="120" spans="1:66" ht="15.75" thickBot="1">
      <c r="A120" s="928">
        <f>'Input data'!A150</f>
        <v>2050</v>
      </c>
      <c r="B120" s="828">
        <f>'Input data'!B150</f>
        <v>75.517908999999989</v>
      </c>
      <c r="C120" s="828">
        <f>'Recycling - Case 3'!AK130/B120</f>
        <v>265.67597098179937</v>
      </c>
      <c r="D120" s="829">
        <f>'Recycling - Case 3'!AM130</f>
        <v>0.11108875335226075</v>
      </c>
      <c r="E120" s="830">
        <f>'Recycling - Case 3'!BE130</f>
        <v>0.22140713376170404</v>
      </c>
      <c r="F120" s="830">
        <f>'Recycling - Case 3'!BF130</f>
        <v>0.28080414434615841</v>
      </c>
      <c r="G120" s="830">
        <f>'Recycling - Case 3'!BG130</f>
        <v>5.3006967562036801E-2</v>
      </c>
      <c r="H120" s="830">
        <f>'Recycling - Case 3'!BH130</f>
        <v>0</v>
      </c>
      <c r="I120" s="830">
        <f>'Recycling - Case 3'!BI130</f>
        <v>0</v>
      </c>
      <c r="J120" s="830">
        <f>'Recycling - Case 3'!BJ130</f>
        <v>0</v>
      </c>
      <c r="K120" s="830">
        <f>'Recycling - Case 3'!BK130</f>
        <v>0.44478175433010064</v>
      </c>
      <c r="L120" s="831">
        <f t="shared" si="89"/>
        <v>1</v>
      </c>
      <c r="M120" s="4"/>
      <c r="N120" s="840">
        <f t="shared" si="56"/>
        <v>2228.8062963921584</v>
      </c>
      <c r="O120" s="841">
        <f>Parameters!R291</f>
        <v>1</v>
      </c>
      <c r="P120" s="842">
        <f>E120*'MSW characteristics'!$B$28+'MSW characteristics'!$B$29*'4A SWD Case 3'!F120+'4A SWD Case 3'!G120*'MSW characteristics'!$B$30+'MSW characteristics'!$B$31*'4A SWD Case 3'!H120+'4A SWD Case 3'!I120*'MSW characteristics'!$B$32+'MSW characteristics'!$B$33*'4A SWD Case 3'!J120+'4A SWD Case 3'!K120*'MSW characteristics'!$B$35</f>
        <v>0.11057468595830201</v>
      </c>
      <c r="Q120" s="843">
        <f t="shared" si="57"/>
        <v>123.22477814272456</v>
      </c>
      <c r="R120" s="843">
        <f t="shared" si="58"/>
        <v>123.22477814272456</v>
      </c>
      <c r="S120" s="844">
        <f t="shared" si="59"/>
        <v>0</v>
      </c>
      <c r="T120" s="843">
        <f t="shared" si="92"/>
        <v>5198.4235467200169</v>
      </c>
      <c r="U120" s="843">
        <f t="shared" si="61"/>
        <v>260.21100519120483</v>
      </c>
      <c r="V120" s="845">
        <f t="shared" si="62"/>
        <v>173.47400346080323</v>
      </c>
      <c r="W120" s="4"/>
      <c r="X120" s="857">
        <f>'Recycling - Case 3'!AM170</f>
        <v>0</v>
      </c>
      <c r="Y120" s="858">
        <f>Parameters!S290</f>
        <v>0.71500000000000008</v>
      </c>
      <c r="Z120" s="858">
        <f t="shared" si="63"/>
        <v>0.4</v>
      </c>
      <c r="AA120" s="859">
        <f>X120*Z120*Y120*$D$4</f>
        <v>0</v>
      </c>
      <c r="AB120" s="859">
        <f t="shared" si="65"/>
        <v>0</v>
      </c>
      <c r="AC120" s="860">
        <f t="shared" si="66"/>
        <v>0</v>
      </c>
      <c r="AD120" s="859">
        <f t="shared" si="67"/>
        <v>1944.989353103615</v>
      </c>
      <c r="AE120" s="859">
        <f t="shared" si="68"/>
        <v>99.721736573316079</v>
      </c>
      <c r="AF120" s="861">
        <f t="shared" si="69"/>
        <v>66.481157715544057</v>
      </c>
      <c r="AG120" s="4"/>
      <c r="AH120" s="857">
        <f>'Recycling - Case 3'!AM210</f>
        <v>0</v>
      </c>
      <c r="AI120" s="858">
        <f>Parameters!S290</f>
        <v>0.71500000000000008</v>
      </c>
      <c r="AJ120" s="858">
        <f t="shared" si="70"/>
        <v>0.4</v>
      </c>
      <c r="AK120" s="859">
        <f t="shared" si="71"/>
        <v>0</v>
      </c>
      <c r="AL120" s="859">
        <f t="shared" si="72"/>
        <v>0</v>
      </c>
      <c r="AM120" s="860">
        <f t="shared" si="73"/>
        <v>0</v>
      </c>
      <c r="AN120" s="859">
        <f t="shared" si="74"/>
        <v>1944.989353103615</v>
      </c>
      <c r="AO120" s="859">
        <f t="shared" si="75"/>
        <v>99.721736573316079</v>
      </c>
      <c r="AP120" s="861">
        <f t="shared" si="76"/>
        <v>66.481157715544057</v>
      </c>
      <c r="AQ120" s="4"/>
      <c r="AR120" s="851">
        <f>'Recycling - Case 3'!G130</f>
        <v>855.21188418968472</v>
      </c>
      <c r="AS120" s="848">
        <f>Parameters!R221</f>
        <v>1</v>
      </c>
      <c r="AT120" s="848">
        <f t="shared" si="77"/>
        <v>0.05</v>
      </c>
      <c r="AU120" s="843">
        <f t="shared" si="78"/>
        <v>21.38029710474212</v>
      </c>
      <c r="AV120" s="843">
        <f t="shared" si="79"/>
        <v>21.38029710474212</v>
      </c>
      <c r="AW120" s="844">
        <f t="shared" si="80"/>
        <v>0</v>
      </c>
      <c r="AX120" s="843">
        <f t="shared" si="91"/>
        <v>310.60686737043324</v>
      </c>
      <c r="AY120" s="843">
        <f t="shared" si="49"/>
        <v>17.884772274389132</v>
      </c>
      <c r="AZ120" s="931">
        <f t="shared" si="47"/>
        <v>11.923181516259421</v>
      </c>
      <c r="BA120" s="4"/>
      <c r="BB120" s="1057">
        <f t="shared" si="81"/>
        <v>173.47400346080323</v>
      </c>
      <c r="BC120" s="1058">
        <f t="shared" si="82"/>
        <v>66.481157715544057</v>
      </c>
      <c r="BD120" s="1083">
        <f t="shared" si="90"/>
        <v>11.923181516259421</v>
      </c>
      <c r="BE120" s="1058">
        <f t="shared" si="54"/>
        <v>251.87834269260674</v>
      </c>
      <c r="BF120" s="1059">
        <v>0</v>
      </c>
      <c r="BG120" s="1076">
        <f t="shared" si="83"/>
        <v>251.87834269260674</v>
      </c>
      <c r="BI120" s="1057">
        <f t="shared" si="84"/>
        <v>173.47400346080323</v>
      </c>
      <c r="BJ120" s="1058">
        <f t="shared" si="85"/>
        <v>66.481157715544057</v>
      </c>
      <c r="BK120" s="1083">
        <f t="shared" si="86"/>
        <v>11.923181516259421</v>
      </c>
      <c r="BL120" s="1058">
        <f t="shared" si="55"/>
        <v>251.87834269260674</v>
      </c>
      <c r="BM120" s="1059">
        <v>0</v>
      </c>
      <c r="BN120" s="1076">
        <f t="shared" si="87"/>
        <v>251.87834269260674</v>
      </c>
    </row>
    <row r="121" spans="1:66">
      <c r="A121" s="100"/>
      <c r="B121" s="4"/>
      <c r="C121" s="4"/>
      <c r="D121" s="4"/>
      <c r="E121" s="4"/>
      <c r="F121" s="4"/>
      <c r="G121" s="4"/>
      <c r="H121" s="4"/>
      <c r="I121" s="4"/>
      <c r="J121" s="4"/>
      <c r="K121" s="4"/>
    </row>
    <row r="122" spans="1:66">
      <c r="A122" s="100"/>
    </row>
    <row r="123" spans="1:66">
      <c r="A123" s="100"/>
    </row>
    <row r="124" spans="1:66">
      <c r="A124" s="100"/>
    </row>
    <row r="125" spans="1:66">
      <c r="A125" s="100"/>
    </row>
    <row r="126" spans="1:66">
      <c r="A126" s="100"/>
    </row>
    <row r="127" spans="1:66">
      <c r="A127" s="100"/>
    </row>
    <row r="128" spans="1:66">
      <c r="A128" s="100"/>
    </row>
    <row r="129" spans="1:1">
      <c r="A129" s="100"/>
    </row>
    <row r="130" spans="1:1">
      <c r="A130" s="100"/>
    </row>
    <row r="131" spans="1:1">
      <c r="A131" s="100"/>
    </row>
    <row r="132" spans="1:1">
      <c r="A132" s="100"/>
    </row>
    <row r="133" spans="1:1">
      <c r="A133" s="100"/>
    </row>
    <row r="134" spans="1:1">
      <c r="A134" s="100"/>
    </row>
    <row r="135" spans="1:1">
      <c r="A135" s="100"/>
    </row>
    <row r="136" spans="1:1">
      <c r="A136" s="100"/>
    </row>
    <row r="137" spans="1:1">
      <c r="A137" s="100"/>
    </row>
    <row r="138" spans="1:1">
      <c r="A138" s="100"/>
    </row>
    <row r="139" spans="1:1">
      <c r="A139" s="100"/>
    </row>
    <row r="140" spans="1:1">
      <c r="A140" s="100"/>
    </row>
    <row r="141" spans="1:1">
      <c r="A141" s="100"/>
    </row>
    <row r="142" spans="1:1">
      <c r="A142" s="100"/>
    </row>
    <row r="143" spans="1:1">
      <c r="A143" s="100"/>
    </row>
    <row r="144" spans="1:1">
      <c r="A144" s="100"/>
    </row>
    <row r="145" spans="1:1">
      <c r="A145" s="100"/>
    </row>
    <row r="146" spans="1:1">
      <c r="A146" s="100"/>
    </row>
    <row r="147" spans="1:1">
      <c r="A147" s="100"/>
    </row>
    <row r="148" spans="1:1">
      <c r="A148" s="100"/>
    </row>
    <row r="149" spans="1:1">
      <c r="A149" s="100"/>
    </row>
    <row r="150" spans="1:1">
      <c r="A150" s="100"/>
    </row>
    <row r="151" spans="1:1">
      <c r="A151" s="100"/>
    </row>
    <row r="152" spans="1:1">
      <c r="A152" s="100"/>
    </row>
    <row r="153" spans="1:1">
      <c r="A153" s="100"/>
    </row>
    <row r="154" spans="1:1">
      <c r="A154" s="100"/>
    </row>
    <row r="155" spans="1:1">
      <c r="A155" s="100"/>
    </row>
    <row r="156" spans="1:1">
      <c r="A156" s="100"/>
    </row>
    <row r="157" spans="1:1">
      <c r="A157" s="100"/>
    </row>
    <row r="158" spans="1:1">
      <c r="A158" s="100"/>
    </row>
    <row r="159" spans="1:1">
      <c r="A159" s="100"/>
    </row>
    <row r="160" spans="1:1">
      <c r="A160" s="100"/>
    </row>
    <row r="161" spans="1:1">
      <c r="A161" s="100"/>
    </row>
    <row r="162" spans="1:1">
      <c r="A162" s="100"/>
    </row>
    <row r="163" spans="1:1">
      <c r="A163" s="100"/>
    </row>
    <row r="164" spans="1:1">
      <c r="A164" s="100"/>
    </row>
    <row r="165" spans="1:1">
      <c r="A165" s="100"/>
    </row>
    <row r="166" spans="1:1">
      <c r="A166" s="100"/>
    </row>
    <row r="167" spans="1:1">
      <c r="A167" s="100"/>
    </row>
    <row r="168" spans="1:1">
      <c r="A168" s="100"/>
    </row>
    <row r="169" spans="1:1">
      <c r="A169" s="100"/>
    </row>
    <row r="170" spans="1:1">
      <c r="A170" s="100"/>
    </row>
    <row r="171" spans="1:1">
      <c r="A171" s="100"/>
    </row>
    <row r="172" spans="1:1">
      <c r="A172" s="100"/>
    </row>
    <row r="173" spans="1:1">
      <c r="A173" s="100"/>
    </row>
    <row r="174" spans="1:1">
      <c r="A174" s="100"/>
    </row>
    <row r="175" spans="1:1">
      <c r="A175" s="100"/>
    </row>
    <row r="176" spans="1:1">
      <c r="A176" s="100"/>
    </row>
    <row r="177" spans="1:1">
      <c r="A177" s="100"/>
    </row>
    <row r="178" spans="1:1">
      <c r="A178" s="100"/>
    </row>
    <row r="179" spans="1:1">
      <c r="A179" s="100"/>
    </row>
    <row r="180" spans="1:1">
      <c r="A180" s="100"/>
    </row>
    <row r="181" spans="1:1">
      <c r="A181" s="100"/>
    </row>
    <row r="182" spans="1:1">
      <c r="A182" s="100"/>
    </row>
    <row r="183" spans="1:1">
      <c r="A183" s="100"/>
    </row>
    <row r="184" spans="1:1">
      <c r="A184" s="100"/>
    </row>
    <row r="185" spans="1:1">
      <c r="A185" s="100"/>
    </row>
    <row r="186" spans="1:1">
      <c r="A186" s="100"/>
    </row>
    <row r="187" spans="1:1">
      <c r="A187" s="100"/>
    </row>
    <row r="188" spans="1:1">
      <c r="A188" s="100"/>
    </row>
    <row r="189" spans="1:1">
      <c r="A189" s="100"/>
    </row>
    <row r="190" spans="1:1">
      <c r="A190" s="100"/>
    </row>
    <row r="191" spans="1:1">
      <c r="A191" s="100"/>
    </row>
    <row r="192" spans="1:1">
      <c r="A192" s="100"/>
    </row>
    <row r="193" spans="1:1">
      <c r="A193" s="100"/>
    </row>
    <row r="194" spans="1:1">
      <c r="A194" s="100"/>
    </row>
    <row r="195" spans="1:1">
      <c r="A195" s="100"/>
    </row>
    <row r="196" spans="1:1">
      <c r="A196" s="100"/>
    </row>
    <row r="197" spans="1:1">
      <c r="A197" s="100"/>
    </row>
    <row r="198" spans="1:1">
      <c r="A198" s="100"/>
    </row>
    <row r="199" spans="1:1">
      <c r="A199" s="100"/>
    </row>
    <row r="200" spans="1:1">
      <c r="A200" s="100"/>
    </row>
    <row r="201" spans="1:1">
      <c r="A201" s="100"/>
    </row>
    <row r="202" spans="1:1">
      <c r="A202" s="100"/>
    </row>
    <row r="203" spans="1:1">
      <c r="A203" s="100"/>
    </row>
    <row r="204" spans="1:1">
      <c r="A204" s="100"/>
    </row>
    <row r="205" spans="1:1">
      <c r="A205" s="100"/>
    </row>
    <row r="206" spans="1:1">
      <c r="A206" s="100"/>
    </row>
    <row r="207" spans="1:1">
      <c r="A207" s="100"/>
    </row>
    <row r="208" spans="1:1">
      <c r="A208" s="100"/>
    </row>
  </sheetData>
  <mergeCells count="28">
    <mergeCell ref="BB15:BG15"/>
    <mergeCell ref="BF16:BF17"/>
    <mergeCell ref="BG16:BG17"/>
    <mergeCell ref="BI15:BN15"/>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5"/>
  <cols>
    <col min="1" max="1" width="35.28515625" bestFit="1" customWidth="1"/>
    <col min="2" max="2" width="35.28515625" customWidth="1"/>
    <col min="3" max="3" width="17.7109375" customWidth="1"/>
    <col min="4" max="4" width="12.7109375" customWidth="1"/>
    <col min="5" max="5" width="18.42578125" bestFit="1" customWidth="1"/>
    <col min="6" max="7" width="25.28515625" customWidth="1"/>
    <col min="8" max="8" width="13.28515625" customWidth="1"/>
    <col min="9" max="9" width="18.42578125" bestFit="1" customWidth="1"/>
    <col min="10" max="10" width="15.7109375" customWidth="1"/>
    <col min="11" max="11" width="22.28515625" customWidth="1"/>
    <col min="12" max="12" width="19.5703125" customWidth="1"/>
    <col min="13" max="13" width="17.7109375" customWidth="1"/>
    <col min="14" max="14" width="17.85546875" customWidth="1"/>
    <col min="15" max="15" width="13.42578125" customWidth="1"/>
    <col min="16" max="16" width="11.7109375" customWidth="1"/>
    <col min="17" max="17" width="13.7109375" customWidth="1"/>
    <col min="18" max="18" width="15.85546875" customWidth="1"/>
    <col min="19" max="19" width="17" customWidth="1"/>
    <col min="20" max="20" width="17.5703125" customWidth="1"/>
    <col min="21" max="21" width="16.7109375" customWidth="1"/>
    <col min="22" max="22" width="17.7109375" customWidth="1"/>
    <col min="23" max="23" width="14.140625" customWidth="1"/>
  </cols>
  <sheetData>
    <row r="1" spans="1:23" ht="21">
      <c r="A1" s="1190" t="s">
        <v>736</v>
      </c>
      <c r="B1" s="1191"/>
      <c r="C1" s="115"/>
      <c r="D1" s="115"/>
      <c r="E1" s="115"/>
      <c r="F1" s="116"/>
    </row>
    <row r="2" spans="1:23">
      <c r="A2" s="127"/>
      <c r="F2" s="130"/>
    </row>
    <row r="3" spans="1:23" ht="30">
      <c r="A3" s="157" t="s">
        <v>175</v>
      </c>
      <c r="C3" s="1192" t="s">
        <v>177</v>
      </c>
      <c r="D3" s="1192" t="s">
        <v>178</v>
      </c>
      <c r="E3" s="1193"/>
      <c r="F3" s="1108" t="s">
        <v>185</v>
      </c>
    </row>
    <row r="4" spans="1:23">
      <c r="A4" s="127" t="s">
        <v>176</v>
      </c>
      <c r="B4" t="s">
        <v>179</v>
      </c>
      <c r="C4">
        <v>10</v>
      </c>
      <c r="D4">
        <v>4</v>
      </c>
      <c r="F4" s="1978" t="s">
        <v>184</v>
      </c>
    </row>
    <row r="5" spans="1:23">
      <c r="A5" s="127" t="s">
        <v>180</v>
      </c>
      <c r="B5" t="s">
        <v>179</v>
      </c>
      <c r="C5">
        <v>2</v>
      </c>
      <c r="D5">
        <v>0.8</v>
      </c>
      <c r="F5" s="1978"/>
    </row>
    <row r="6" spans="1:23">
      <c r="A6" s="157" t="s">
        <v>181</v>
      </c>
      <c r="F6" s="1978"/>
    </row>
    <row r="7" spans="1:23">
      <c r="A7" s="127" t="s">
        <v>176</v>
      </c>
      <c r="B7" t="s">
        <v>183</v>
      </c>
      <c r="C7">
        <v>0.6</v>
      </c>
      <c r="D7">
        <v>0.24</v>
      </c>
      <c r="F7" s="1978"/>
    </row>
    <row r="8" spans="1:23" ht="15.75" thickBot="1">
      <c r="A8" s="172" t="s">
        <v>180</v>
      </c>
      <c r="B8" s="163" t="s">
        <v>183</v>
      </c>
      <c r="C8" s="1107" t="s">
        <v>182</v>
      </c>
      <c r="D8" s="1107" t="s">
        <v>182</v>
      </c>
      <c r="E8" s="163"/>
      <c r="F8" s="1979"/>
    </row>
    <row r="9" spans="1:23" ht="15.75" thickBot="1">
      <c r="C9" s="395"/>
      <c r="D9" s="395"/>
      <c r="F9" s="1193"/>
    </row>
    <row r="10" spans="1:23" ht="15.75" thickBot="1">
      <c r="B10" s="1990" t="s">
        <v>510</v>
      </c>
      <c r="C10" s="1991"/>
      <c r="D10" s="1991"/>
      <c r="E10" s="1991"/>
      <c r="F10" s="1991"/>
      <c r="G10" s="1991"/>
      <c r="H10" s="1991"/>
      <c r="I10" s="1991"/>
      <c r="J10" s="1992"/>
      <c r="K10" s="1987" t="s">
        <v>509</v>
      </c>
      <c r="L10" s="1988"/>
      <c r="M10" s="1988"/>
      <c r="N10" s="1988"/>
      <c r="O10" s="1988"/>
      <c r="P10" s="1988"/>
      <c r="Q10" s="1988"/>
      <c r="R10" s="1988"/>
      <c r="S10" s="1989"/>
      <c r="T10" s="1993" t="s">
        <v>511</v>
      </c>
      <c r="U10" s="1994"/>
      <c r="V10" s="1994"/>
      <c r="W10" s="1995"/>
    </row>
    <row r="11" spans="1:23" ht="28.9" customHeight="1">
      <c r="A11" s="1976" t="s">
        <v>217</v>
      </c>
      <c r="B11" s="774" t="s">
        <v>619</v>
      </c>
      <c r="C11" s="1980" t="s">
        <v>495</v>
      </c>
      <c r="D11" s="1981"/>
      <c r="E11" s="1980" t="s">
        <v>289</v>
      </c>
      <c r="F11" s="1981"/>
      <c r="G11" s="1980" t="s">
        <v>290</v>
      </c>
      <c r="H11" s="1984"/>
      <c r="I11" s="1982" t="s">
        <v>287</v>
      </c>
      <c r="J11" s="1983"/>
      <c r="K11" s="474" t="s">
        <v>507</v>
      </c>
      <c r="L11" s="1996" t="s">
        <v>495</v>
      </c>
      <c r="M11" s="1997"/>
      <c r="N11" s="1996" t="s">
        <v>289</v>
      </c>
      <c r="O11" s="1997"/>
      <c r="P11" s="1996" t="s">
        <v>290</v>
      </c>
      <c r="Q11" s="1998"/>
      <c r="R11" s="1999" t="s">
        <v>287</v>
      </c>
      <c r="S11" s="2000"/>
      <c r="T11" s="1985" t="s">
        <v>508</v>
      </c>
      <c r="U11" s="1986"/>
      <c r="V11" s="1985" t="s">
        <v>783</v>
      </c>
      <c r="W11" s="1986"/>
    </row>
    <row r="12" spans="1:23" ht="29.45" customHeight="1" thickBot="1">
      <c r="A12" s="1977"/>
      <c r="B12" s="473" t="s">
        <v>228</v>
      </c>
      <c r="C12" s="1623" t="s">
        <v>234</v>
      </c>
      <c r="D12" s="1624" t="s">
        <v>176</v>
      </c>
      <c r="E12" s="1623" t="s">
        <v>234</v>
      </c>
      <c r="F12" s="1624" t="s">
        <v>176</v>
      </c>
      <c r="G12" s="1623" t="s">
        <v>234</v>
      </c>
      <c r="H12" s="1625" t="s">
        <v>176</v>
      </c>
      <c r="I12" s="1626" t="s">
        <v>234</v>
      </c>
      <c r="J12" s="1627" t="s">
        <v>176</v>
      </c>
      <c r="K12" s="475" t="s">
        <v>228</v>
      </c>
      <c r="L12" s="475" t="s">
        <v>234</v>
      </c>
      <c r="M12" s="1617" t="s">
        <v>176</v>
      </c>
      <c r="N12" s="475" t="s">
        <v>234</v>
      </c>
      <c r="O12" s="1617" t="s">
        <v>176</v>
      </c>
      <c r="P12" s="475" t="s">
        <v>234</v>
      </c>
      <c r="Q12" s="1618" t="s">
        <v>176</v>
      </c>
      <c r="R12" s="1619" t="s">
        <v>234</v>
      </c>
      <c r="S12" s="1620" t="s">
        <v>176</v>
      </c>
      <c r="T12" s="1621" t="s">
        <v>234</v>
      </c>
      <c r="U12" s="1622" t="s">
        <v>176</v>
      </c>
      <c r="V12" s="1621" t="s">
        <v>234</v>
      </c>
      <c r="W12" s="1622" t="s">
        <v>176</v>
      </c>
    </row>
    <row r="13" spans="1:23" ht="14.45" hidden="1" customHeight="1">
      <c r="A13" s="123">
        <f>'Input data'!A50</f>
        <v>1950</v>
      </c>
      <c r="B13" s="1194"/>
      <c r="C13">
        <v>0</v>
      </c>
      <c r="D13">
        <v>0</v>
      </c>
      <c r="E13">
        <v>0</v>
      </c>
      <c r="F13">
        <v>0</v>
      </c>
      <c r="G13" s="178">
        <f>C13*$D$5*'Input data'!K50/1000-E13</f>
        <v>0</v>
      </c>
      <c r="H13" s="178">
        <f>D13*$D$4*'Input data'!K50/1000-F13</f>
        <v>0</v>
      </c>
      <c r="I13" s="178">
        <v>0</v>
      </c>
      <c r="J13" s="178">
        <f>D13*$D$7*'Input data'!K50/1000</f>
        <v>0</v>
      </c>
      <c r="K13" s="1194"/>
      <c r="L13">
        <v>0</v>
      </c>
      <c r="M13">
        <v>0</v>
      </c>
      <c r="N13">
        <v>0</v>
      </c>
      <c r="O13">
        <v>0</v>
      </c>
      <c r="P13" s="178">
        <f>L13*$D$5*'Input data'!U50/1000-N13</f>
        <v>0</v>
      </c>
      <c r="Q13" s="178">
        <f>M13*$D$4*'Input data'!U50/1000-O13</f>
        <v>0</v>
      </c>
      <c r="R13" s="178">
        <v>0</v>
      </c>
      <c r="S13" s="178">
        <f>M13*$D$7*'Input data'!U50/1000</f>
        <v>0</v>
      </c>
    </row>
    <row r="14" spans="1:23" ht="14.45" hidden="1" customHeight="1">
      <c r="A14" s="123">
        <f>'Input data'!A51</f>
        <v>1951</v>
      </c>
      <c r="B14" s="1194"/>
      <c r="C14" t="e">
        <f>'Input data'!#REF!</f>
        <v>#REF!</v>
      </c>
      <c r="D14" t="e">
        <f>'Input data'!#REF!</f>
        <v>#REF!</v>
      </c>
      <c r="E14">
        <v>0</v>
      </c>
      <c r="F14">
        <v>0</v>
      </c>
      <c r="G14" s="178" t="e">
        <f>C14*$D$5*'Input data'!K51/1000-E14</f>
        <v>#REF!</v>
      </c>
      <c r="H14" s="178" t="e">
        <f>D14*$D$4*'Input data'!K51/1000-F14</f>
        <v>#REF!</v>
      </c>
      <c r="J14" s="178" t="e">
        <f>D14*$D$7*'Input data'!K51/1000</f>
        <v>#REF!</v>
      </c>
      <c r="K14" s="1194"/>
      <c r="L14" t="e">
        <f>'Input data'!#REF!</f>
        <v>#REF!</v>
      </c>
      <c r="M14" t="e">
        <f>'Input data'!#REF!</f>
        <v>#REF!</v>
      </c>
      <c r="N14">
        <v>0</v>
      </c>
      <c r="O14">
        <v>0</v>
      </c>
      <c r="P14" s="178" t="e">
        <f>L14*$D$5*'Input data'!U51/1000-N14</f>
        <v>#REF!</v>
      </c>
      <c r="Q14" s="178" t="e">
        <f>M14*$D$4*'Input data'!U51/1000-O14</f>
        <v>#REF!</v>
      </c>
      <c r="S14" s="178" t="e">
        <f>M14*$D$7*'Input data'!U51/1000</f>
        <v>#REF!</v>
      </c>
    </row>
    <row r="15" spans="1:23" ht="14.45" hidden="1" customHeight="1">
      <c r="A15" s="123">
        <f>'Input data'!A52</f>
        <v>1952</v>
      </c>
      <c r="B15" s="1194"/>
      <c r="C15" t="e">
        <f>'Input data'!#REF!</f>
        <v>#REF!</v>
      </c>
      <c r="D15" t="e">
        <f>'Input data'!#REF!</f>
        <v>#REF!</v>
      </c>
      <c r="E15">
        <v>0</v>
      </c>
      <c r="F15">
        <v>0</v>
      </c>
      <c r="G15" s="178" t="e">
        <f>C15*$D$5*'Input data'!K52/1000-E15</f>
        <v>#REF!</v>
      </c>
      <c r="H15" s="178" t="e">
        <f>D15*$D$4*'Input data'!K52/1000-F15</f>
        <v>#REF!</v>
      </c>
      <c r="J15" s="178" t="e">
        <f>D15*$D$7*'Input data'!K52/1000</f>
        <v>#REF!</v>
      </c>
      <c r="K15" s="1194"/>
      <c r="L15" t="e">
        <f>'Input data'!#REF!</f>
        <v>#REF!</v>
      </c>
      <c r="M15" t="e">
        <f>'Input data'!#REF!</f>
        <v>#REF!</v>
      </c>
      <c r="N15">
        <v>0</v>
      </c>
      <c r="O15">
        <v>0</v>
      </c>
      <c r="P15" s="178" t="e">
        <f>L15*$D$5*'Input data'!U52/1000-N15</f>
        <v>#REF!</v>
      </c>
      <c r="Q15" s="178" t="e">
        <f>M15*$D$4*'Input data'!U52/1000-O15</f>
        <v>#REF!</v>
      </c>
      <c r="S15" s="178" t="e">
        <f>M15*$D$7*'Input data'!U52/1000</f>
        <v>#REF!</v>
      </c>
    </row>
    <row r="16" spans="1:23" ht="14.45" hidden="1" customHeight="1">
      <c r="A16" s="123">
        <f>'Input data'!A53</f>
        <v>1953</v>
      </c>
      <c r="B16" s="1194"/>
      <c r="C16" t="e">
        <f>'Input data'!#REF!</f>
        <v>#REF!</v>
      </c>
      <c r="D16" t="e">
        <f>'Input data'!#REF!</f>
        <v>#REF!</v>
      </c>
      <c r="E16">
        <v>0</v>
      </c>
      <c r="F16">
        <v>0</v>
      </c>
      <c r="G16" s="178" t="e">
        <f>C16*$D$5*'Input data'!K53/1000-E16</f>
        <v>#REF!</v>
      </c>
      <c r="H16" s="178" t="e">
        <f>D16*$D$4*'Input data'!K53/1000-F16</f>
        <v>#REF!</v>
      </c>
      <c r="J16" s="178" t="e">
        <f>D16*$D$7*'Input data'!K53/1000</f>
        <v>#REF!</v>
      </c>
      <c r="K16" s="1194"/>
      <c r="L16" t="e">
        <f>'Input data'!#REF!</f>
        <v>#REF!</v>
      </c>
      <c r="M16" t="e">
        <f>'Input data'!#REF!</f>
        <v>#REF!</v>
      </c>
      <c r="N16">
        <v>0</v>
      </c>
      <c r="O16">
        <v>0</v>
      </c>
      <c r="P16" s="178" t="e">
        <f>L16*$D$5*'Input data'!U53/1000-N16</f>
        <v>#REF!</v>
      </c>
      <c r="Q16" s="178" t="e">
        <f>M16*$D$4*'Input data'!U53/1000-O16</f>
        <v>#REF!</v>
      </c>
      <c r="S16" s="178" t="e">
        <f>M16*$D$7*'Input data'!U53/1000</f>
        <v>#REF!</v>
      </c>
    </row>
    <row r="17" spans="1:19" ht="14.45" hidden="1" customHeight="1">
      <c r="A17" s="123">
        <f>'Input data'!A54</f>
        <v>1954</v>
      </c>
      <c r="B17" s="1194"/>
      <c r="C17" t="e">
        <f>'Input data'!#REF!</f>
        <v>#REF!</v>
      </c>
      <c r="D17" t="e">
        <f>'Input data'!#REF!</f>
        <v>#REF!</v>
      </c>
      <c r="E17">
        <v>0</v>
      </c>
      <c r="F17">
        <v>0</v>
      </c>
      <c r="G17" s="178" t="e">
        <f>C17*$D$5*'Input data'!K54/1000-E17</f>
        <v>#REF!</v>
      </c>
      <c r="H17" s="178" t="e">
        <f>D17*$D$4*'Input data'!K54/1000-F17</f>
        <v>#REF!</v>
      </c>
      <c r="J17" s="178" t="e">
        <f>D17*$D$7*'Input data'!K54/1000</f>
        <v>#REF!</v>
      </c>
      <c r="K17" s="1194"/>
      <c r="L17" t="e">
        <f>'Input data'!#REF!</f>
        <v>#REF!</v>
      </c>
      <c r="M17" t="e">
        <f>'Input data'!#REF!</f>
        <v>#REF!</v>
      </c>
      <c r="N17">
        <v>0</v>
      </c>
      <c r="O17">
        <v>0</v>
      </c>
      <c r="P17" s="178" t="e">
        <f>L17*$D$5*'Input data'!U54/1000-N17</f>
        <v>#REF!</v>
      </c>
      <c r="Q17" s="178" t="e">
        <f>M17*$D$4*'Input data'!U54/1000-O17</f>
        <v>#REF!</v>
      </c>
      <c r="S17" s="178" t="e">
        <f>M17*$D$7*'Input data'!U54/1000</f>
        <v>#REF!</v>
      </c>
    </row>
    <row r="18" spans="1:19" ht="14.45" hidden="1" customHeight="1">
      <c r="A18" s="123">
        <f>'Input data'!A55</f>
        <v>1955</v>
      </c>
      <c r="B18" s="1194"/>
      <c r="C18" t="e">
        <f>'Input data'!#REF!</f>
        <v>#REF!</v>
      </c>
      <c r="D18" t="e">
        <f>'Input data'!#REF!</f>
        <v>#REF!</v>
      </c>
      <c r="E18">
        <v>0</v>
      </c>
      <c r="F18">
        <v>0</v>
      </c>
      <c r="G18" s="178" t="e">
        <f>C18*$D$5*'Input data'!K55/1000-E18</f>
        <v>#REF!</v>
      </c>
      <c r="H18" s="178" t="e">
        <f>D18*$D$4*'Input data'!K55/1000-F18</f>
        <v>#REF!</v>
      </c>
      <c r="J18" s="178" t="e">
        <f>D18*$D$7*'Input data'!K55/1000</f>
        <v>#REF!</v>
      </c>
      <c r="K18" s="1194"/>
      <c r="L18" t="e">
        <f>'Input data'!#REF!</f>
        <v>#REF!</v>
      </c>
      <c r="M18" t="e">
        <f>'Input data'!#REF!</f>
        <v>#REF!</v>
      </c>
      <c r="N18">
        <v>0</v>
      </c>
      <c r="O18">
        <v>0</v>
      </c>
      <c r="P18" s="178" t="e">
        <f>L18*$D$5*'Input data'!U55/1000-N18</f>
        <v>#REF!</v>
      </c>
      <c r="Q18" s="178" t="e">
        <f>M18*$D$4*'Input data'!U55/1000-O18</f>
        <v>#REF!</v>
      </c>
      <c r="S18" s="178" t="e">
        <f>M18*$D$7*'Input data'!U55/1000</f>
        <v>#REF!</v>
      </c>
    </row>
    <row r="19" spans="1:19" ht="14.45" hidden="1" customHeight="1">
      <c r="A19" s="123">
        <f>'Input data'!A56</f>
        <v>1956</v>
      </c>
      <c r="B19" s="1194"/>
      <c r="C19" t="e">
        <f>'Input data'!#REF!</f>
        <v>#REF!</v>
      </c>
      <c r="D19" t="e">
        <f>'Input data'!#REF!</f>
        <v>#REF!</v>
      </c>
      <c r="E19">
        <v>0</v>
      </c>
      <c r="F19">
        <v>0</v>
      </c>
      <c r="G19" s="178" t="e">
        <f>C19*$D$5*'Input data'!K56/1000-E19</f>
        <v>#REF!</v>
      </c>
      <c r="H19" s="178" t="e">
        <f>D19*$D$4*'Input data'!K56/1000-F19</f>
        <v>#REF!</v>
      </c>
      <c r="J19" s="178" t="e">
        <f>D19*$D$7*'Input data'!K56/1000</f>
        <v>#REF!</v>
      </c>
      <c r="K19" s="1194"/>
      <c r="L19" t="e">
        <f>'Input data'!#REF!</f>
        <v>#REF!</v>
      </c>
      <c r="M19" t="e">
        <f>'Input data'!#REF!</f>
        <v>#REF!</v>
      </c>
      <c r="N19">
        <v>0</v>
      </c>
      <c r="O19">
        <v>0</v>
      </c>
      <c r="P19" s="178" t="e">
        <f>L19*$D$5*'Input data'!U56/1000-N19</f>
        <v>#REF!</v>
      </c>
      <c r="Q19" s="178" t="e">
        <f>M19*$D$4*'Input data'!U56/1000-O19</f>
        <v>#REF!</v>
      </c>
      <c r="S19" s="178" t="e">
        <f>M19*$D$7*'Input data'!U56/1000</f>
        <v>#REF!</v>
      </c>
    </row>
    <row r="20" spans="1:19" ht="14.45" hidden="1" customHeight="1">
      <c r="A20" s="123">
        <f>'Input data'!A57</f>
        <v>1957</v>
      </c>
      <c r="B20" s="1194"/>
      <c r="C20" t="e">
        <f>'Input data'!#REF!</f>
        <v>#REF!</v>
      </c>
      <c r="D20" t="e">
        <f>'Input data'!#REF!</f>
        <v>#REF!</v>
      </c>
      <c r="E20">
        <v>0</v>
      </c>
      <c r="F20">
        <v>0</v>
      </c>
      <c r="G20" s="178" t="e">
        <f>C20*$D$5*'Input data'!K57/1000-E20</f>
        <v>#REF!</v>
      </c>
      <c r="H20" s="178" t="e">
        <f>D20*$D$4*'Input data'!K57/1000-F20</f>
        <v>#REF!</v>
      </c>
      <c r="J20" s="178" t="e">
        <f>D20*$D$7*'Input data'!K57/1000</f>
        <v>#REF!</v>
      </c>
      <c r="K20" s="1194"/>
      <c r="L20" t="e">
        <f>'Input data'!#REF!</f>
        <v>#REF!</v>
      </c>
      <c r="M20" t="e">
        <f>'Input data'!#REF!</f>
        <v>#REF!</v>
      </c>
      <c r="N20">
        <v>0</v>
      </c>
      <c r="O20">
        <v>0</v>
      </c>
      <c r="P20" s="178" t="e">
        <f>L20*$D$5*'Input data'!U57/1000-N20</f>
        <v>#REF!</v>
      </c>
      <c r="Q20" s="178" t="e">
        <f>M20*$D$4*'Input data'!U57/1000-O20</f>
        <v>#REF!</v>
      </c>
      <c r="S20" s="178" t="e">
        <f>M20*$D$7*'Input data'!U57/1000</f>
        <v>#REF!</v>
      </c>
    </row>
    <row r="21" spans="1:19" ht="14.45" hidden="1" customHeight="1">
      <c r="A21" s="123">
        <f>'Input data'!A58</f>
        <v>1958</v>
      </c>
      <c r="B21" s="1194"/>
      <c r="C21" t="e">
        <f>'Input data'!#REF!</f>
        <v>#REF!</v>
      </c>
      <c r="D21" t="e">
        <f>'Input data'!#REF!</f>
        <v>#REF!</v>
      </c>
      <c r="E21">
        <v>0</v>
      </c>
      <c r="F21">
        <v>0</v>
      </c>
      <c r="G21" s="178" t="e">
        <f>C21*$D$5*'Input data'!K58/1000-E21</f>
        <v>#REF!</v>
      </c>
      <c r="H21" s="178" t="e">
        <f>D21*$D$4*'Input data'!K58/1000-F21</f>
        <v>#REF!</v>
      </c>
      <c r="J21" s="178" t="e">
        <f>D21*$D$7*'Input data'!K58/1000</f>
        <v>#REF!</v>
      </c>
      <c r="K21" s="1194"/>
      <c r="L21" t="e">
        <f>'Input data'!#REF!</f>
        <v>#REF!</v>
      </c>
      <c r="M21" t="e">
        <f>'Input data'!#REF!</f>
        <v>#REF!</v>
      </c>
      <c r="N21">
        <v>0</v>
      </c>
      <c r="O21">
        <v>0</v>
      </c>
      <c r="P21" s="178" t="e">
        <f>L21*$D$5*'Input data'!U58/1000-N21</f>
        <v>#REF!</v>
      </c>
      <c r="Q21" s="178" t="e">
        <f>M21*$D$4*'Input data'!U58/1000-O21</f>
        <v>#REF!</v>
      </c>
      <c r="S21" s="178" t="e">
        <f>M21*$D$7*'Input data'!U58/1000</f>
        <v>#REF!</v>
      </c>
    </row>
    <row r="22" spans="1:19" ht="14.45" hidden="1" customHeight="1">
      <c r="A22" s="123">
        <f>'Input data'!A59</f>
        <v>1959</v>
      </c>
      <c r="B22" s="1194"/>
      <c r="C22" t="e">
        <f>'Input data'!#REF!</f>
        <v>#REF!</v>
      </c>
      <c r="D22" t="e">
        <f>'Input data'!#REF!</f>
        <v>#REF!</v>
      </c>
      <c r="E22">
        <v>0</v>
      </c>
      <c r="F22">
        <v>0</v>
      </c>
      <c r="G22" s="178" t="e">
        <f>C22*$D$5*'Input data'!K59/1000-E22</f>
        <v>#REF!</v>
      </c>
      <c r="H22" s="178" t="e">
        <f>D22*$D$4*'Input data'!K59/1000-F22</f>
        <v>#REF!</v>
      </c>
      <c r="J22" s="178" t="e">
        <f>D22*$D$7*'Input data'!K59/1000</f>
        <v>#REF!</v>
      </c>
      <c r="K22" s="1194"/>
      <c r="L22" t="e">
        <f>'Input data'!#REF!</f>
        <v>#REF!</v>
      </c>
      <c r="M22" t="e">
        <f>'Input data'!#REF!</f>
        <v>#REF!</v>
      </c>
      <c r="N22">
        <v>0</v>
      </c>
      <c r="O22">
        <v>0</v>
      </c>
      <c r="P22" s="178" t="e">
        <f>L22*$D$5*'Input data'!U59/1000-N22</f>
        <v>#REF!</v>
      </c>
      <c r="Q22" s="178" t="e">
        <f>M22*$D$4*'Input data'!U59/1000-O22</f>
        <v>#REF!</v>
      </c>
      <c r="S22" s="178" t="e">
        <f>M22*$D$7*'Input data'!U59/1000</f>
        <v>#REF!</v>
      </c>
    </row>
    <row r="23" spans="1:19" ht="14.45" hidden="1" customHeight="1">
      <c r="A23" s="123">
        <f>'Input data'!A60</f>
        <v>1960</v>
      </c>
      <c r="B23" s="1194"/>
      <c r="C23" t="e">
        <f>'Input data'!#REF!</f>
        <v>#REF!</v>
      </c>
      <c r="D23" t="e">
        <f>'Input data'!#REF!</f>
        <v>#REF!</v>
      </c>
      <c r="E23">
        <v>0</v>
      </c>
      <c r="F23">
        <v>0</v>
      </c>
      <c r="G23" s="178" t="e">
        <f>C23*$D$5*'Input data'!K60/1000-E23</f>
        <v>#REF!</v>
      </c>
      <c r="H23" s="178" t="e">
        <f>D23*$D$4*'Input data'!K60/1000-F23</f>
        <v>#REF!</v>
      </c>
      <c r="J23" s="178" t="e">
        <f>D23*$D$7*'Input data'!K60/1000</f>
        <v>#REF!</v>
      </c>
      <c r="K23" s="1194"/>
      <c r="L23" t="e">
        <f>'Input data'!#REF!</f>
        <v>#REF!</v>
      </c>
      <c r="M23" t="e">
        <f>'Input data'!#REF!</f>
        <v>#REF!</v>
      </c>
      <c r="N23">
        <v>0</v>
      </c>
      <c r="O23">
        <v>0</v>
      </c>
      <c r="P23" s="178" t="e">
        <f>L23*$D$5*'Input data'!U60/1000-N23</f>
        <v>#REF!</v>
      </c>
      <c r="Q23" s="178" t="e">
        <f>M23*$D$4*'Input data'!U60/1000-O23</f>
        <v>#REF!</v>
      </c>
      <c r="S23" s="178" t="e">
        <f>M23*$D$7*'Input data'!U60/1000</f>
        <v>#REF!</v>
      </c>
    </row>
    <row r="24" spans="1:19" ht="14.45" hidden="1" customHeight="1">
      <c r="A24" s="123">
        <f>'Input data'!A61</f>
        <v>1961</v>
      </c>
      <c r="B24" s="1194"/>
      <c r="C24" t="e">
        <f>'Input data'!#REF!</f>
        <v>#REF!</v>
      </c>
      <c r="D24" t="e">
        <f>'Input data'!#REF!</f>
        <v>#REF!</v>
      </c>
      <c r="E24">
        <v>0</v>
      </c>
      <c r="F24">
        <v>0</v>
      </c>
      <c r="G24" s="178" t="e">
        <f>C24*$D$5*'Input data'!K61/1000-E24</f>
        <v>#REF!</v>
      </c>
      <c r="H24" s="178" t="e">
        <f>D24*$D$4*'Input data'!K61/1000-F24</f>
        <v>#REF!</v>
      </c>
      <c r="J24" s="178" t="e">
        <f>D24*$D$7*'Input data'!K61/1000</f>
        <v>#REF!</v>
      </c>
      <c r="K24" s="1194"/>
      <c r="L24" t="e">
        <f>'Input data'!#REF!</f>
        <v>#REF!</v>
      </c>
      <c r="M24" t="e">
        <f>'Input data'!#REF!</f>
        <v>#REF!</v>
      </c>
      <c r="N24">
        <v>0</v>
      </c>
      <c r="O24">
        <v>0</v>
      </c>
      <c r="P24" s="178" t="e">
        <f>L24*$D$5*'Input data'!U61/1000-N24</f>
        <v>#REF!</v>
      </c>
      <c r="Q24" s="178" t="e">
        <f>M24*$D$4*'Input data'!U61/1000-O24</f>
        <v>#REF!</v>
      </c>
      <c r="S24" s="178" t="e">
        <f>M24*$D$7*'Input data'!U61/1000</f>
        <v>#REF!</v>
      </c>
    </row>
    <row r="25" spans="1:19" ht="14.45" hidden="1" customHeight="1">
      <c r="A25" s="123">
        <f>'Input data'!A62</f>
        <v>1962</v>
      </c>
      <c r="B25" s="1194"/>
      <c r="C25" t="e">
        <f>'Input data'!#REF!</f>
        <v>#REF!</v>
      </c>
      <c r="D25" t="e">
        <f>'Input data'!#REF!</f>
        <v>#REF!</v>
      </c>
      <c r="E25">
        <v>0</v>
      </c>
      <c r="F25">
        <v>0</v>
      </c>
      <c r="G25" s="178" t="e">
        <f>C25*$D$5*'Input data'!K62/1000-E25</f>
        <v>#REF!</v>
      </c>
      <c r="H25" s="178" t="e">
        <f>D25*$D$4*'Input data'!K62/1000-F25</f>
        <v>#REF!</v>
      </c>
      <c r="J25" s="178" t="e">
        <f>D25*$D$7*'Input data'!K62/1000</f>
        <v>#REF!</v>
      </c>
      <c r="K25" s="1194"/>
      <c r="L25" t="e">
        <f>'Input data'!#REF!</f>
        <v>#REF!</v>
      </c>
      <c r="M25" t="e">
        <f>'Input data'!#REF!</f>
        <v>#REF!</v>
      </c>
      <c r="N25">
        <v>0</v>
      </c>
      <c r="O25">
        <v>0</v>
      </c>
      <c r="P25" s="178" t="e">
        <f>L25*$D$5*'Input data'!U62/1000-N25</f>
        <v>#REF!</v>
      </c>
      <c r="Q25" s="178" t="e">
        <f>M25*$D$4*'Input data'!U62/1000-O25</f>
        <v>#REF!</v>
      </c>
      <c r="S25" s="178" t="e">
        <f>M25*$D$7*'Input data'!U62/1000</f>
        <v>#REF!</v>
      </c>
    </row>
    <row r="26" spans="1:19" ht="14.45" hidden="1" customHeight="1">
      <c r="A26" s="123">
        <f>'Input data'!A63</f>
        <v>1963</v>
      </c>
      <c r="B26" s="1194"/>
      <c r="C26" t="e">
        <f>'Input data'!#REF!</f>
        <v>#REF!</v>
      </c>
      <c r="D26" t="e">
        <f>'Input data'!#REF!</f>
        <v>#REF!</v>
      </c>
      <c r="E26">
        <v>0</v>
      </c>
      <c r="F26">
        <v>0</v>
      </c>
      <c r="G26" s="178" t="e">
        <f>C26*$D$5*'Input data'!K63/1000-E26</f>
        <v>#REF!</v>
      </c>
      <c r="H26" s="178" t="e">
        <f>D26*$D$4*'Input data'!K63/1000-F26</f>
        <v>#REF!</v>
      </c>
      <c r="J26" s="178" t="e">
        <f>D26*$D$7*'Input data'!K63/1000</f>
        <v>#REF!</v>
      </c>
      <c r="K26" s="1194"/>
      <c r="L26" t="e">
        <f>'Input data'!#REF!</f>
        <v>#REF!</v>
      </c>
      <c r="M26" t="e">
        <f>'Input data'!#REF!</f>
        <v>#REF!</v>
      </c>
      <c r="N26">
        <v>0</v>
      </c>
      <c r="O26">
        <v>0</v>
      </c>
      <c r="P26" s="178" t="e">
        <f>L26*$D$5*'Input data'!U63/1000-N26</f>
        <v>#REF!</v>
      </c>
      <c r="Q26" s="178" t="e">
        <f>M26*$D$4*'Input data'!U63/1000-O26</f>
        <v>#REF!</v>
      </c>
      <c r="S26" s="178" t="e">
        <f>M26*$D$7*'Input data'!U63/1000</f>
        <v>#REF!</v>
      </c>
    </row>
    <row r="27" spans="1:19" ht="14.45" hidden="1" customHeight="1">
      <c r="A27" s="123">
        <f>'Input data'!A64</f>
        <v>1964</v>
      </c>
      <c r="B27" s="1194"/>
      <c r="C27" t="e">
        <f>'Input data'!#REF!</f>
        <v>#REF!</v>
      </c>
      <c r="D27" t="e">
        <f>'Input data'!#REF!</f>
        <v>#REF!</v>
      </c>
      <c r="E27">
        <v>0</v>
      </c>
      <c r="F27">
        <v>0</v>
      </c>
      <c r="G27" s="178" t="e">
        <f>C27*$D$5*'Input data'!K64/1000-E27</f>
        <v>#REF!</v>
      </c>
      <c r="H27" s="178" t="e">
        <f>D27*$D$4*'Input data'!K64/1000-F27</f>
        <v>#REF!</v>
      </c>
      <c r="J27" s="178" t="e">
        <f>D27*$D$7*'Input data'!K64/1000</f>
        <v>#REF!</v>
      </c>
      <c r="K27" s="1194"/>
      <c r="L27" t="e">
        <f>'Input data'!#REF!</f>
        <v>#REF!</v>
      </c>
      <c r="M27" t="e">
        <f>'Input data'!#REF!</f>
        <v>#REF!</v>
      </c>
      <c r="N27">
        <v>0</v>
      </c>
      <c r="O27">
        <v>0</v>
      </c>
      <c r="P27" s="178" t="e">
        <f>L27*$D$5*'Input data'!U64/1000-N27</f>
        <v>#REF!</v>
      </c>
      <c r="Q27" s="178" t="e">
        <f>M27*$D$4*'Input data'!U64/1000-O27</f>
        <v>#REF!</v>
      </c>
      <c r="S27" s="178" t="e">
        <f>M27*$D$7*'Input data'!U64/1000</f>
        <v>#REF!</v>
      </c>
    </row>
    <row r="28" spans="1:19" ht="14.45" hidden="1" customHeight="1">
      <c r="A28" s="123">
        <f>'Input data'!A65</f>
        <v>1965</v>
      </c>
      <c r="B28" s="1194"/>
      <c r="C28" t="e">
        <f>'Input data'!#REF!</f>
        <v>#REF!</v>
      </c>
      <c r="D28" t="e">
        <f>'Input data'!#REF!</f>
        <v>#REF!</v>
      </c>
      <c r="E28">
        <v>0</v>
      </c>
      <c r="F28">
        <v>0</v>
      </c>
      <c r="G28" s="178" t="e">
        <f>C28*$D$5*'Input data'!K65/1000-E28</f>
        <v>#REF!</v>
      </c>
      <c r="H28" s="178" t="e">
        <f>D28*$D$4*'Input data'!K65/1000-F28</f>
        <v>#REF!</v>
      </c>
      <c r="J28" s="178" t="e">
        <f>D28*$D$7*'Input data'!K65/1000</f>
        <v>#REF!</v>
      </c>
      <c r="K28" s="1194"/>
      <c r="L28" t="e">
        <f>'Input data'!#REF!</f>
        <v>#REF!</v>
      </c>
      <c r="M28" t="e">
        <f>'Input data'!#REF!</f>
        <v>#REF!</v>
      </c>
      <c r="N28">
        <v>0</v>
      </c>
      <c r="O28">
        <v>0</v>
      </c>
      <c r="P28" s="178" t="e">
        <f>L28*$D$5*'Input data'!U65/1000-N28</f>
        <v>#REF!</v>
      </c>
      <c r="Q28" s="178" t="e">
        <f>M28*$D$4*'Input data'!U65/1000-O28</f>
        <v>#REF!</v>
      </c>
      <c r="S28" s="178" t="e">
        <f>M28*$D$7*'Input data'!U65/1000</f>
        <v>#REF!</v>
      </c>
    </row>
    <row r="29" spans="1:19" ht="14.45" hidden="1" customHeight="1">
      <c r="A29" s="123">
        <f>'Input data'!A66</f>
        <v>1966</v>
      </c>
      <c r="B29" s="1194"/>
      <c r="C29" t="e">
        <f>'Input data'!#REF!</f>
        <v>#REF!</v>
      </c>
      <c r="D29" t="e">
        <f>'Input data'!#REF!</f>
        <v>#REF!</v>
      </c>
      <c r="E29">
        <v>0</v>
      </c>
      <c r="F29">
        <v>0</v>
      </c>
      <c r="G29" s="178" t="e">
        <f>C29*$D$5*'Input data'!K66/1000-E29</f>
        <v>#REF!</v>
      </c>
      <c r="H29" s="178" t="e">
        <f>D29*$D$4*'Input data'!K66/1000-F29</f>
        <v>#REF!</v>
      </c>
      <c r="J29" s="178" t="e">
        <f>D29*$D$7*'Input data'!K66/1000</f>
        <v>#REF!</v>
      </c>
      <c r="K29" s="1194"/>
      <c r="L29" t="e">
        <f>'Input data'!#REF!</f>
        <v>#REF!</v>
      </c>
      <c r="M29" t="e">
        <f>'Input data'!#REF!</f>
        <v>#REF!</v>
      </c>
      <c r="N29">
        <v>0</v>
      </c>
      <c r="O29">
        <v>0</v>
      </c>
      <c r="P29" s="178" t="e">
        <f>L29*$D$5*'Input data'!U66/1000-N29</f>
        <v>#REF!</v>
      </c>
      <c r="Q29" s="178" t="e">
        <f>M29*$D$4*'Input data'!U66/1000-O29</f>
        <v>#REF!</v>
      </c>
      <c r="S29" s="178" t="e">
        <f>M29*$D$7*'Input data'!U66/1000</f>
        <v>#REF!</v>
      </c>
    </row>
    <row r="30" spans="1:19" ht="14.45" hidden="1" customHeight="1">
      <c r="A30" s="123">
        <f>'Input data'!A67</f>
        <v>1967</v>
      </c>
      <c r="B30" s="1194"/>
      <c r="C30" t="e">
        <f>'Input data'!#REF!</f>
        <v>#REF!</v>
      </c>
      <c r="D30" t="e">
        <f>'Input data'!#REF!</f>
        <v>#REF!</v>
      </c>
      <c r="E30">
        <v>0</v>
      </c>
      <c r="F30">
        <v>0</v>
      </c>
      <c r="G30" s="178" t="e">
        <f>C30*$D$5*'Input data'!K67/1000-E30</f>
        <v>#REF!</v>
      </c>
      <c r="H30" s="178" t="e">
        <f>D30*$D$4*'Input data'!K67/1000-F30</f>
        <v>#REF!</v>
      </c>
      <c r="J30" s="178" t="e">
        <f>D30*$D$7*'Input data'!K67/1000</f>
        <v>#REF!</v>
      </c>
      <c r="K30" s="1194"/>
      <c r="L30" t="e">
        <f>'Input data'!#REF!</f>
        <v>#REF!</v>
      </c>
      <c r="M30" t="e">
        <f>'Input data'!#REF!</f>
        <v>#REF!</v>
      </c>
      <c r="N30">
        <v>0</v>
      </c>
      <c r="O30">
        <v>0</v>
      </c>
      <c r="P30" s="178" t="e">
        <f>L30*$D$5*'Input data'!U67/1000-N30</f>
        <v>#REF!</v>
      </c>
      <c r="Q30" s="178" t="e">
        <f>M30*$D$4*'Input data'!U67/1000-O30</f>
        <v>#REF!</v>
      </c>
      <c r="S30" s="178" t="e">
        <f>M30*$D$7*'Input data'!U67/1000</f>
        <v>#REF!</v>
      </c>
    </row>
    <row r="31" spans="1:19" ht="14.45" hidden="1" customHeight="1">
      <c r="A31" s="123">
        <f>'Input data'!A68</f>
        <v>1968</v>
      </c>
      <c r="B31" s="1194"/>
      <c r="C31" t="e">
        <f>'Input data'!#REF!</f>
        <v>#REF!</v>
      </c>
      <c r="D31" t="e">
        <f>'Input data'!#REF!</f>
        <v>#REF!</v>
      </c>
      <c r="E31">
        <v>0</v>
      </c>
      <c r="F31">
        <v>0</v>
      </c>
      <c r="G31" s="178" t="e">
        <f>C31*$D$5*'Input data'!K68/1000-E31</f>
        <v>#REF!</v>
      </c>
      <c r="H31" s="178" t="e">
        <f>D31*$D$4*'Input data'!K68/1000-F31</f>
        <v>#REF!</v>
      </c>
      <c r="J31" s="178" t="e">
        <f>D31*$D$7*'Input data'!K68/1000</f>
        <v>#REF!</v>
      </c>
      <c r="K31" s="1194"/>
      <c r="L31" t="e">
        <f>'Input data'!#REF!</f>
        <v>#REF!</v>
      </c>
      <c r="M31" t="e">
        <f>'Input data'!#REF!</f>
        <v>#REF!</v>
      </c>
      <c r="N31">
        <v>0</v>
      </c>
      <c r="O31">
        <v>0</v>
      </c>
      <c r="P31" s="178" t="e">
        <f>L31*$D$5*'Input data'!U68/1000-N31</f>
        <v>#REF!</v>
      </c>
      <c r="Q31" s="178" t="e">
        <f>M31*$D$4*'Input data'!U68/1000-O31</f>
        <v>#REF!</v>
      </c>
      <c r="S31" s="178" t="e">
        <f>M31*$D$7*'Input data'!U68/1000</f>
        <v>#REF!</v>
      </c>
    </row>
    <row r="32" spans="1:19" ht="14.45" hidden="1" customHeight="1">
      <c r="A32" s="123">
        <f>'Input data'!A69</f>
        <v>1969</v>
      </c>
      <c r="B32" s="1194"/>
      <c r="C32" t="e">
        <f>'Input data'!#REF!</f>
        <v>#REF!</v>
      </c>
      <c r="D32" t="e">
        <f>'Input data'!#REF!</f>
        <v>#REF!</v>
      </c>
      <c r="E32">
        <v>0</v>
      </c>
      <c r="F32">
        <v>0</v>
      </c>
      <c r="G32" s="178" t="e">
        <f>C32*$D$5*'Input data'!K69/1000-E32</f>
        <v>#REF!</v>
      </c>
      <c r="H32" s="178" t="e">
        <f>D32*$D$4*'Input data'!K69/1000-F32</f>
        <v>#REF!</v>
      </c>
      <c r="J32" s="178" t="e">
        <f>D32*$D$7*'Input data'!K69/1000</f>
        <v>#REF!</v>
      </c>
      <c r="K32" s="1194"/>
      <c r="L32" t="e">
        <f>'Input data'!#REF!</f>
        <v>#REF!</v>
      </c>
      <c r="M32" t="e">
        <f>'Input data'!#REF!</f>
        <v>#REF!</v>
      </c>
      <c r="N32">
        <v>0</v>
      </c>
      <c r="O32">
        <v>0</v>
      </c>
      <c r="P32" s="178" t="e">
        <f>L32*$D$5*'Input data'!U69/1000-N32</f>
        <v>#REF!</v>
      </c>
      <c r="Q32" s="178" t="e">
        <f>M32*$D$4*'Input data'!U69/1000-O32</f>
        <v>#REF!</v>
      </c>
      <c r="S32" s="178" t="e">
        <f>M32*$D$7*'Input data'!U69/1000</f>
        <v>#REF!</v>
      </c>
    </row>
    <row r="33" spans="1:19" ht="14.45" hidden="1" customHeight="1">
      <c r="A33" s="123">
        <f>'Input data'!A70</f>
        <v>1970</v>
      </c>
      <c r="B33" s="1194"/>
      <c r="C33" t="e">
        <f>'Input data'!#REF!</f>
        <v>#REF!</v>
      </c>
      <c r="D33" t="e">
        <f>'Input data'!#REF!</f>
        <v>#REF!</v>
      </c>
      <c r="E33">
        <v>0</v>
      </c>
      <c r="F33">
        <v>0</v>
      </c>
      <c r="G33" s="178" t="e">
        <f>C33*$D$5*'Input data'!K70/1000-E33</f>
        <v>#REF!</v>
      </c>
      <c r="H33" s="178" t="e">
        <f>D33*$D$4*'Input data'!K70/1000-F33</f>
        <v>#REF!</v>
      </c>
      <c r="J33" s="178" t="e">
        <f>D33*$D$7*'Input data'!K70/1000</f>
        <v>#REF!</v>
      </c>
      <c r="K33" s="1194"/>
      <c r="L33" t="e">
        <f>'Input data'!#REF!</f>
        <v>#REF!</v>
      </c>
      <c r="M33" t="e">
        <f>'Input data'!#REF!</f>
        <v>#REF!</v>
      </c>
      <c r="N33">
        <v>0</v>
      </c>
      <c r="O33">
        <v>0</v>
      </c>
      <c r="P33" s="178" t="e">
        <f>L33*$D$5*'Input data'!U70/1000-N33</f>
        <v>#REF!</v>
      </c>
      <c r="Q33" s="178" t="e">
        <f>M33*$D$4*'Input data'!U70/1000-O33</f>
        <v>#REF!</v>
      </c>
      <c r="S33" s="178" t="e">
        <f>M33*$D$7*'Input data'!U70/1000</f>
        <v>#REF!</v>
      </c>
    </row>
    <row r="34" spans="1:19" ht="14.45" hidden="1" customHeight="1">
      <c r="A34" s="123">
        <f>'Input data'!A71</f>
        <v>1971</v>
      </c>
      <c r="B34" s="1194"/>
      <c r="C34" t="e">
        <f>'Input data'!#REF!</f>
        <v>#REF!</v>
      </c>
      <c r="D34" t="e">
        <f>'Input data'!#REF!</f>
        <v>#REF!</v>
      </c>
      <c r="E34">
        <v>0</v>
      </c>
      <c r="F34">
        <v>0</v>
      </c>
      <c r="G34" s="178" t="e">
        <f>C34*$D$5*'Input data'!K71/1000-E34</f>
        <v>#REF!</v>
      </c>
      <c r="H34" s="178" t="e">
        <f>D34*$D$4*'Input data'!K71/1000-F34</f>
        <v>#REF!</v>
      </c>
      <c r="J34" s="178" t="e">
        <f>D34*$D$7*'Input data'!K71/1000</f>
        <v>#REF!</v>
      </c>
      <c r="K34" s="1194"/>
      <c r="L34" t="e">
        <f>'Input data'!#REF!</f>
        <v>#REF!</v>
      </c>
      <c r="M34" t="e">
        <f>'Input data'!#REF!</f>
        <v>#REF!</v>
      </c>
      <c r="N34">
        <v>0</v>
      </c>
      <c r="O34">
        <v>0</v>
      </c>
      <c r="P34" s="178" t="e">
        <f>L34*$D$5*'Input data'!U71/1000-N34</f>
        <v>#REF!</v>
      </c>
      <c r="Q34" s="178" t="e">
        <f>M34*$D$4*'Input data'!U71/1000-O34</f>
        <v>#REF!</v>
      </c>
      <c r="S34" s="178" t="e">
        <f>M34*$D$7*'Input data'!U71/1000</f>
        <v>#REF!</v>
      </c>
    </row>
    <row r="35" spans="1:19" ht="14.45" hidden="1" customHeight="1">
      <c r="A35" s="123">
        <f>'Input data'!A72</f>
        <v>1972</v>
      </c>
      <c r="B35" s="1194"/>
      <c r="C35" t="e">
        <f>'Input data'!#REF!</f>
        <v>#REF!</v>
      </c>
      <c r="D35" t="e">
        <f>'Input data'!#REF!</f>
        <v>#REF!</v>
      </c>
      <c r="E35">
        <v>0</v>
      </c>
      <c r="F35">
        <v>0</v>
      </c>
      <c r="G35" s="178" t="e">
        <f>C35*$D$5*'Input data'!K72/1000-E35</f>
        <v>#REF!</v>
      </c>
      <c r="H35" s="178" t="e">
        <f>D35*$D$4*'Input data'!K72/1000-F35</f>
        <v>#REF!</v>
      </c>
      <c r="J35" s="178" t="e">
        <f>D35*$D$7*'Input data'!K72/1000</f>
        <v>#REF!</v>
      </c>
      <c r="K35" s="1194"/>
      <c r="L35" t="e">
        <f>'Input data'!#REF!</f>
        <v>#REF!</v>
      </c>
      <c r="M35" t="e">
        <f>'Input data'!#REF!</f>
        <v>#REF!</v>
      </c>
      <c r="N35">
        <v>0</v>
      </c>
      <c r="O35">
        <v>0</v>
      </c>
      <c r="P35" s="178" t="e">
        <f>L35*$D$5*'Input data'!U72/1000-N35</f>
        <v>#REF!</v>
      </c>
      <c r="Q35" s="178" t="e">
        <f>M35*$D$4*'Input data'!U72/1000-O35</f>
        <v>#REF!</v>
      </c>
      <c r="S35" s="178" t="e">
        <f>M35*$D$7*'Input data'!U72/1000</f>
        <v>#REF!</v>
      </c>
    </row>
    <row r="36" spans="1:19" ht="14.45" hidden="1" customHeight="1">
      <c r="A36" s="123">
        <f>'Input data'!A73</f>
        <v>1973</v>
      </c>
      <c r="B36" s="1194"/>
      <c r="C36" t="e">
        <f>'Input data'!#REF!</f>
        <v>#REF!</v>
      </c>
      <c r="D36" t="e">
        <f>'Input data'!#REF!</f>
        <v>#REF!</v>
      </c>
      <c r="E36">
        <v>0</v>
      </c>
      <c r="F36">
        <v>0</v>
      </c>
      <c r="G36" s="178" t="e">
        <f>C36*$D$5*'Input data'!K73/1000-E36</f>
        <v>#REF!</v>
      </c>
      <c r="H36" s="178" t="e">
        <f>D36*$D$4*'Input data'!K73/1000-F36</f>
        <v>#REF!</v>
      </c>
      <c r="J36" s="178" t="e">
        <f>D36*$D$7*'Input data'!K73/1000</f>
        <v>#REF!</v>
      </c>
      <c r="K36" s="1194"/>
      <c r="L36" t="e">
        <f>'Input data'!#REF!</f>
        <v>#REF!</v>
      </c>
      <c r="M36" t="e">
        <f>'Input data'!#REF!</f>
        <v>#REF!</v>
      </c>
      <c r="N36">
        <v>0</v>
      </c>
      <c r="O36">
        <v>0</v>
      </c>
      <c r="P36" s="178" t="e">
        <f>L36*$D$5*'Input data'!U73/1000-N36</f>
        <v>#REF!</v>
      </c>
      <c r="Q36" s="178" t="e">
        <f>M36*$D$4*'Input data'!U73/1000-O36</f>
        <v>#REF!</v>
      </c>
      <c r="S36" s="178" t="e">
        <f>M36*$D$7*'Input data'!U73/1000</f>
        <v>#REF!</v>
      </c>
    </row>
    <row r="37" spans="1:19" ht="14.45" hidden="1" customHeight="1">
      <c r="A37" s="123">
        <f>'Input data'!A74</f>
        <v>1974</v>
      </c>
      <c r="B37" s="1194"/>
      <c r="C37" t="e">
        <f>'Input data'!#REF!</f>
        <v>#REF!</v>
      </c>
      <c r="D37" t="e">
        <f>'Input data'!#REF!</f>
        <v>#REF!</v>
      </c>
      <c r="E37">
        <v>0</v>
      </c>
      <c r="F37">
        <v>0</v>
      </c>
      <c r="G37" s="178" t="e">
        <f>C37*$D$5*'Input data'!K74/1000-E37</f>
        <v>#REF!</v>
      </c>
      <c r="H37" s="178" t="e">
        <f>D37*$D$4*'Input data'!K74/1000-F37</f>
        <v>#REF!</v>
      </c>
      <c r="J37" s="178" t="e">
        <f>D37*$D$7*'Input data'!K74/1000</f>
        <v>#REF!</v>
      </c>
      <c r="K37" s="1194"/>
      <c r="L37" t="e">
        <f>'Input data'!#REF!</f>
        <v>#REF!</v>
      </c>
      <c r="M37" t="e">
        <f>'Input data'!#REF!</f>
        <v>#REF!</v>
      </c>
      <c r="N37">
        <v>0</v>
      </c>
      <c r="O37">
        <v>0</v>
      </c>
      <c r="P37" s="178" t="e">
        <f>L37*$D$5*'Input data'!U74/1000-N37</f>
        <v>#REF!</v>
      </c>
      <c r="Q37" s="178" t="e">
        <f>M37*$D$4*'Input data'!U74/1000-O37</f>
        <v>#REF!</v>
      </c>
      <c r="S37" s="178" t="e">
        <f>M37*$D$7*'Input data'!U74/1000</f>
        <v>#REF!</v>
      </c>
    </row>
    <row r="38" spans="1:19" ht="14.45" hidden="1" customHeight="1">
      <c r="A38" s="123">
        <f>'Input data'!A75</f>
        <v>1975</v>
      </c>
      <c r="B38" s="1194"/>
      <c r="C38" t="e">
        <f>'Input data'!#REF!</f>
        <v>#REF!</v>
      </c>
      <c r="D38" t="e">
        <f>'Input data'!#REF!</f>
        <v>#REF!</v>
      </c>
      <c r="E38">
        <v>0</v>
      </c>
      <c r="F38">
        <v>0</v>
      </c>
      <c r="G38" s="178" t="e">
        <f>C38*$D$5*'Input data'!K75/1000-E38</f>
        <v>#REF!</v>
      </c>
      <c r="H38" s="178" t="e">
        <f>D38*$D$4*'Input data'!K75/1000-F38</f>
        <v>#REF!</v>
      </c>
      <c r="J38" s="178" t="e">
        <f>D38*$D$7*'Input data'!K75/1000</f>
        <v>#REF!</v>
      </c>
      <c r="K38" s="1194"/>
      <c r="L38" t="e">
        <f>'Input data'!#REF!</f>
        <v>#REF!</v>
      </c>
      <c r="M38" t="e">
        <f>'Input data'!#REF!</f>
        <v>#REF!</v>
      </c>
      <c r="N38">
        <v>0</v>
      </c>
      <c r="O38">
        <v>0</v>
      </c>
      <c r="P38" s="178" t="e">
        <f>L38*$D$5*'Input data'!U75/1000-N38</f>
        <v>#REF!</v>
      </c>
      <c r="Q38" s="178" t="e">
        <f>M38*$D$4*'Input data'!U75/1000-O38</f>
        <v>#REF!</v>
      </c>
      <c r="S38" s="178" t="e">
        <f>M38*$D$7*'Input data'!U75/1000</f>
        <v>#REF!</v>
      </c>
    </row>
    <row r="39" spans="1:19" ht="14.45" hidden="1" customHeight="1">
      <c r="A39" s="123">
        <f>'Input data'!A76</f>
        <v>1976</v>
      </c>
      <c r="B39" s="1194"/>
      <c r="C39" t="e">
        <f>'Input data'!#REF!</f>
        <v>#REF!</v>
      </c>
      <c r="D39" t="e">
        <f>'Input data'!#REF!</f>
        <v>#REF!</v>
      </c>
      <c r="E39">
        <v>0</v>
      </c>
      <c r="F39">
        <v>0</v>
      </c>
      <c r="G39" s="178" t="e">
        <f>C39*$D$5*'Input data'!K76/1000-E39</f>
        <v>#REF!</v>
      </c>
      <c r="H39" s="178" t="e">
        <f>D39*$D$4*'Input data'!K76/1000-F39</f>
        <v>#REF!</v>
      </c>
      <c r="J39" s="178" t="e">
        <f>D39*$D$7*'Input data'!K76/1000</f>
        <v>#REF!</v>
      </c>
      <c r="K39" s="1194"/>
      <c r="L39" t="e">
        <f>'Input data'!#REF!</f>
        <v>#REF!</v>
      </c>
      <c r="M39" t="e">
        <f>'Input data'!#REF!</f>
        <v>#REF!</v>
      </c>
      <c r="N39">
        <v>0</v>
      </c>
      <c r="O39">
        <v>0</v>
      </c>
      <c r="P39" s="178" t="e">
        <f>L39*$D$5*'Input data'!U76/1000-N39</f>
        <v>#REF!</v>
      </c>
      <c r="Q39" s="178" t="e">
        <f>M39*$D$4*'Input data'!U76/1000-O39</f>
        <v>#REF!</v>
      </c>
      <c r="S39" s="178" t="e">
        <f>M39*$D$7*'Input data'!U76/1000</f>
        <v>#REF!</v>
      </c>
    </row>
    <row r="40" spans="1:19" ht="14.45" hidden="1" customHeight="1">
      <c r="A40" s="123">
        <f>'Input data'!A77</f>
        <v>1977</v>
      </c>
      <c r="B40" s="1194"/>
      <c r="C40" t="e">
        <f>'Input data'!#REF!</f>
        <v>#REF!</v>
      </c>
      <c r="D40" t="e">
        <f>'Input data'!#REF!</f>
        <v>#REF!</v>
      </c>
      <c r="E40">
        <v>0</v>
      </c>
      <c r="F40">
        <v>0</v>
      </c>
      <c r="G40" s="178" t="e">
        <f>C40*$D$5*'Input data'!K77/1000-E40</f>
        <v>#REF!</v>
      </c>
      <c r="H40" s="178" t="e">
        <f>D40*$D$4*'Input data'!K77/1000-F40</f>
        <v>#REF!</v>
      </c>
      <c r="J40" s="178" t="e">
        <f>D40*$D$7*'Input data'!K77/1000</f>
        <v>#REF!</v>
      </c>
      <c r="K40" s="1194"/>
      <c r="L40" t="e">
        <f>'Input data'!#REF!</f>
        <v>#REF!</v>
      </c>
      <c r="M40" t="e">
        <f>'Input data'!#REF!</f>
        <v>#REF!</v>
      </c>
      <c r="N40">
        <v>0</v>
      </c>
      <c r="O40">
        <v>0</v>
      </c>
      <c r="P40" s="178" t="e">
        <f>L40*$D$5*'Input data'!U77/1000-N40</f>
        <v>#REF!</v>
      </c>
      <c r="Q40" s="178" t="e">
        <f>M40*$D$4*'Input data'!U77/1000-O40</f>
        <v>#REF!</v>
      </c>
      <c r="S40" s="178" t="e">
        <f>M40*$D$7*'Input data'!U77/1000</f>
        <v>#REF!</v>
      </c>
    </row>
    <row r="41" spans="1:19" ht="14.45" hidden="1" customHeight="1">
      <c r="A41" s="123">
        <f>'Input data'!A78</f>
        <v>1978</v>
      </c>
      <c r="B41" s="1194"/>
      <c r="C41" t="e">
        <f>'Input data'!#REF!</f>
        <v>#REF!</v>
      </c>
      <c r="D41" t="e">
        <f>'Input data'!#REF!</f>
        <v>#REF!</v>
      </c>
      <c r="E41">
        <v>0</v>
      </c>
      <c r="F41">
        <v>0</v>
      </c>
      <c r="G41" s="178" t="e">
        <f>C41*$D$5*'Input data'!K78/1000-E41</f>
        <v>#REF!</v>
      </c>
      <c r="H41" s="178" t="e">
        <f>D41*$D$4*'Input data'!K78/1000-F41</f>
        <v>#REF!</v>
      </c>
      <c r="J41" s="178" t="e">
        <f>D41*$D$7*'Input data'!K78/1000</f>
        <v>#REF!</v>
      </c>
      <c r="K41" s="1194"/>
      <c r="L41" t="e">
        <f>'Input data'!#REF!</f>
        <v>#REF!</v>
      </c>
      <c r="M41" t="e">
        <f>'Input data'!#REF!</f>
        <v>#REF!</v>
      </c>
      <c r="N41">
        <v>0</v>
      </c>
      <c r="O41">
        <v>0</v>
      </c>
      <c r="P41" s="178" t="e">
        <f>L41*$D$5*'Input data'!U78/1000-N41</f>
        <v>#REF!</v>
      </c>
      <c r="Q41" s="178" t="e">
        <f>M41*$D$4*'Input data'!U78/1000-O41</f>
        <v>#REF!</v>
      </c>
      <c r="S41" s="178" t="e">
        <f>M41*$D$7*'Input data'!U78/1000</f>
        <v>#REF!</v>
      </c>
    </row>
    <row r="42" spans="1:19" ht="14.45" hidden="1" customHeight="1">
      <c r="A42" s="123">
        <f>'Input data'!A79</f>
        <v>1979</v>
      </c>
      <c r="B42" s="1194"/>
      <c r="C42" t="e">
        <f>'Input data'!#REF!</f>
        <v>#REF!</v>
      </c>
      <c r="D42" t="e">
        <f>'Input data'!#REF!</f>
        <v>#REF!</v>
      </c>
      <c r="E42">
        <v>0</v>
      </c>
      <c r="F42">
        <v>0</v>
      </c>
      <c r="G42" s="178" t="e">
        <f>C42*$D$5*'Input data'!K79/1000-E42</f>
        <v>#REF!</v>
      </c>
      <c r="H42" s="178" t="e">
        <f>D42*$D$4*'Input data'!K79/1000-F42</f>
        <v>#REF!</v>
      </c>
      <c r="J42" s="178" t="e">
        <f>D42*$D$7*'Input data'!K79/1000</f>
        <v>#REF!</v>
      </c>
      <c r="K42" s="1194"/>
      <c r="L42" t="e">
        <f>'Input data'!#REF!</f>
        <v>#REF!</v>
      </c>
      <c r="M42" t="e">
        <f>'Input data'!#REF!</f>
        <v>#REF!</v>
      </c>
      <c r="N42">
        <v>0</v>
      </c>
      <c r="O42">
        <v>0</v>
      </c>
      <c r="P42" s="178" t="e">
        <f>L42*$D$5*'Input data'!U79/1000-N42</f>
        <v>#REF!</v>
      </c>
      <c r="Q42" s="178" t="e">
        <f>M42*$D$4*'Input data'!U79/1000-O42</f>
        <v>#REF!</v>
      </c>
      <c r="S42" s="178" t="e">
        <f>M42*$D$7*'Input data'!U79/1000</f>
        <v>#REF!</v>
      </c>
    </row>
    <row r="43" spans="1:19" ht="14.45" hidden="1" customHeight="1">
      <c r="A43" s="123">
        <f>'Input data'!A80</f>
        <v>1980</v>
      </c>
      <c r="B43" s="1194"/>
      <c r="C43" t="e">
        <f>'Input data'!#REF!</f>
        <v>#REF!</v>
      </c>
      <c r="D43" t="e">
        <f>'Input data'!#REF!</f>
        <v>#REF!</v>
      </c>
      <c r="E43">
        <v>0</v>
      </c>
      <c r="F43">
        <v>0</v>
      </c>
      <c r="G43" s="178" t="e">
        <f>C43*$D$5*'Input data'!K80/1000-E43</f>
        <v>#REF!</v>
      </c>
      <c r="H43" s="178" t="e">
        <f>D43*$D$4*'Input data'!K80/1000-F43</f>
        <v>#REF!</v>
      </c>
      <c r="J43" s="178" t="e">
        <f>D43*$D$7*'Input data'!K80/1000</f>
        <v>#REF!</v>
      </c>
      <c r="K43" s="1194"/>
      <c r="L43" t="e">
        <f>'Input data'!#REF!</f>
        <v>#REF!</v>
      </c>
      <c r="M43" t="e">
        <f>'Input data'!#REF!</f>
        <v>#REF!</v>
      </c>
      <c r="N43">
        <v>0</v>
      </c>
      <c r="O43">
        <v>0</v>
      </c>
      <c r="P43" s="178" t="e">
        <f>L43*$D$5*'Input data'!U80/1000-N43</f>
        <v>#REF!</v>
      </c>
      <c r="Q43" s="178" t="e">
        <f>M43*$D$4*'Input data'!U80/1000-O43</f>
        <v>#REF!</v>
      </c>
      <c r="S43" s="178" t="e">
        <f>M43*$D$7*'Input data'!U80/1000</f>
        <v>#REF!</v>
      </c>
    </row>
    <row r="44" spans="1:19" ht="14.45" hidden="1" customHeight="1">
      <c r="A44" s="123">
        <f>'Input data'!A81</f>
        <v>1981</v>
      </c>
      <c r="B44" s="1194"/>
      <c r="C44" t="e">
        <f>'Input data'!#REF!</f>
        <v>#REF!</v>
      </c>
      <c r="D44" t="e">
        <f>'Input data'!#REF!</f>
        <v>#REF!</v>
      </c>
      <c r="E44">
        <v>0</v>
      </c>
      <c r="F44">
        <v>0</v>
      </c>
      <c r="G44" s="178" t="e">
        <f>C44*$D$5*'Input data'!K81/1000-E44</f>
        <v>#REF!</v>
      </c>
      <c r="H44" s="178" t="e">
        <f>D44*$D$4*'Input data'!K81/1000-F44</f>
        <v>#REF!</v>
      </c>
      <c r="J44" s="178" t="e">
        <f>D44*$D$7*'Input data'!K81/1000</f>
        <v>#REF!</v>
      </c>
      <c r="K44" s="1194"/>
      <c r="L44" t="e">
        <f>'Input data'!#REF!</f>
        <v>#REF!</v>
      </c>
      <c r="M44" t="e">
        <f>'Input data'!#REF!</f>
        <v>#REF!</v>
      </c>
      <c r="N44">
        <v>0</v>
      </c>
      <c r="O44">
        <v>0</v>
      </c>
      <c r="P44" s="178" t="e">
        <f>L44*$D$5*'Input data'!U81/1000-N44</f>
        <v>#REF!</v>
      </c>
      <c r="Q44" s="178" t="e">
        <f>M44*$D$4*'Input data'!U81/1000-O44</f>
        <v>#REF!</v>
      </c>
      <c r="S44" s="178" t="e">
        <f>M44*$D$7*'Input data'!U81/1000</f>
        <v>#REF!</v>
      </c>
    </row>
    <row r="45" spans="1:19" ht="14.45" hidden="1" customHeight="1">
      <c r="A45" s="123">
        <f>'Input data'!A82</f>
        <v>1982</v>
      </c>
      <c r="B45" s="1194"/>
      <c r="C45" t="e">
        <f>'Input data'!#REF!</f>
        <v>#REF!</v>
      </c>
      <c r="D45" t="e">
        <f>'Input data'!#REF!</f>
        <v>#REF!</v>
      </c>
      <c r="E45">
        <v>0</v>
      </c>
      <c r="F45">
        <v>0</v>
      </c>
      <c r="G45" s="178" t="e">
        <f>C45*$D$5*'Input data'!K82/1000-E45</f>
        <v>#REF!</v>
      </c>
      <c r="H45" s="178" t="e">
        <f>D45*$D$4*'Input data'!K82/1000-F45</f>
        <v>#REF!</v>
      </c>
      <c r="J45" s="178" t="e">
        <f>D45*$D$7*'Input data'!K82/1000</f>
        <v>#REF!</v>
      </c>
      <c r="K45" s="1194"/>
      <c r="L45" t="e">
        <f>'Input data'!#REF!</f>
        <v>#REF!</v>
      </c>
      <c r="M45" t="e">
        <f>'Input data'!#REF!</f>
        <v>#REF!</v>
      </c>
      <c r="N45">
        <v>0</v>
      </c>
      <c r="O45">
        <v>0</v>
      </c>
      <c r="P45" s="178" t="e">
        <f>L45*$D$5*'Input data'!U82/1000-N45</f>
        <v>#REF!</v>
      </c>
      <c r="Q45" s="178" t="e">
        <f>M45*$D$4*'Input data'!U82/1000-O45</f>
        <v>#REF!</v>
      </c>
      <c r="S45" s="178" t="e">
        <f>M45*$D$7*'Input data'!U82/1000</f>
        <v>#REF!</v>
      </c>
    </row>
    <row r="46" spans="1:19" ht="14.45" hidden="1" customHeight="1">
      <c r="A46" s="123">
        <f>'Input data'!A83</f>
        <v>1983</v>
      </c>
      <c r="B46" s="1194"/>
      <c r="C46" t="e">
        <f>'Input data'!#REF!</f>
        <v>#REF!</v>
      </c>
      <c r="D46" t="e">
        <f>'Input data'!#REF!</f>
        <v>#REF!</v>
      </c>
      <c r="E46">
        <v>0</v>
      </c>
      <c r="F46">
        <v>0</v>
      </c>
      <c r="G46" s="178" t="e">
        <f>C46*$D$5*'Input data'!K83/1000-E46</f>
        <v>#REF!</v>
      </c>
      <c r="H46" s="178" t="e">
        <f>D46*$D$4*'Input data'!K83/1000-F46</f>
        <v>#REF!</v>
      </c>
      <c r="J46" s="178" t="e">
        <f>D46*$D$7*'Input data'!K83/1000</f>
        <v>#REF!</v>
      </c>
      <c r="K46" s="1194"/>
      <c r="L46" t="e">
        <f>'Input data'!#REF!</f>
        <v>#REF!</v>
      </c>
      <c r="M46" t="e">
        <f>'Input data'!#REF!</f>
        <v>#REF!</v>
      </c>
      <c r="N46">
        <v>0</v>
      </c>
      <c r="O46">
        <v>0</v>
      </c>
      <c r="P46" s="178" t="e">
        <f>L46*$D$5*'Input data'!U83/1000-N46</f>
        <v>#REF!</v>
      </c>
      <c r="Q46" s="178" t="e">
        <f>M46*$D$4*'Input data'!U83/1000-O46</f>
        <v>#REF!</v>
      </c>
      <c r="S46" s="178" t="e">
        <f>M46*$D$7*'Input data'!U83/1000</f>
        <v>#REF!</v>
      </c>
    </row>
    <row r="47" spans="1:19" ht="14.45" hidden="1" customHeight="1">
      <c r="A47" s="123">
        <f>'Input data'!A84</f>
        <v>1984</v>
      </c>
      <c r="B47" s="1194"/>
      <c r="C47" t="e">
        <f>'Input data'!#REF!</f>
        <v>#REF!</v>
      </c>
      <c r="D47" t="e">
        <f>'Input data'!#REF!</f>
        <v>#REF!</v>
      </c>
      <c r="E47">
        <v>0</v>
      </c>
      <c r="F47">
        <v>0</v>
      </c>
      <c r="G47" s="178" t="e">
        <f>C47*$D$5*'Input data'!K84/1000-E47</f>
        <v>#REF!</v>
      </c>
      <c r="H47" s="178" t="e">
        <f>D47*$D$4*'Input data'!K84/1000-F47</f>
        <v>#REF!</v>
      </c>
      <c r="J47" s="178" t="e">
        <f>D47*$D$7*'Input data'!K84/1000</f>
        <v>#REF!</v>
      </c>
      <c r="K47" s="1194"/>
      <c r="L47" t="e">
        <f>'Input data'!#REF!</f>
        <v>#REF!</v>
      </c>
      <c r="M47" t="e">
        <f>'Input data'!#REF!</f>
        <v>#REF!</v>
      </c>
      <c r="N47">
        <v>0</v>
      </c>
      <c r="O47">
        <v>0</v>
      </c>
      <c r="P47" s="178" t="e">
        <f>L47*$D$5*'Input data'!U84/1000-N47</f>
        <v>#REF!</v>
      </c>
      <c r="Q47" s="178" t="e">
        <f>M47*$D$4*'Input data'!U84/1000-O47</f>
        <v>#REF!</v>
      </c>
      <c r="S47" s="178" t="e">
        <f>M47*$D$7*'Input data'!U84/1000</f>
        <v>#REF!</v>
      </c>
    </row>
    <row r="48" spans="1:19" ht="14.45" hidden="1" customHeight="1">
      <c r="A48" s="123">
        <f>'Input data'!A85</f>
        <v>1985</v>
      </c>
      <c r="B48" s="1194"/>
      <c r="C48" t="e">
        <f>'Input data'!#REF!</f>
        <v>#REF!</v>
      </c>
      <c r="D48" t="e">
        <f>'Input data'!#REF!</f>
        <v>#REF!</v>
      </c>
      <c r="E48">
        <v>0</v>
      </c>
      <c r="F48">
        <v>0</v>
      </c>
      <c r="G48" s="178" t="e">
        <f>C48*$D$5*'Input data'!K85/1000-E48</f>
        <v>#REF!</v>
      </c>
      <c r="H48" s="178" t="e">
        <f>D48*$D$4*'Input data'!K85/1000-F48</f>
        <v>#REF!</v>
      </c>
      <c r="J48" s="178" t="e">
        <f>D48*$D$7*'Input data'!K85/1000</f>
        <v>#REF!</v>
      </c>
      <c r="K48" s="1194"/>
      <c r="L48" t="e">
        <f>'Input data'!#REF!</f>
        <v>#REF!</v>
      </c>
      <c r="M48" t="e">
        <f>'Input data'!#REF!</f>
        <v>#REF!</v>
      </c>
      <c r="N48">
        <v>0</v>
      </c>
      <c r="O48">
        <v>0</v>
      </c>
      <c r="P48" s="178" t="e">
        <f>L48*$D$5*'Input data'!U85/1000-N48</f>
        <v>#REF!</v>
      </c>
      <c r="Q48" s="178" t="e">
        <f>M48*$D$4*'Input data'!U85/1000-O48</f>
        <v>#REF!</v>
      </c>
      <c r="S48" s="178" t="e">
        <f>M48*$D$7*'Input data'!U85/1000</f>
        <v>#REF!</v>
      </c>
    </row>
    <row r="49" spans="1:27" ht="14.45" hidden="1" customHeight="1">
      <c r="A49" s="123">
        <f>'Input data'!A86</f>
        <v>1986</v>
      </c>
      <c r="B49" s="1194"/>
      <c r="C49" t="e">
        <f>'Input data'!#REF!</f>
        <v>#REF!</v>
      </c>
      <c r="D49" t="e">
        <f>'Input data'!#REF!</f>
        <v>#REF!</v>
      </c>
      <c r="E49">
        <v>0</v>
      </c>
      <c r="F49">
        <v>0</v>
      </c>
      <c r="G49" s="178" t="e">
        <f>C49*$D$5*'Input data'!K86/1000-E49</f>
        <v>#REF!</v>
      </c>
      <c r="H49" s="178" t="e">
        <f>D49*$D$4*'Input data'!K86/1000-F49</f>
        <v>#REF!</v>
      </c>
      <c r="J49" s="178" t="e">
        <f>D49*$D$7*'Input data'!K86/1000</f>
        <v>#REF!</v>
      </c>
      <c r="K49" s="1194"/>
      <c r="L49" t="e">
        <f>'Input data'!#REF!</f>
        <v>#REF!</v>
      </c>
      <c r="M49" t="e">
        <f>'Input data'!#REF!</f>
        <v>#REF!</v>
      </c>
      <c r="N49">
        <v>0</v>
      </c>
      <c r="O49">
        <v>0</v>
      </c>
      <c r="P49" s="178" t="e">
        <f>L49*$D$5*'Input data'!U86/1000-N49</f>
        <v>#REF!</v>
      </c>
      <c r="Q49" s="178" t="e">
        <f>M49*$D$4*'Input data'!U86/1000-O49</f>
        <v>#REF!</v>
      </c>
      <c r="S49" s="178" t="e">
        <f>M49*$D$7*'Input data'!U86/1000</f>
        <v>#REF!</v>
      </c>
    </row>
    <row r="50" spans="1:27" ht="14.45" hidden="1" customHeight="1">
      <c r="A50" s="123">
        <f>'Input data'!A87</f>
        <v>1987</v>
      </c>
      <c r="B50" s="1194"/>
      <c r="C50" t="e">
        <f>'Input data'!#REF!</f>
        <v>#REF!</v>
      </c>
      <c r="D50" t="e">
        <f>'Input data'!#REF!</f>
        <v>#REF!</v>
      </c>
      <c r="E50">
        <v>0</v>
      </c>
      <c r="F50">
        <v>0</v>
      </c>
      <c r="G50" s="178" t="e">
        <f>C50*$D$5*'Input data'!K87/1000-E50</f>
        <v>#REF!</v>
      </c>
      <c r="H50" s="178" t="e">
        <f>D50*$D$4*'Input data'!K87/1000-F50</f>
        <v>#REF!</v>
      </c>
      <c r="J50" s="178" t="e">
        <f>D50*$D$7*'Input data'!K87/1000</f>
        <v>#REF!</v>
      </c>
      <c r="K50" s="1194"/>
      <c r="L50" t="e">
        <f>'Input data'!#REF!</f>
        <v>#REF!</v>
      </c>
      <c r="M50" t="e">
        <f>'Input data'!#REF!</f>
        <v>#REF!</v>
      </c>
      <c r="N50">
        <v>0</v>
      </c>
      <c r="O50">
        <v>0</v>
      </c>
      <c r="P50" s="178" t="e">
        <f>L50*$D$5*'Input data'!U87/1000-N50</f>
        <v>#REF!</v>
      </c>
      <c r="Q50" s="178" t="e">
        <f>M50*$D$4*'Input data'!U87/1000-O50</f>
        <v>#REF!</v>
      </c>
      <c r="S50" s="178" t="e">
        <f>M50*$D$7*'Input data'!U87/1000</f>
        <v>#REF!</v>
      </c>
    </row>
    <row r="51" spans="1:27" ht="14.45" hidden="1" customHeight="1">
      <c r="A51" s="123">
        <f>'Input data'!A88</f>
        <v>1988</v>
      </c>
      <c r="B51" s="1194"/>
      <c r="C51" t="e">
        <f>'Input data'!#REF!</f>
        <v>#REF!</v>
      </c>
      <c r="D51" t="e">
        <f>'Input data'!#REF!</f>
        <v>#REF!</v>
      </c>
      <c r="E51">
        <v>0</v>
      </c>
      <c r="F51">
        <v>0</v>
      </c>
      <c r="G51" s="178" t="e">
        <f>C51*$D$5*'Input data'!K88/1000-E51</f>
        <v>#REF!</v>
      </c>
      <c r="H51" s="178" t="e">
        <f>D51*$D$4*'Input data'!K88/1000-F51</f>
        <v>#REF!</v>
      </c>
      <c r="J51" s="178" t="e">
        <f>D51*$D$7*'Input data'!K88/1000</f>
        <v>#REF!</v>
      </c>
      <c r="K51" s="1194"/>
      <c r="L51" t="e">
        <f>'Input data'!#REF!</f>
        <v>#REF!</v>
      </c>
      <c r="M51" t="e">
        <f>'Input data'!#REF!</f>
        <v>#REF!</v>
      </c>
      <c r="N51">
        <v>0</v>
      </c>
      <c r="O51">
        <v>0</v>
      </c>
      <c r="P51" s="178" t="e">
        <f>L51*$D$5*'Input data'!U88/1000-N51</f>
        <v>#REF!</v>
      </c>
      <c r="Q51" s="178" t="e">
        <f>M51*$D$4*'Input data'!U88/1000-O51</f>
        <v>#REF!</v>
      </c>
      <c r="S51" s="178" t="e">
        <f>M51*$D$7*'Input data'!U88/1000</f>
        <v>#REF!</v>
      </c>
    </row>
    <row r="52" spans="1:27" ht="14.45" hidden="1" customHeight="1">
      <c r="A52" s="123">
        <f>'Input data'!A89</f>
        <v>1989</v>
      </c>
      <c r="B52" s="1194"/>
      <c r="C52" t="e">
        <f>'Input data'!#REF!</f>
        <v>#REF!</v>
      </c>
      <c r="D52" t="e">
        <f>'Input data'!#REF!</f>
        <v>#REF!</v>
      </c>
      <c r="E52">
        <v>0</v>
      </c>
      <c r="F52">
        <v>0</v>
      </c>
      <c r="G52" s="178" t="e">
        <f>C52*$D$5*'Input data'!K89/1000-E52</f>
        <v>#REF!</v>
      </c>
      <c r="H52" s="178" t="e">
        <f>D52*$D$4*'Input data'!K89/1000-F52</f>
        <v>#REF!</v>
      </c>
      <c r="J52" s="178" t="e">
        <f>D52*$D$7*'Input data'!K89/1000</f>
        <v>#REF!</v>
      </c>
      <c r="K52" s="1194"/>
      <c r="L52" t="e">
        <f>'Input data'!#REF!</f>
        <v>#REF!</v>
      </c>
      <c r="M52" t="e">
        <f>'Input data'!#REF!</f>
        <v>#REF!</v>
      </c>
      <c r="N52">
        <v>0</v>
      </c>
      <c r="O52">
        <v>0</v>
      </c>
      <c r="P52" s="178" t="e">
        <f>L52*$D$5*'Input data'!U89/1000-N52</f>
        <v>#REF!</v>
      </c>
      <c r="Q52" s="178" t="e">
        <f>M52*$D$4*'Input data'!U89/1000-O52</f>
        <v>#REF!</v>
      </c>
      <c r="S52" s="178" t="e">
        <f>M52*$D$7*'Input data'!U89/1000</f>
        <v>#REF!</v>
      </c>
    </row>
    <row r="53" spans="1:27" ht="14.45" hidden="1" customHeight="1">
      <c r="A53" s="123">
        <f>'Input data'!A90</f>
        <v>1990</v>
      </c>
      <c r="B53" s="1194"/>
      <c r="C53" t="e">
        <f>'Input data'!#REF!</f>
        <v>#REF!</v>
      </c>
      <c r="D53" t="e">
        <f>'Input data'!#REF!</f>
        <v>#REF!</v>
      </c>
      <c r="E53">
        <v>0</v>
      </c>
      <c r="F53">
        <v>0</v>
      </c>
      <c r="G53" s="178" t="e">
        <f>C53*$D$5*'Input data'!K90/1000-E53</f>
        <v>#REF!</v>
      </c>
      <c r="H53" s="178" t="e">
        <f>D53*$D$4*'Input data'!K90/1000-F53</f>
        <v>#REF!</v>
      </c>
      <c r="J53" s="178" t="e">
        <f>D53*$D$7*'Input data'!K90/1000</f>
        <v>#REF!</v>
      </c>
      <c r="K53" s="1194"/>
      <c r="L53" t="e">
        <f>'Input data'!#REF!</f>
        <v>#REF!</v>
      </c>
      <c r="M53" t="e">
        <f>'Input data'!#REF!</f>
        <v>#REF!</v>
      </c>
      <c r="N53">
        <v>0</v>
      </c>
      <c r="O53">
        <v>0</v>
      </c>
      <c r="P53" s="178" t="e">
        <f>L53*$D$5*'Input data'!U90/1000-N53</f>
        <v>#REF!</v>
      </c>
      <c r="Q53" s="178" t="e">
        <f>M53*$D$4*'Input data'!U90/1000-O53</f>
        <v>#REF!</v>
      </c>
      <c r="S53" s="178" t="e">
        <f>M53*$D$7*'Input data'!U90/1000</f>
        <v>#REF!</v>
      </c>
    </row>
    <row r="54" spans="1:27" ht="14.45" hidden="1" customHeight="1">
      <c r="A54" s="123">
        <f>'Input data'!A91</f>
        <v>1991</v>
      </c>
      <c r="B54" s="1194"/>
      <c r="C54" t="e">
        <f>'Input data'!#REF!</f>
        <v>#REF!</v>
      </c>
      <c r="D54" t="e">
        <f>'Input data'!#REF!</f>
        <v>#REF!</v>
      </c>
      <c r="E54">
        <v>0</v>
      </c>
      <c r="F54">
        <v>0</v>
      </c>
      <c r="G54" s="178" t="e">
        <f>C54*$D$5*'Input data'!K91/1000-E54</f>
        <v>#REF!</v>
      </c>
      <c r="H54" s="178" t="e">
        <f>D54*$D$4*'Input data'!K91/1000-F54</f>
        <v>#REF!</v>
      </c>
      <c r="J54" s="178" t="e">
        <f>D54*$D$7*'Input data'!K91/1000</f>
        <v>#REF!</v>
      </c>
      <c r="K54" s="1194"/>
      <c r="L54" t="e">
        <f>'Input data'!#REF!</f>
        <v>#REF!</v>
      </c>
      <c r="M54" t="e">
        <f>'Input data'!#REF!</f>
        <v>#REF!</v>
      </c>
      <c r="N54">
        <v>0</v>
      </c>
      <c r="O54">
        <v>0</v>
      </c>
      <c r="P54" s="178" t="e">
        <f>L54*$D$5*'Input data'!U91/1000-N54</f>
        <v>#REF!</v>
      </c>
      <c r="Q54" s="178" t="e">
        <f>M54*$D$4*'Input data'!U91/1000-O54</f>
        <v>#REF!</v>
      </c>
      <c r="S54" s="178" t="e">
        <f>M54*$D$7*'Input data'!U91/1000</f>
        <v>#REF!</v>
      </c>
    </row>
    <row r="55" spans="1:27" ht="14.45" hidden="1" customHeight="1">
      <c r="A55" s="123">
        <f>'Input data'!A92</f>
        <v>1992</v>
      </c>
      <c r="B55" s="1194"/>
      <c r="C55" t="e">
        <f>'Input data'!#REF!</f>
        <v>#REF!</v>
      </c>
      <c r="D55" t="e">
        <f>'Input data'!#REF!</f>
        <v>#REF!</v>
      </c>
      <c r="E55">
        <v>0</v>
      </c>
      <c r="F55">
        <v>0</v>
      </c>
      <c r="G55" s="178" t="e">
        <f>C55*$D$5*'Input data'!K92/1000-E55</f>
        <v>#REF!</v>
      </c>
      <c r="H55" s="178" t="e">
        <f>D55*$D$4*'Input data'!K92/1000-F55</f>
        <v>#REF!</v>
      </c>
      <c r="J55" s="178" t="e">
        <f>D55*$D$7*'Input data'!K92/1000</f>
        <v>#REF!</v>
      </c>
      <c r="K55" s="1194"/>
      <c r="L55" t="e">
        <f>'Input data'!#REF!</f>
        <v>#REF!</v>
      </c>
      <c r="M55" t="e">
        <f>'Input data'!#REF!</f>
        <v>#REF!</v>
      </c>
      <c r="N55">
        <v>0</v>
      </c>
      <c r="O55">
        <v>0</v>
      </c>
      <c r="P55" s="178" t="e">
        <f>L55*$D$5*'Input data'!U92/1000-N55</f>
        <v>#REF!</v>
      </c>
      <c r="Q55" s="178" t="e">
        <f>M55*$D$4*'Input data'!U92/1000-O55</f>
        <v>#REF!</v>
      </c>
      <c r="S55" s="178" t="e">
        <f>M55*$D$7*'Input data'!U92/1000</f>
        <v>#REF!</v>
      </c>
    </row>
    <row r="56" spans="1:27" ht="14.45" hidden="1" customHeight="1">
      <c r="A56" s="123">
        <f>'Input data'!A93</f>
        <v>1993</v>
      </c>
      <c r="B56" s="1194"/>
      <c r="C56" t="e">
        <f>'Input data'!#REF!</f>
        <v>#REF!</v>
      </c>
      <c r="D56" t="e">
        <f>'Input data'!#REF!</f>
        <v>#REF!</v>
      </c>
      <c r="E56">
        <v>0</v>
      </c>
      <c r="F56">
        <v>0</v>
      </c>
      <c r="G56" s="178" t="e">
        <f>C56*$D$5*'Input data'!K93/1000-E56</f>
        <v>#REF!</v>
      </c>
      <c r="H56" s="178" t="e">
        <f>D56*$D$4*'Input data'!K93/1000-F56</f>
        <v>#REF!</v>
      </c>
      <c r="J56" s="178" t="e">
        <f>D56*$D$7*'Input data'!K93/1000</f>
        <v>#REF!</v>
      </c>
      <c r="K56" s="1194"/>
      <c r="L56" t="e">
        <f>'Input data'!#REF!</f>
        <v>#REF!</v>
      </c>
      <c r="M56" t="e">
        <f>'Input data'!#REF!</f>
        <v>#REF!</v>
      </c>
      <c r="N56">
        <v>0</v>
      </c>
      <c r="O56">
        <v>0</v>
      </c>
      <c r="P56" s="178" t="e">
        <f>L56*$D$5*'Input data'!U93/1000-N56</f>
        <v>#REF!</v>
      </c>
      <c r="Q56" s="178" t="e">
        <f>M56*$D$4*'Input data'!U93/1000-O56</f>
        <v>#REF!</v>
      </c>
      <c r="S56" s="178" t="e">
        <f>M56*$D$7*'Input data'!U93/1000</f>
        <v>#REF!</v>
      </c>
    </row>
    <row r="57" spans="1:27" ht="14.45" hidden="1" customHeight="1">
      <c r="A57" s="123">
        <f>'Input data'!A94</f>
        <v>1994</v>
      </c>
      <c r="B57" s="1194"/>
      <c r="C57" t="e">
        <f>'Input data'!#REF!</f>
        <v>#REF!</v>
      </c>
      <c r="D57" t="e">
        <f>'Input data'!#REF!</f>
        <v>#REF!</v>
      </c>
      <c r="E57">
        <v>0</v>
      </c>
      <c r="F57">
        <v>0</v>
      </c>
      <c r="G57" s="178" t="e">
        <f>C57*$D$5*'Input data'!K94/1000-E57</f>
        <v>#REF!</v>
      </c>
      <c r="H57" s="178" t="e">
        <f>D57*$D$4*'Input data'!K94/1000-F57</f>
        <v>#REF!</v>
      </c>
      <c r="J57" s="178" t="e">
        <f>D57*$D$7*'Input data'!K94/1000</f>
        <v>#REF!</v>
      </c>
      <c r="K57" s="1194"/>
      <c r="L57" t="e">
        <f>'Input data'!#REF!</f>
        <v>#REF!</v>
      </c>
      <c r="M57" t="e">
        <f>'Input data'!#REF!</f>
        <v>#REF!</v>
      </c>
      <c r="N57">
        <v>0</v>
      </c>
      <c r="O57">
        <v>0</v>
      </c>
      <c r="P57" s="178" t="e">
        <f>L57*$D$5*'Input data'!U94/1000-N57</f>
        <v>#REF!</v>
      </c>
      <c r="Q57" s="178" t="e">
        <f>M57*$D$4*'Input data'!U94/1000-O57</f>
        <v>#REF!</v>
      </c>
      <c r="S57" s="178" t="e">
        <f>M57*$D$7*'Input data'!U94/1000</f>
        <v>#REF!</v>
      </c>
    </row>
    <row r="58" spans="1:27" ht="14.45" hidden="1" customHeight="1">
      <c r="A58" s="123">
        <f>'Input data'!A95</f>
        <v>1995</v>
      </c>
      <c r="B58" s="1194"/>
      <c r="C58" t="e">
        <f>'Input data'!#REF!</f>
        <v>#REF!</v>
      </c>
      <c r="D58" t="e">
        <f>'Input data'!#REF!</f>
        <v>#REF!</v>
      </c>
      <c r="E58">
        <v>0</v>
      </c>
      <c r="F58">
        <v>0</v>
      </c>
      <c r="G58" s="178" t="e">
        <f>C58*$D$5*'Input data'!K95/1000-E58</f>
        <v>#REF!</v>
      </c>
      <c r="H58" s="178" t="e">
        <f>D58*$D$4*'Input data'!K95/1000-F58</f>
        <v>#REF!</v>
      </c>
      <c r="J58" s="178" t="e">
        <f>D58*$D$7*'Input data'!K95/1000</f>
        <v>#REF!</v>
      </c>
      <c r="K58" s="1194"/>
      <c r="L58" t="e">
        <f>'Input data'!#REF!</f>
        <v>#REF!</v>
      </c>
      <c r="M58" t="e">
        <f>'Input data'!#REF!</f>
        <v>#REF!</v>
      </c>
      <c r="N58">
        <v>0</v>
      </c>
      <c r="O58">
        <v>0</v>
      </c>
      <c r="P58" s="178" t="e">
        <f>L58*$D$5*'Input data'!U95/1000-N58</f>
        <v>#REF!</v>
      </c>
      <c r="Q58" s="178" t="e">
        <f>M58*$D$4*'Input data'!U95/1000-O58</f>
        <v>#REF!</v>
      </c>
      <c r="S58" s="178" t="e">
        <f>M58*$D$7*'Input data'!U95/1000</f>
        <v>#REF!</v>
      </c>
    </row>
    <row r="59" spans="1:27" ht="14.45" hidden="1" customHeight="1">
      <c r="A59" s="123">
        <f>'Input data'!A96</f>
        <v>1996</v>
      </c>
      <c r="B59" s="1194"/>
      <c r="C59" t="e">
        <f>'Input data'!#REF!</f>
        <v>#REF!</v>
      </c>
      <c r="D59" t="e">
        <f>'Input data'!#REF!</f>
        <v>#REF!</v>
      </c>
      <c r="E59">
        <v>0</v>
      </c>
      <c r="F59">
        <v>0</v>
      </c>
      <c r="G59" s="178" t="e">
        <f>C59*$D$5*'Input data'!K96/1000-E59</f>
        <v>#REF!</v>
      </c>
      <c r="H59" s="178" t="e">
        <f>D59*$D$4*'Input data'!K96/1000-F59</f>
        <v>#REF!</v>
      </c>
      <c r="J59" s="178" t="e">
        <f>D59*$D$7*'Input data'!K96/1000</f>
        <v>#REF!</v>
      </c>
      <c r="K59" s="1194"/>
      <c r="L59" t="e">
        <f>'Input data'!#REF!</f>
        <v>#REF!</v>
      </c>
      <c r="M59" t="e">
        <f>'Input data'!#REF!</f>
        <v>#REF!</v>
      </c>
      <c r="N59">
        <v>0</v>
      </c>
      <c r="O59">
        <v>0</v>
      </c>
      <c r="P59" s="178" t="e">
        <f>L59*$D$5*'Input data'!U96/1000-N59</f>
        <v>#REF!</v>
      </c>
      <c r="Q59" s="178" t="e">
        <f>M59*$D$4*'Input data'!U96/1000-O59</f>
        <v>#REF!</v>
      </c>
      <c r="S59" s="178" t="e">
        <f>M59*$D$7*'Input data'!U96/1000</f>
        <v>#REF!</v>
      </c>
    </row>
    <row r="60" spans="1:27" ht="14.45" hidden="1" customHeight="1">
      <c r="A60" s="123">
        <f>'Input data'!A97</f>
        <v>1997</v>
      </c>
      <c r="B60" s="1194"/>
      <c r="C60" t="e">
        <f>'Input data'!#REF!</f>
        <v>#REF!</v>
      </c>
      <c r="D60" t="e">
        <f>'Input data'!#REF!</f>
        <v>#REF!</v>
      </c>
      <c r="E60">
        <v>0</v>
      </c>
      <c r="F60">
        <v>0</v>
      </c>
      <c r="G60" s="178" t="e">
        <f>C60*$D$5*'Input data'!K97/1000-E60</f>
        <v>#REF!</v>
      </c>
      <c r="H60" s="178" t="e">
        <f>D60*$D$4*'Input data'!K97/1000-F60</f>
        <v>#REF!</v>
      </c>
      <c r="J60" s="178" t="e">
        <f>D60*$D$7*'Input data'!K97/1000</f>
        <v>#REF!</v>
      </c>
      <c r="K60" s="1194"/>
      <c r="L60" t="e">
        <f>'Input data'!#REF!</f>
        <v>#REF!</v>
      </c>
      <c r="M60" t="e">
        <f>'Input data'!#REF!</f>
        <v>#REF!</v>
      </c>
      <c r="N60">
        <v>0</v>
      </c>
      <c r="O60">
        <v>0</v>
      </c>
      <c r="P60" s="178" t="e">
        <f>L60*$D$5*'Input data'!U97/1000-N60</f>
        <v>#REF!</v>
      </c>
      <c r="Q60" s="178" t="e">
        <f>M60*$D$4*'Input data'!U97/1000-O60</f>
        <v>#REF!</v>
      </c>
      <c r="S60" s="178" t="e">
        <f>M60*$D$7*'Input data'!U97/1000</f>
        <v>#REF!</v>
      </c>
    </row>
    <row r="61" spans="1:27" ht="14.45" hidden="1" customHeight="1">
      <c r="A61" s="123">
        <f>'Input data'!A98</f>
        <v>1998</v>
      </c>
      <c r="B61" s="1194"/>
      <c r="C61" t="e">
        <f>'Input data'!#REF!</f>
        <v>#REF!</v>
      </c>
      <c r="D61" t="e">
        <f>'Input data'!#REF!</f>
        <v>#REF!</v>
      </c>
      <c r="E61">
        <v>0</v>
      </c>
      <c r="F61">
        <v>0</v>
      </c>
      <c r="G61" s="178" t="e">
        <f>C61*$D$5*'Input data'!K98/1000-E61</f>
        <v>#REF!</v>
      </c>
      <c r="H61" s="178" t="e">
        <f>D61*$D$4*'Input data'!K98/1000-F61</f>
        <v>#REF!</v>
      </c>
      <c r="J61" s="178" t="e">
        <f>D61*$D$7*'Input data'!K98/1000</f>
        <v>#REF!</v>
      </c>
      <c r="K61" s="1194"/>
      <c r="L61" t="e">
        <f>'Input data'!#REF!</f>
        <v>#REF!</v>
      </c>
      <c r="M61" t="e">
        <f>'Input data'!#REF!</f>
        <v>#REF!</v>
      </c>
      <c r="N61">
        <v>0</v>
      </c>
      <c r="O61">
        <v>0</v>
      </c>
      <c r="P61" s="178" t="e">
        <f>L61*$D$5*'Input data'!U98/1000-N61</f>
        <v>#REF!</v>
      </c>
      <c r="Q61" s="178" t="e">
        <f>M61*$D$4*'Input data'!U98/1000-O61</f>
        <v>#REF!</v>
      </c>
      <c r="S61" s="178" t="e">
        <f>M61*$D$7*'Input data'!U98/1000</f>
        <v>#REF!</v>
      </c>
    </row>
    <row r="62" spans="1:27" ht="14.45" hidden="1" customHeight="1">
      <c r="A62" s="123">
        <f>'Input data'!A99</f>
        <v>1999</v>
      </c>
      <c r="B62" s="1194"/>
      <c r="C62" t="e">
        <f>'Input data'!#REF!</f>
        <v>#REF!</v>
      </c>
      <c r="D62" t="e">
        <f>'Input data'!#REF!</f>
        <v>#REF!</v>
      </c>
      <c r="E62">
        <v>0</v>
      </c>
      <c r="F62">
        <v>0</v>
      </c>
      <c r="G62" s="178" t="e">
        <f>C62*$D$5*'Input data'!K99/1000-E62</f>
        <v>#REF!</v>
      </c>
      <c r="H62" s="178" t="e">
        <f>D62*$D$4*'Input data'!K99/1000-F62</f>
        <v>#REF!</v>
      </c>
      <c r="J62" s="178" t="e">
        <f>D62*$D$7*'Input data'!K99/1000</f>
        <v>#REF!</v>
      </c>
      <c r="K62" s="1194"/>
      <c r="L62" t="e">
        <f>'Input data'!#REF!</f>
        <v>#REF!</v>
      </c>
      <c r="M62" t="e">
        <f>'Input data'!#REF!</f>
        <v>#REF!</v>
      </c>
      <c r="N62">
        <v>0</v>
      </c>
      <c r="O62">
        <v>0</v>
      </c>
      <c r="P62" s="178" t="e">
        <f>L62*$D$5*'Input data'!U99/1000-N62</f>
        <v>#REF!</v>
      </c>
      <c r="Q62" s="178" t="e">
        <f>M62*$D$4*'Input data'!U99/1000-O62</f>
        <v>#REF!</v>
      </c>
      <c r="S62" s="178" t="e">
        <f>M62*$D$7*'Input data'!U99/1000</f>
        <v>#REF!</v>
      </c>
    </row>
    <row r="63" spans="1:27">
      <c r="A63" s="123">
        <f>'Input data'!A100</f>
        <v>2000</v>
      </c>
      <c r="B63" s="419">
        <f>'Baseline data (from input)'!C56*'Baseline data (from input)'!U56*'Baseline data (from input)'!Z56</f>
        <v>945.60407088653449</v>
      </c>
      <c r="C63" s="114">
        <v>0</v>
      </c>
      <c r="D63" s="114">
        <f>1-C63</f>
        <v>1</v>
      </c>
      <c r="E63">
        <v>0</v>
      </c>
      <c r="F63">
        <v>0</v>
      </c>
      <c r="G63" s="472">
        <f>C63*$D$5*B63/1000-E63</f>
        <v>0</v>
      </c>
      <c r="H63" s="419">
        <f>D63*$D$4*B63/1000-F63</f>
        <v>3.7824162835461381</v>
      </c>
      <c r="I63" s="395"/>
      <c r="J63" s="178">
        <f>D63*$D$7*B63/1000</f>
        <v>0.22694497701276828</v>
      </c>
      <c r="K63" s="961">
        <f>'Baseline data (from input)'!AI56*'Baseline data (from input)'!AD56*'Baseline data (from input)'!AB56</f>
        <v>1063.5463990307462</v>
      </c>
      <c r="L63" s="647">
        <v>0</v>
      </c>
      <c r="M63" s="647">
        <f>1-L63</f>
        <v>1</v>
      </c>
      <c r="N63" s="115">
        <v>0</v>
      </c>
      <c r="O63" s="115">
        <v>0</v>
      </c>
      <c r="P63" s="737">
        <f>L63*$D$5*'Input data'!U100/1000-N63</f>
        <v>0</v>
      </c>
      <c r="Q63" s="738">
        <f>M63*$D$4*K63/1000-O63</f>
        <v>4.2541855961229853</v>
      </c>
      <c r="R63" s="115"/>
      <c r="S63" s="1195">
        <f>M63*$D$7*K63/1000</f>
        <v>0.25525113576737907</v>
      </c>
      <c r="T63" s="1196">
        <f>G63+P63</f>
        <v>0</v>
      </c>
      <c r="U63" s="1197">
        <f>H63+Q63</f>
        <v>8.0366018796691243</v>
      </c>
      <c r="V63" s="1197">
        <f>I63+R63</f>
        <v>0</v>
      </c>
      <c r="W63" s="1198">
        <f>J63+S63</f>
        <v>0.48219611278014735</v>
      </c>
      <c r="Z63" s="1399"/>
      <c r="AA63" s="1401"/>
    </row>
    <row r="64" spans="1:27">
      <c r="A64" s="123">
        <f>'Input data'!A101</f>
        <v>2001</v>
      </c>
      <c r="B64" s="419">
        <f>'Baseline data (from input)'!C57*'Baseline data (from input)'!U57*'Baseline data (from input)'!Z57</f>
        <v>965.16088235259679</v>
      </c>
      <c r="C64" s="114">
        <v>0</v>
      </c>
      <c r="D64" s="114">
        <f t="shared" ref="D64:D80" si="0">1-C64</f>
        <v>1</v>
      </c>
      <c r="E64">
        <v>0</v>
      </c>
      <c r="F64">
        <v>0</v>
      </c>
      <c r="G64" s="472">
        <f t="shared" ref="G64:G79" si="1">C64*$D$5*B64/1000-E64</f>
        <v>0</v>
      </c>
      <c r="H64" s="419">
        <f t="shared" ref="H64:H79" si="2">D64*$D$4*B64/1000-F64</f>
        <v>3.8606435294103871</v>
      </c>
      <c r="I64" s="395"/>
      <c r="J64" s="178">
        <f t="shared" ref="J64:J80" si="3">D64*$D$7*B64/1000</f>
        <v>0.23163861176462322</v>
      </c>
      <c r="K64" s="235">
        <f>'Baseline data (from input)'!AI57*'Baseline data (from input)'!AD57*'Baseline data (from input)'!AB57</f>
        <v>1092.2620940221007</v>
      </c>
      <c r="L64" s="114">
        <v>0</v>
      </c>
      <c r="M64" s="114">
        <f t="shared" ref="M64:M80" si="4">1-L64</f>
        <v>1</v>
      </c>
      <c r="N64">
        <v>0</v>
      </c>
      <c r="O64">
        <v>0</v>
      </c>
      <c r="P64" s="178">
        <f>L64*$D$5*'Input data'!U101/1000-N64</f>
        <v>0</v>
      </c>
      <c r="Q64" s="419">
        <f t="shared" ref="Q64:Q114" si="5">M64*$D$4*K64/1000-O64</f>
        <v>4.3690483760884025</v>
      </c>
      <c r="S64" s="1199">
        <f t="shared" ref="S64:S114" si="6">M64*$D$7*K64/1000</f>
        <v>0.26214290256530415</v>
      </c>
      <c r="T64" s="1200">
        <f t="shared" ref="T64:W80" si="7">G64+P64</f>
        <v>0</v>
      </c>
      <c r="U64" s="1201">
        <f t="shared" si="7"/>
        <v>8.2296919054987896</v>
      </c>
      <c r="V64" s="1201">
        <f t="shared" si="7"/>
        <v>0</v>
      </c>
      <c r="W64" s="1202">
        <f t="shared" si="7"/>
        <v>0.49378151432992734</v>
      </c>
      <c r="Z64" s="1399"/>
      <c r="AA64" s="1401"/>
    </row>
    <row r="65" spans="1:27">
      <c r="A65" s="123">
        <f>'Input data'!A102</f>
        <v>2002</v>
      </c>
      <c r="B65" s="419">
        <f>'Baseline data (from input)'!C58*'Baseline data (from input)'!U58*'Baseline data (from input)'!Z58</f>
        <v>978.54977635628575</v>
      </c>
      <c r="C65" s="114">
        <v>0</v>
      </c>
      <c r="D65" s="114">
        <f t="shared" si="0"/>
        <v>1</v>
      </c>
      <c r="E65">
        <v>0</v>
      </c>
      <c r="F65">
        <v>0</v>
      </c>
      <c r="G65" s="472">
        <f t="shared" si="1"/>
        <v>0</v>
      </c>
      <c r="H65" s="419">
        <f t="shared" si="2"/>
        <v>3.9141991054251428</v>
      </c>
      <c r="I65" s="395"/>
      <c r="J65" s="178">
        <f t="shared" si="3"/>
        <v>0.23485194632550857</v>
      </c>
      <c r="K65" s="235">
        <f>'Baseline data (from input)'!AI58*'Baseline data (from input)'!AD58*'Baseline data (from input)'!AB58</f>
        <v>1132.6799677868803</v>
      </c>
      <c r="L65" s="114">
        <v>0</v>
      </c>
      <c r="M65" s="114">
        <f t="shared" si="4"/>
        <v>1</v>
      </c>
      <c r="N65">
        <v>0</v>
      </c>
      <c r="O65">
        <v>0</v>
      </c>
      <c r="P65" s="178">
        <f>L65*$D$5*'Input data'!U102/1000-N65</f>
        <v>0</v>
      </c>
      <c r="Q65" s="419">
        <f>M65*$D$4*K65/1000-O65</f>
        <v>4.5307198711475216</v>
      </c>
      <c r="S65" s="1199">
        <f t="shared" si="6"/>
        <v>0.27184319226885129</v>
      </c>
      <c r="T65" s="1200">
        <f t="shared" si="7"/>
        <v>0</v>
      </c>
      <c r="U65" s="1201">
        <f t="shared" si="7"/>
        <v>8.444918976572664</v>
      </c>
      <c r="V65" s="1201">
        <f t="shared" si="7"/>
        <v>0</v>
      </c>
      <c r="W65" s="1202">
        <f t="shared" si="7"/>
        <v>0.50669513859435988</v>
      </c>
      <c r="Z65" s="1399"/>
      <c r="AA65" s="1401"/>
    </row>
    <row r="66" spans="1:27">
      <c r="A66" s="123">
        <f>'Input data'!A103</f>
        <v>2003</v>
      </c>
      <c r="B66" s="419">
        <f>'Baseline data (from input)'!C59*'Baseline data (from input)'!U59*'Baseline data (from input)'!Z59</f>
        <v>991.07903029553222</v>
      </c>
      <c r="C66" s="114">
        <v>0</v>
      </c>
      <c r="D66" s="114">
        <f t="shared" si="0"/>
        <v>1</v>
      </c>
      <c r="E66">
        <v>0</v>
      </c>
      <c r="F66">
        <v>0</v>
      </c>
      <c r="G66" s="472">
        <f t="shared" si="1"/>
        <v>0</v>
      </c>
      <c r="H66" s="419">
        <f t="shared" si="2"/>
        <v>3.9643161211821289</v>
      </c>
      <c r="I66" s="395"/>
      <c r="J66" s="178">
        <f t="shared" si="3"/>
        <v>0.23785896727092773</v>
      </c>
      <c r="K66" s="235">
        <f>'Baseline data (from input)'!AI59*'Baseline data (from input)'!AD59*'Baseline data (from input)'!AB59</f>
        <v>1166.0835964058617</v>
      </c>
      <c r="L66" s="114">
        <v>0</v>
      </c>
      <c r="M66" s="114">
        <f t="shared" si="4"/>
        <v>1</v>
      </c>
      <c r="N66">
        <v>0</v>
      </c>
      <c r="O66">
        <v>0</v>
      </c>
      <c r="P66" s="178">
        <f>L66*$D$5*'Input data'!U103/1000-N66</f>
        <v>0</v>
      </c>
      <c r="Q66" s="419">
        <f t="shared" si="5"/>
        <v>4.6643343856234472</v>
      </c>
      <c r="S66" s="1199">
        <f t="shared" si="6"/>
        <v>0.2798600631374068</v>
      </c>
      <c r="T66" s="1200">
        <f t="shared" si="7"/>
        <v>0</v>
      </c>
      <c r="U66" s="1201">
        <f t="shared" si="7"/>
        <v>8.6286505068055757</v>
      </c>
      <c r="V66" s="1201">
        <f t="shared" si="7"/>
        <v>0</v>
      </c>
      <c r="W66" s="1202">
        <f t="shared" si="7"/>
        <v>0.51771903040833456</v>
      </c>
      <c r="Z66" s="1399"/>
      <c r="AA66" s="1401"/>
    </row>
    <row r="67" spans="1:27">
      <c r="A67" s="123">
        <f>'Input data'!A104</f>
        <v>2004</v>
      </c>
      <c r="B67" s="419">
        <f>'Baseline data (from input)'!C60*'Baseline data (from input)'!U60*'Baseline data (from input)'!Z60</f>
        <v>1002.8775901800029</v>
      </c>
      <c r="C67" s="114">
        <v>0</v>
      </c>
      <c r="D67" s="114">
        <f t="shared" si="0"/>
        <v>1</v>
      </c>
      <c r="E67">
        <v>0</v>
      </c>
      <c r="F67">
        <v>0</v>
      </c>
      <c r="G67" s="472">
        <f t="shared" si="1"/>
        <v>0</v>
      </c>
      <c r="H67" s="419">
        <f t="shared" si="2"/>
        <v>4.0115103607200115</v>
      </c>
      <c r="I67" s="395"/>
      <c r="J67" s="178">
        <f t="shared" si="3"/>
        <v>0.24069062164320071</v>
      </c>
      <c r="K67" s="235">
        <f>'Baseline data (from input)'!AI60*'Baseline data (from input)'!AD60*'Baseline data (from input)'!AB60</f>
        <v>1219.1934888549595</v>
      </c>
      <c r="L67" s="114">
        <v>0</v>
      </c>
      <c r="M67" s="114">
        <f t="shared" si="4"/>
        <v>1</v>
      </c>
      <c r="N67">
        <v>0</v>
      </c>
      <c r="O67">
        <v>0</v>
      </c>
      <c r="P67" s="178">
        <f>L67*$D$5*'Input data'!U104/1000-N67</f>
        <v>0</v>
      </c>
      <c r="Q67" s="419">
        <f t="shared" si="5"/>
        <v>4.8767739554198375</v>
      </c>
      <c r="S67" s="1199">
        <f t="shared" si="6"/>
        <v>0.29260643732519026</v>
      </c>
      <c r="T67" s="1200">
        <f t="shared" si="7"/>
        <v>0</v>
      </c>
      <c r="U67" s="1201">
        <f t="shared" si="7"/>
        <v>8.888284316139849</v>
      </c>
      <c r="V67" s="1201">
        <f t="shared" si="7"/>
        <v>0</v>
      </c>
      <c r="W67" s="1202">
        <f t="shared" si="7"/>
        <v>0.53329705896839097</v>
      </c>
      <c r="Z67" s="1399"/>
      <c r="AA67" s="1401"/>
    </row>
    <row r="68" spans="1:27">
      <c r="A68" s="123">
        <f>'Input data'!A105</f>
        <v>2005</v>
      </c>
      <c r="B68" s="419">
        <f>'Baseline data (from input)'!C61*'Baseline data (from input)'!U61*'Baseline data (from input)'!Z61</f>
        <v>1014.3322940386965</v>
      </c>
      <c r="C68" s="114">
        <v>0</v>
      </c>
      <c r="D68" s="114">
        <f t="shared" si="0"/>
        <v>1</v>
      </c>
      <c r="E68">
        <v>0</v>
      </c>
      <c r="F68">
        <v>0</v>
      </c>
      <c r="G68" s="472">
        <f t="shared" si="1"/>
        <v>0</v>
      </c>
      <c r="H68" s="419">
        <f t="shared" si="2"/>
        <v>4.0573291761547861</v>
      </c>
      <c r="I68" s="395"/>
      <c r="J68" s="178">
        <f t="shared" si="3"/>
        <v>0.24343975056928716</v>
      </c>
      <c r="K68" s="235">
        <f>'Baseline data (from input)'!AI61*'Baseline data (from input)'!AD61*'Baseline data (from input)'!AB61</f>
        <v>1283.531015814073</v>
      </c>
      <c r="L68" s="114">
        <v>0</v>
      </c>
      <c r="M68" s="114">
        <f t="shared" si="4"/>
        <v>1</v>
      </c>
      <c r="N68">
        <v>0</v>
      </c>
      <c r="O68">
        <v>0</v>
      </c>
      <c r="P68" s="178">
        <f>L68*$D$5*'Input data'!U105/1000-N68</f>
        <v>0</v>
      </c>
      <c r="Q68" s="419">
        <f t="shared" si="5"/>
        <v>5.1341240632562926</v>
      </c>
      <c r="S68" s="1199">
        <f t="shared" si="6"/>
        <v>0.30804744379537757</v>
      </c>
      <c r="T68" s="1200">
        <f t="shared" si="7"/>
        <v>0</v>
      </c>
      <c r="U68" s="1201">
        <f t="shared" si="7"/>
        <v>9.1914532394110786</v>
      </c>
      <c r="V68" s="1201">
        <f t="shared" si="7"/>
        <v>0</v>
      </c>
      <c r="W68" s="1202">
        <f t="shared" si="7"/>
        <v>0.55148719436466476</v>
      </c>
      <c r="Z68" s="1399"/>
      <c r="AA68" s="1401"/>
    </row>
    <row r="69" spans="1:27">
      <c r="A69" s="123">
        <f>'Input data'!A106</f>
        <v>2006</v>
      </c>
      <c r="B69" s="419">
        <f>'Baseline data (from input)'!C62*'Baseline data (from input)'!U62*'Baseline data (from input)'!Z62</f>
        <v>1025.7869978973904</v>
      </c>
      <c r="C69" s="114">
        <v>0</v>
      </c>
      <c r="D69" s="114">
        <f t="shared" si="0"/>
        <v>1</v>
      </c>
      <c r="E69">
        <v>0</v>
      </c>
      <c r="F69">
        <v>0</v>
      </c>
      <c r="G69" s="472">
        <f t="shared" si="1"/>
        <v>0</v>
      </c>
      <c r="H69" s="419">
        <f t="shared" si="2"/>
        <v>4.1031479915895614</v>
      </c>
      <c r="I69" s="395"/>
      <c r="J69" s="178">
        <f t="shared" si="3"/>
        <v>0.24618887949537369</v>
      </c>
      <c r="K69" s="235">
        <f>'Baseline data (from input)'!AI62*'Baseline data (from input)'!AD62*'Baseline data (from input)'!AB62</f>
        <v>1355.4574968051304</v>
      </c>
      <c r="L69" s="114">
        <v>0</v>
      </c>
      <c r="M69" s="114">
        <f t="shared" si="4"/>
        <v>1</v>
      </c>
      <c r="N69">
        <v>0</v>
      </c>
      <c r="O69">
        <v>0</v>
      </c>
      <c r="P69" s="178">
        <f>L69*$D$5*'Input data'!U106/1000-N69</f>
        <v>0</v>
      </c>
      <c r="Q69" s="419">
        <f t="shared" si="5"/>
        <v>5.421829987220522</v>
      </c>
      <c r="S69" s="1199">
        <f t="shared" si="6"/>
        <v>0.32530979923323128</v>
      </c>
      <c r="T69" s="1200">
        <f t="shared" si="7"/>
        <v>0</v>
      </c>
      <c r="U69" s="1201">
        <f t="shared" si="7"/>
        <v>9.5249779788100835</v>
      </c>
      <c r="V69" s="1201">
        <f t="shared" si="7"/>
        <v>0</v>
      </c>
      <c r="W69" s="1202">
        <f t="shared" si="7"/>
        <v>0.57149867872860494</v>
      </c>
      <c r="Z69" s="1399"/>
      <c r="AA69" s="1401"/>
    </row>
    <row r="70" spans="1:27">
      <c r="A70" s="123">
        <f>'Input data'!A107</f>
        <v>2007</v>
      </c>
      <c r="B70" s="419">
        <f>'Baseline data (from input)'!C63*'Baseline data (from input)'!U63*'Baseline data (from input)'!Z63</f>
        <v>1037.0912647448067</v>
      </c>
      <c r="C70" s="114">
        <v>0</v>
      </c>
      <c r="D70" s="114">
        <f t="shared" si="0"/>
        <v>1</v>
      </c>
      <c r="E70">
        <v>0</v>
      </c>
      <c r="F70">
        <v>0</v>
      </c>
      <c r="G70" s="472">
        <f t="shared" si="1"/>
        <v>0</v>
      </c>
      <c r="H70" s="419">
        <f t="shared" si="2"/>
        <v>4.1483650589792269</v>
      </c>
      <c r="I70" s="395"/>
      <c r="J70" s="178">
        <f t="shared" si="3"/>
        <v>0.2489019035387536</v>
      </c>
      <c r="K70" s="235">
        <f>'Baseline data (from input)'!AI63*'Baseline data (from input)'!AD63*'Baseline data (from input)'!AB63</f>
        <v>1428.1164691341216</v>
      </c>
      <c r="L70" s="114">
        <v>0</v>
      </c>
      <c r="M70" s="114">
        <f t="shared" si="4"/>
        <v>1</v>
      </c>
      <c r="N70">
        <v>0</v>
      </c>
      <c r="O70">
        <v>0</v>
      </c>
      <c r="P70" s="178">
        <f>L70*$D$5*'Input data'!U107/1000-N70</f>
        <v>0</v>
      </c>
      <c r="Q70" s="419">
        <f t="shared" si="5"/>
        <v>5.7124658765364869</v>
      </c>
      <c r="S70" s="1199">
        <f t="shared" si="6"/>
        <v>0.34274795259218915</v>
      </c>
      <c r="T70" s="1200">
        <f t="shared" si="7"/>
        <v>0</v>
      </c>
      <c r="U70" s="1201">
        <f t="shared" si="7"/>
        <v>9.8608309355157147</v>
      </c>
      <c r="V70" s="1201">
        <f t="shared" si="7"/>
        <v>0</v>
      </c>
      <c r="W70" s="1202">
        <f t="shared" si="7"/>
        <v>0.59164985613094279</v>
      </c>
      <c r="Z70" s="1399"/>
      <c r="AA70" s="1401"/>
    </row>
    <row r="71" spans="1:27">
      <c r="A71" s="123">
        <f>'Input data'!A108</f>
        <v>2008</v>
      </c>
      <c r="B71" s="419">
        <f>'Baseline data (from input)'!C64*'Baseline data (from input)'!U64*'Baseline data (from input)'!Z64</f>
        <v>1048.6104416083335</v>
      </c>
      <c r="C71" s="114">
        <v>0</v>
      </c>
      <c r="D71" s="114">
        <f t="shared" si="0"/>
        <v>1</v>
      </c>
      <c r="E71">
        <v>0</v>
      </c>
      <c r="F71">
        <v>0</v>
      </c>
      <c r="G71" s="472">
        <f t="shared" si="1"/>
        <v>0</v>
      </c>
      <c r="H71" s="419">
        <f t="shared" si="2"/>
        <v>4.194441766433334</v>
      </c>
      <c r="I71" s="395"/>
      <c r="J71" s="178">
        <f t="shared" si="3"/>
        <v>0.25166650598600004</v>
      </c>
      <c r="K71" s="235">
        <f>'Baseline data (from input)'!AI64*'Baseline data (from input)'!AD64*'Baseline data (from input)'!AB64</f>
        <v>1473.6883331801102</v>
      </c>
      <c r="L71" s="114">
        <v>0</v>
      </c>
      <c r="M71" s="114">
        <f t="shared" si="4"/>
        <v>1</v>
      </c>
      <c r="N71">
        <v>0</v>
      </c>
      <c r="O71">
        <v>0</v>
      </c>
      <c r="P71" s="178">
        <f>L71*$D$5*'Input data'!U108/1000-N71</f>
        <v>0</v>
      </c>
      <c r="Q71" s="419">
        <f t="shared" si="5"/>
        <v>5.8947533327204411</v>
      </c>
      <c r="S71" s="1199">
        <f t="shared" si="6"/>
        <v>0.35368519996322645</v>
      </c>
      <c r="T71" s="1200">
        <f t="shared" si="7"/>
        <v>0</v>
      </c>
      <c r="U71" s="1201">
        <f t="shared" si="7"/>
        <v>10.089195099153775</v>
      </c>
      <c r="V71" s="1201">
        <f t="shared" si="7"/>
        <v>0</v>
      </c>
      <c r="W71" s="1202">
        <f t="shared" si="7"/>
        <v>0.60535170594922649</v>
      </c>
      <c r="Z71" s="1399"/>
      <c r="AA71" s="1401"/>
    </row>
    <row r="72" spans="1:27">
      <c r="A72" s="123">
        <f>'Input data'!A109</f>
        <v>2009</v>
      </c>
      <c r="B72" s="419">
        <f>'Baseline data (from input)'!C65*'Baseline data (from input)'!U65*'Baseline data (from input)'!Z65</f>
        <v>1059.9361994573608</v>
      </c>
      <c r="C72" s="114">
        <v>0</v>
      </c>
      <c r="D72" s="114">
        <f t="shared" si="0"/>
        <v>1</v>
      </c>
      <c r="E72">
        <v>0</v>
      </c>
      <c r="F72">
        <v>0</v>
      </c>
      <c r="G72" s="472">
        <f t="shared" si="1"/>
        <v>0</v>
      </c>
      <c r="H72" s="419">
        <f t="shared" si="2"/>
        <v>4.2397447978294434</v>
      </c>
      <c r="I72" s="395"/>
      <c r="J72" s="178">
        <f t="shared" si="3"/>
        <v>0.25438468786976659</v>
      </c>
      <c r="K72" s="235">
        <f>'Baseline data (from input)'!AI65*'Baseline data (from input)'!AD65*'Baseline data (from input)'!AB65</f>
        <v>1451.0216901110643</v>
      </c>
      <c r="L72" s="114">
        <v>0</v>
      </c>
      <c r="M72" s="114">
        <f t="shared" si="4"/>
        <v>1</v>
      </c>
      <c r="N72">
        <v>0</v>
      </c>
      <c r="O72">
        <v>0</v>
      </c>
      <c r="P72" s="178">
        <f>L72*$D$5*'Input data'!U109/1000-N72</f>
        <v>0</v>
      </c>
      <c r="Q72" s="419">
        <f t="shared" si="5"/>
        <v>5.8040867604442576</v>
      </c>
      <c r="S72" s="1199">
        <f t="shared" si="6"/>
        <v>0.34824520562665545</v>
      </c>
      <c r="T72" s="1200">
        <f t="shared" si="7"/>
        <v>0</v>
      </c>
      <c r="U72" s="1201">
        <f t="shared" si="7"/>
        <v>10.043831558273702</v>
      </c>
      <c r="V72" s="1201">
        <f t="shared" si="7"/>
        <v>0</v>
      </c>
      <c r="W72" s="1202">
        <f t="shared" si="7"/>
        <v>0.60262989349642204</v>
      </c>
      <c r="Z72" s="1399"/>
      <c r="AA72" s="1401"/>
    </row>
    <row r="73" spans="1:27">
      <c r="A73" s="123">
        <f>'Input data'!A110</f>
        <v>2010</v>
      </c>
      <c r="B73" s="419">
        <f>'Baseline data (from input)'!C66*'Baseline data (from input)'!U66*'Baseline data (from input)'!Z66</f>
        <v>1393.6695930858416</v>
      </c>
      <c r="C73" s="114">
        <v>0</v>
      </c>
      <c r="D73" s="114">
        <f t="shared" si="0"/>
        <v>1</v>
      </c>
      <c r="E73">
        <v>0</v>
      </c>
      <c r="F73">
        <v>0</v>
      </c>
      <c r="G73" s="472">
        <f t="shared" si="1"/>
        <v>0</v>
      </c>
      <c r="H73" s="419">
        <f t="shared" si="2"/>
        <v>5.5746783723433664</v>
      </c>
      <c r="I73" s="395"/>
      <c r="J73" s="178">
        <f t="shared" si="3"/>
        <v>0.33448070234060195</v>
      </c>
      <c r="K73" s="235">
        <f>'Baseline data (from input)'!AI66*'Baseline data (from input)'!AD66*'Baseline data (from input)'!AB66</f>
        <v>1495.1288435431941</v>
      </c>
      <c r="L73" s="114">
        <v>0</v>
      </c>
      <c r="M73" s="114">
        <f t="shared" si="4"/>
        <v>1</v>
      </c>
      <c r="N73">
        <v>0</v>
      </c>
      <c r="O73">
        <v>0</v>
      </c>
      <c r="P73" s="178">
        <f>L73*$D$5*'Input data'!U110/1000-N73</f>
        <v>0</v>
      </c>
      <c r="Q73" s="419">
        <f t="shared" si="5"/>
        <v>5.9805153741727759</v>
      </c>
      <c r="S73" s="1199">
        <f t="shared" si="6"/>
        <v>0.35883092245036657</v>
      </c>
      <c r="T73" s="1200">
        <f t="shared" si="7"/>
        <v>0</v>
      </c>
      <c r="U73" s="1201">
        <f t="shared" si="7"/>
        <v>11.555193746516142</v>
      </c>
      <c r="V73" s="1201">
        <f t="shared" si="7"/>
        <v>0</v>
      </c>
      <c r="W73" s="1202">
        <f t="shared" si="7"/>
        <v>0.69331162479096853</v>
      </c>
      <c r="Z73" s="1399"/>
      <c r="AA73" s="1401"/>
    </row>
    <row r="74" spans="1:27">
      <c r="A74" s="123">
        <f>'Input data'!A111</f>
        <v>2011</v>
      </c>
      <c r="B74" s="419">
        <f>'Baseline data (from input)'!C67*'Baseline data (from input)'!U67*'Baseline data (from input)'!Z67</f>
        <v>1755.3483663853285</v>
      </c>
      <c r="C74" s="114">
        <v>0.05</v>
      </c>
      <c r="D74" s="114">
        <f t="shared" si="0"/>
        <v>0.95</v>
      </c>
      <c r="E74">
        <v>0</v>
      </c>
      <c r="F74">
        <v>0</v>
      </c>
      <c r="G74" s="472">
        <f t="shared" si="1"/>
        <v>7.021393465541316E-2</v>
      </c>
      <c r="H74" s="419">
        <f t="shared" si="2"/>
        <v>6.6703237922642487</v>
      </c>
      <c r="I74" s="395"/>
      <c r="J74" s="178">
        <f t="shared" si="3"/>
        <v>0.40021942753585488</v>
      </c>
      <c r="K74" s="235">
        <f>'Baseline data (from input)'!AI67*'Baseline data (from input)'!AD67*'Baseline data (from input)'!AB67</f>
        <v>1544.2313887046928</v>
      </c>
      <c r="L74" s="114">
        <v>0.1</v>
      </c>
      <c r="M74" s="114">
        <f t="shared" si="4"/>
        <v>0.9</v>
      </c>
      <c r="N74">
        <v>0</v>
      </c>
      <c r="O74">
        <v>0</v>
      </c>
      <c r="P74" s="178">
        <f>L74*$D$5*K74/1000-N74</f>
        <v>0.12353851109637544</v>
      </c>
      <c r="Q74" s="419">
        <f t="shared" si="5"/>
        <v>5.5592329993368939</v>
      </c>
      <c r="S74" s="1199">
        <f t="shared" si="6"/>
        <v>0.33355397996021369</v>
      </c>
      <c r="T74" s="1200">
        <f t="shared" si="7"/>
        <v>0.1937524457517886</v>
      </c>
      <c r="U74" s="1201">
        <f t="shared" si="7"/>
        <v>12.229556791601143</v>
      </c>
      <c r="V74" s="1201">
        <f t="shared" si="7"/>
        <v>0</v>
      </c>
      <c r="W74" s="1202">
        <f t="shared" si="7"/>
        <v>0.73377340749606856</v>
      </c>
      <c r="Z74" s="1399"/>
      <c r="AA74" s="1401"/>
    </row>
    <row r="75" spans="1:27">
      <c r="A75" s="123">
        <f>'Input data'!A112</f>
        <v>2012</v>
      </c>
      <c r="B75" s="419">
        <f>'Baseline data (from input)'!C68*'Baseline data (from input)'!U68*'Baseline data (from input)'!Z68</f>
        <v>2060.099151127069</v>
      </c>
      <c r="C75" s="114">
        <v>0.05</v>
      </c>
      <c r="D75" s="114">
        <f t="shared" si="0"/>
        <v>0.95</v>
      </c>
      <c r="E75">
        <v>0</v>
      </c>
      <c r="F75">
        <v>0</v>
      </c>
      <c r="G75" s="472">
        <f t="shared" si="1"/>
        <v>8.240396604508278E-2</v>
      </c>
      <c r="H75" s="419">
        <f t="shared" si="2"/>
        <v>7.8283767742828623</v>
      </c>
      <c r="I75" s="395"/>
      <c r="J75" s="178">
        <f t="shared" si="3"/>
        <v>0.46970260645697171</v>
      </c>
      <c r="K75" s="235">
        <f>'Baseline data (from input)'!AI68*'Baseline data (from input)'!AD68*'Baseline data (from input)'!AB68</f>
        <v>1578.410708393264</v>
      </c>
      <c r="L75" s="114">
        <v>0.1</v>
      </c>
      <c r="M75" s="114">
        <f t="shared" si="4"/>
        <v>0.9</v>
      </c>
      <c r="N75">
        <v>0</v>
      </c>
      <c r="O75">
        <v>0</v>
      </c>
      <c r="P75" s="178">
        <f t="shared" ref="P75:P114" si="8">L75*$D$5*K75/1000-N75</f>
        <v>0.12627285667146115</v>
      </c>
      <c r="Q75" s="419">
        <f t="shared" si="5"/>
        <v>5.6822785502157505</v>
      </c>
      <c r="S75" s="1199">
        <f t="shared" si="6"/>
        <v>0.34093671301294498</v>
      </c>
      <c r="T75" s="1200">
        <f t="shared" si="7"/>
        <v>0.20867682271654392</v>
      </c>
      <c r="U75" s="1201">
        <f t="shared" si="7"/>
        <v>13.510655324498613</v>
      </c>
      <c r="V75" s="1201">
        <f t="shared" si="7"/>
        <v>0</v>
      </c>
      <c r="W75" s="1202">
        <f t="shared" si="7"/>
        <v>0.81063931946991663</v>
      </c>
      <c r="Z75" s="1399"/>
      <c r="AA75" s="1401"/>
    </row>
    <row r="76" spans="1:27">
      <c r="A76" s="123">
        <f>'Input data'!A113</f>
        <v>2013</v>
      </c>
      <c r="B76" s="419">
        <f>'Baseline data (from input)'!C69*'Baseline data (from input)'!U69*'Baseline data (from input)'!Z69</f>
        <v>2354.6851090602163</v>
      </c>
      <c r="C76" s="114">
        <v>0.05</v>
      </c>
      <c r="D76" s="114">
        <f t="shared" si="0"/>
        <v>0.95</v>
      </c>
      <c r="E76">
        <v>0</v>
      </c>
      <c r="F76">
        <v>0</v>
      </c>
      <c r="G76" s="472">
        <f t="shared" si="1"/>
        <v>9.4187404362408675E-2</v>
      </c>
      <c r="H76" s="419">
        <f t="shared" si="2"/>
        <v>8.9478034144288205</v>
      </c>
      <c r="I76" s="395"/>
      <c r="J76" s="178">
        <f t="shared" si="3"/>
        <v>0.53686820486572928</v>
      </c>
      <c r="K76" s="235">
        <f>'Baseline data (from input)'!AI69*'Baseline data (from input)'!AD69*'Baseline data (from input)'!AB69</f>
        <v>1615.4317830654952</v>
      </c>
      <c r="L76" s="114">
        <v>0.1</v>
      </c>
      <c r="M76" s="114">
        <f t="shared" si="4"/>
        <v>0.9</v>
      </c>
      <c r="N76">
        <v>0</v>
      </c>
      <c r="O76">
        <v>0</v>
      </c>
      <c r="P76" s="178">
        <f t="shared" si="8"/>
        <v>0.12923454264523962</v>
      </c>
      <c r="Q76" s="419">
        <f t="shared" si="5"/>
        <v>5.8155544190357835</v>
      </c>
      <c r="S76" s="1199">
        <f t="shared" si="6"/>
        <v>0.34893326514214695</v>
      </c>
      <c r="T76" s="1200">
        <f t="shared" si="7"/>
        <v>0.22342194700764828</v>
      </c>
      <c r="U76" s="1201">
        <f t="shared" si="7"/>
        <v>14.763357833464603</v>
      </c>
      <c r="V76" s="1201">
        <f t="shared" si="7"/>
        <v>0</v>
      </c>
      <c r="W76" s="1202">
        <f t="shared" si="7"/>
        <v>0.88580147000787623</v>
      </c>
      <c r="Z76" s="1399"/>
      <c r="AA76" s="1401"/>
    </row>
    <row r="77" spans="1:27">
      <c r="A77" s="123">
        <f>'Input data'!A114</f>
        <v>2014</v>
      </c>
      <c r="B77" s="419">
        <f>'Baseline data (from input)'!C70*'Baseline data (from input)'!U70*'Baseline data (from input)'!Z70</f>
        <v>2631.7535913560341</v>
      </c>
      <c r="C77" s="114">
        <v>0.05</v>
      </c>
      <c r="D77" s="114">
        <f t="shared" si="0"/>
        <v>0.95</v>
      </c>
      <c r="E77">
        <v>0</v>
      </c>
      <c r="F77">
        <v>0</v>
      </c>
      <c r="G77" s="472">
        <f t="shared" si="1"/>
        <v>0.10527014365424138</v>
      </c>
      <c r="H77" s="419">
        <f t="shared" si="2"/>
        <v>10.00066364715293</v>
      </c>
      <c r="I77" s="395"/>
      <c r="J77" s="178">
        <f t="shared" si="3"/>
        <v>0.60003981882917568</v>
      </c>
      <c r="K77" s="235">
        <f>'Baseline data (from input)'!AI70*'Baseline data (from input)'!AD70*'Baseline data (from input)'!AB70</f>
        <v>1643.3689081198249</v>
      </c>
      <c r="L77" s="114">
        <v>0.1</v>
      </c>
      <c r="M77" s="114">
        <f t="shared" si="4"/>
        <v>0.9</v>
      </c>
      <c r="N77">
        <v>0</v>
      </c>
      <c r="O77">
        <v>0</v>
      </c>
      <c r="P77" s="178">
        <f t="shared" si="8"/>
        <v>0.13146951264958603</v>
      </c>
      <c r="Q77" s="419">
        <f t="shared" si="5"/>
        <v>5.9161280692313705</v>
      </c>
      <c r="S77" s="1199">
        <f t="shared" si="6"/>
        <v>0.35496768415388219</v>
      </c>
      <c r="T77" s="1200">
        <f t="shared" si="7"/>
        <v>0.23673965630382743</v>
      </c>
      <c r="U77" s="1201">
        <f t="shared" si="7"/>
        <v>15.916791716384299</v>
      </c>
      <c r="V77" s="1201">
        <f t="shared" si="7"/>
        <v>0</v>
      </c>
      <c r="W77" s="1202">
        <f t="shared" si="7"/>
        <v>0.95500750298305781</v>
      </c>
      <c r="Z77" s="1399"/>
      <c r="AA77" s="1401"/>
    </row>
    <row r="78" spans="1:27">
      <c r="A78" s="123">
        <f>'Input data'!A115</f>
        <v>2015</v>
      </c>
      <c r="B78" s="419">
        <f>'Baseline data (from input)'!C71*'Baseline data (from input)'!U71*'Baseline data (from input)'!Z71</f>
        <v>2890.5533627257801</v>
      </c>
      <c r="C78" s="114">
        <v>0.05</v>
      </c>
      <c r="D78" s="114">
        <f t="shared" si="0"/>
        <v>0.95</v>
      </c>
      <c r="E78">
        <v>0</v>
      </c>
      <c r="F78">
        <v>0</v>
      </c>
      <c r="G78" s="472">
        <f t="shared" si="1"/>
        <v>0.11562213450903122</v>
      </c>
      <c r="H78" s="419">
        <f t="shared" si="2"/>
        <v>10.984102778357963</v>
      </c>
      <c r="I78" s="395"/>
      <c r="J78" s="178">
        <f t="shared" si="3"/>
        <v>0.65904616670147775</v>
      </c>
      <c r="K78" s="235">
        <f>'Baseline data (from input)'!AI71*'Baseline data (from input)'!AD71*'Baseline data (from input)'!AB71</f>
        <v>1658.2335137253015</v>
      </c>
      <c r="L78" s="114">
        <v>0.1</v>
      </c>
      <c r="M78" s="114">
        <f t="shared" si="4"/>
        <v>0.9</v>
      </c>
      <c r="N78">
        <v>0</v>
      </c>
      <c r="O78">
        <v>0</v>
      </c>
      <c r="P78" s="178">
        <f>L78*$D$5*K78/1000-N78</f>
        <v>0.13265868109802414</v>
      </c>
      <c r="Q78" s="419">
        <f t="shared" si="5"/>
        <v>5.969640649411085</v>
      </c>
      <c r="S78" s="1199">
        <f t="shared" si="6"/>
        <v>0.35817843896466511</v>
      </c>
      <c r="T78" s="1200">
        <f t="shared" si="7"/>
        <v>0.24828081560705537</v>
      </c>
      <c r="U78" s="1201">
        <f t="shared" si="7"/>
        <v>16.953743427769048</v>
      </c>
      <c r="V78" s="1201">
        <f t="shared" si="7"/>
        <v>0</v>
      </c>
      <c r="W78" s="1202">
        <f t="shared" si="7"/>
        <v>1.0172246056661429</v>
      </c>
      <c r="Z78" s="1399"/>
      <c r="AA78" s="1401"/>
    </row>
    <row r="79" spans="1:27">
      <c r="A79" s="123">
        <f>'Input data'!A116</f>
        <v>2016</v>
      </c>
      <c r="B79" s="419">
        <f>'Baseline data (from input)'!C72*'Baseline data (from input)'!U72*'Baseline data (from input)'!Z72</f>
        <v>3130.2657322691025</v>
      </c>
      <c r="C79" s="114">
        <v>0.05</v>
      </c>
      <c r="D79" s="114">
        <f t="shared" si="0"/>
        <v>0.95</v>
      </c>
      <c r="E79">
        <v>0</v>
      </c>
      <c r="F79">
        <v>0</v>
      </c>
      <c r="G79" s="472">
        <f t="shared" si="1"/>
        <v>0.12521062929076412</v>
      </c>
      <c r="H79" s="419">
        <f t="shared" si="2"/>
        <v>11.895009782622589</v>
      </c>
      <c r="I79" s="395"/>
      <c r="J79" s="178">
        <f t="shared" si="3"/>
        <v>0.71370058695735528</v>
      </c>
      <c r="K79" s="235">
        <f>'Baseline data (from input)'!AI72*'Baseline data (from input)'!AD72*'Baseline data (from input)'!AB72</f>
        <v>1673.2282119108463</v>
      </c>
      <c r="L79" s="114">
        <v>0.1</v>
      </c>
      <c r="M79" s="114">
        <f t="shared" si="4"/>
        <v>0.9</v>
      </c>
      <c r="N79">
        <v>0</v>
      </c>
      <c r="O79">
        <v>0</v>
      </c>
      <c r="P79" s="178">
        <f t="shared" si="8"/>
        <v>0.13385825695286771</v>
      </c>
      <c r="Q79" s="419">
        <f t="shared" si="5"/>
        <v>6.0236215628790468</v>
      </c>
      <c r="S79" s="1199">
        <f t="shared" si="6"/>
        <v>0.36141729377274284</v>
      </c>
      <c r="T79" s="1200">
        <f t="shared" si="7"/>
        <v>0.25906888624363184</v>
      </c>
      <c r="U79" s="1201">
        <f t="shared" si="7"/>
        <v>17.918631345501637</v>
      </c>
      <c r="V79" s="1201">
        <f t="shared" si="7"/>
        <v>0</v>
      </c>
      <c r="W79" s="1202">
        <f t="shared" si="7"/>
        <v>1.0751178807300981</v>
      </c>
      <c r="Z79" s="1399"/>
      <c r="AA79" s="1401"/>
    </row>
    <row r="80" spans="1:27" ht="15.75" thickBot="1">
      <c r="A80" s="123">
        <f>'Input data'!A117</f>
        <v>2017</v>
      </c>
      <c r="B80" s="419">
        <f>'Baseline data (from input)'!C73*'Baseline data (from input)'!U73*'Baseline data (from input)'!Z73</f>
        <v>3350.0000024684418</v>
      </c>
      <c r="C80" s="414">
        <v>0.05</v>
      </c>
      <c r="D80" s="414">
        <f t="shared" si="0"/>
        <v>0.95</v>
      </c>
      <c r="E80" s="413">
        <v>0</v>
      </c>
      <c r="F80" s="413">
        <v>0</v>
      </c>
      <c r="G80" s="472">
        <f>C80*$D$5*B80/1000-E80</f>
        <v>0.13400000009873769</v>
      </c>
      <c r="H80" s="471">
        <f>D80*$D$4*B80/1000-F80</f>
        <v>12.730000009380079</v>
      </c>
      <c r="I80" s="395"/>
      <c r="J80" s="472">
        <f t="shared" si="3"/>
        <v>0.76380000056280473</v>
      </c>
      <c r="K80" s="531">
        <f>'Baseline data (from input)'!AI73*'Baseline data (from input)'!AD73*'Baseline data (from input)'!AB73</f>
        <v>1694.9190000000001</v>
      </c>
      <c r="L80" s="114">
        <v>0.1</v>
      </c>
      <c r="M80" s="414">
        <f t="shared" si="4"/>
        <v>0.9</v>
      </c>
      <c r="N80" s="413">
        <v>0</v>
      </c>
      <c r="O80" s="413">
        <v>0</v>
      </c>
      <c r="P80" s="472">
        <f t="shared" si="8"/>
        <v>0.13559352000000005</v>
      </c>
      <c r="Q80" s="471">
        <f>M80*$D$4*K80/1000-O80</f>
        <v>6.1017084000000006</v>
      </c>
      <c r="R80" s="413"/>
      <c r="S80" s="1203">
        <f t="shared" si="6"/>
        <v>0.366102504</v>
      </c>
      <c r="T80" s="1200">
        <f t="shared" si="7"/>
        <v>0.26959352009873772</v>
      </c>
      <c r="U80" s="1201">
        <f t="shared" si="7"/>
        <v>18.831708409380081</v>
      </c>
      <c r="V80" s="1201">
        <f t="shared" si="7"/>
        <v>0</v>
      </c>
      <c r="W80" s="1202">
        <f t="shared" si="7"/>
        <v>1.1299025045628048</v>
      </c>
      <c r="Z80" s="1399"/>
      <c r="AA80" s="1401"/>
    </row>
    <row r="81" spans="1:23">
      <c r="A81" s="1204" t="s">
        <v>643</v>
      </c>
      <c r="B81" s="1205"/>
      <c r="C81" s="1206"/>
      <c r="D81" s="1206"/>
      <c r="E81" s="501"/>
      <c r="F81" s="501"/>
      <c r="G81" s="1207"/>
      <c r="H81" s="1205"/>
      <c r="I81" s="1208"/>
      <c r="J81" s="1207"/>
      <c r="K81" s="1209"/>
      <c r="L81" s="1206"/>
      <c r="M81" s="1206"/>
      <c r="N81" s="501"/>
      <c r="O81" s="501"/>
      <c r="P81" s="737">
        <f>L81*$D$5*'Input data'!U118/1000-N81</f>
        <v>0</v>
      </c>
      <c r="Q81" s="738">
        <f t="shared" si="5"/>
        <v>0</v>
      </c>
      <c r="R81" s="115"/>
      <c r="S81" s="1195">
        <f t="shared" si="6"/>
        <v>0</v>
      </c>
      <c r="T81" s="1196">
        <f t="shared" ref="T81:W114" si="9">G81+P81</f>
        <v>0</v>
      </c>
      <c r="U81" s="1197">
        <f t="shared" si="9"/>
        <v>0</v>
      </c>
      <c r="V81" s="1197">
        <f t="shared" si="9"/>
        <v>0</v>
      </c>
      <c r="W81" s="1198">
        <f t="shared" si="9"/>
        <v>0</v>
      </c>
    </row>
    <row r="82" spans="1:23">
      <c r="A82" s="123">
        <f>'Input data'!A118</f>
        <v>2018</v>
      </c>
      <c r="B82" s="1210">
        <f>'Recycling - Case 1'!AI98</f>
        <v>3707.5235423427162</v>
      </c>
      <c r="C82" s="114">
        <f>($C$86-$C$80)/($A$86-$A$80)+C80</f>
        <v>6.0000000000000005E-2</v>
      </c>
      <c r="D82" s="114">
        <f>1-C82</f>
        <v>0.94</v>
      </c>
      <c r="E82">
        <v>0</v>
      </c>
      <c r="F82">
        <v>0</v>
      </c>
      <c r="G82" s="776">
        <f>C82*$D$5*B82/1000-E82</f>
        <v>0.1779611300324504</v>
      </c>
      <c r="H82" s="519">
        <f>D82*$D$4*B82/1000-F82</f>
        <v>13.940288519208613</v>
      </c>
      <c r="J82" s="178">
        <f>D82*$D$7*B82/1000</f>
        <v>0.83641731115251661</v>
      </c>
      <c r="K82" s="527">
        <f>'Recycling - Case 1'!Z138</f>
        <v>1793.8246078249765</v>
      </c>
      <c r="L82" s="114">
        <v>0.1</v>
      </c>
      <c r="M82" s="114">
        <f>1-L82</f>
        <v>0.9</v>
      </c>
      <c r="N82">
        <f>N80</f>
        <v>0</v>
      </c>
      <c r="O82">
        <f>O80</f>
        <v>0</v>
      </c>
      <c r="P82" s="178">
        <f>L82*$D$5*K82/1000-N82</f>
        <v>0.14350596862599815</v>
      </c>
      <c r="Q82" s="419">
        <f t="shared" si="5"/>
        <v>6.4577685881699152</v>
      </c>
      <c r="S82" s="1199">
        <f t="shared" si="6"/>
        <v>0.38746611529019492</v>
      </c>
      <c r="T82" s="1200">
        <f>G82+P82</f>
        <v>0.32146709865844858</v>
      </c>
      <c r="U82" s="1201">
        <f>H82+Q82</f>
        <v>20.398057107378527</v>
      </c>
      <c r="V82" s="1201">
        <f t="shared" si="9"/>
        <v>0</v>
      </c>
      <c r="W82" s="1202">
        <f t="shared" si="9"/>
        <v>1.2238834264427116</v>
      </c>
    </row>
    <row r="83" spans="1:23">
      <c r="A83" s="123">
        <f>'Input data'!A119</f>
        <v>2019</v>
      </c>
      <c r="B83" s="1210">
        <f>'Recycling - Case 1'!AI99</f>
        <v>4010.8720893729233</v>
      </c>
      <c r="C83" s="1211">
        <f>($C$86-$C$80)/($A$86-$A$80)+C82</f>
        <v>7.0000000000000007E-2</v>
      </c>
      <c r="D83" s="1211">
        <f t="shared" ref="D83:D114" si="10">1-C83</f>
        <v>0.92999999999999994</v>
      </c>
      <c r="E83" s="53">
        <v>0</v>
      </c>
      <c r="F83" s="53">
        <v>0</v>
      </c>
      <c r="G83" s="776">
        <f t="shared" ref="G83:G114" si="11">C83*$D$5*B83/1000-E83</f>
        <v>0.22460883700488374</v>
      </c>
      <c r="H83" s="519">
        <f t="shared" ref="H83:H114" si="12">D83*$D$4*B83/1000-F83</f>
        <v>14.920444172467274</v>
      </c>
      <c r="I83" s="53"/>
      <c r="J83" s="776">
        <f t="shared" ref="J83:J114" si="13">D83*$D$7*B83/1000</f>
        <v>0.89522665034803639</v>
      </c>
      <c r="K83" s="527">
        <f>'Recycling - Case 1'!Z139</f>
        <v>1878.6693594882986</v>
      </c>
      <c r="L83" s="114">
        <v>0.1</v>
      </c>
      <c r="M83" s="1211">
        <f t="shared" ref="M83:M114" si="14">1-L83</f>
        <v>0.9</v>
      </c>
      <c r="N83" s="53">
        <f t="shared" ref="N83:O98" si="15">N81</f>
        <v>0</v>
      </c>
      <c r="O83" s="53">
        <f t="shared" si="15"/>
        <v>0</v>
      </c>
      <c r="P83" s="178">
        <f t="shared" ref="P83:P112" si="16">L83*$D$5*K83/1000-N83</f>
        <v>0.15029354875906392</v>
      </c>
      <c r="Q83" s="519">
        <f t="shared" si="5"/>
        <v>6.763209694157875</v>
      </c>
      <c r="R83" s="53"/>
      <c r="S83" s="1213">
        <f t="shared" si="6"/>
        <v>0.40579258164947246</v>
      </c>
      <c r="T83" s="1200">
        <f t="shared" si="9"/>
        <v>0.37490238576394763</v>
      </c>
      <c r="U83" s="1201">
        <f t="shared" si="9"/>
        <v>21.68365386662515</v>
      </c>
      <c r="V83" s="1201">
        <f t="shared" si="9"/>
        <v>0</v>
      </c>
      <c r="W83" s="1202">
        <f t="shared" si="9"/>
        <v>1.3010192319975089</v>
      </c>
    </row>
    <row r="84" spans="1:23">
      <c r="A84" s="123">
        <f>'Input data'!A120</f>
        <v>2020</v>
      </c>
      <c r="B84" s="1210">
        <f>'Recycling - Case 1'!AI100</f>
        <v>4314.2206364031299</v>
      </c>
      <c r="C84" s="1211">
        <f t="shared" ref="C84:C85" si="17">($C$86-$C$80)/($A$86-$A$80)+C83</f>
        <v>0.08</v>
      </c>
      <c r="D84" s="1211">
        <f t="shared" si="10"/>
        <v>0.92</v>
      </c>
      <c r="E84" s="53">
        <v>0</v>
      </c>
      <c r="F84" s="53">
        <v>0</v>
      </c>
      <c r="G84" s="776">
        <f t="shared" si="11"/>
        <v>0.27611012072980029</v>
      </c>
      <c r="H84" s="519">
        <f t="shared" si="12"/>
        <v>15.876331941963519</v>
      </c>
      <c r="I84" s="53"/>
      <c r="J84" s="776">
        <f t="shared" si="13"/>
        <v>0.95257991651781104</v>
      </c>
      <c r="K84" s="527">
        <f>'Recycling - Case 1'!Z140</f>
        <v>1831.998471140033</v>
      </c>
      <c r="L84" s="114">
        <v>0.1</v>
      </c>
      <c r="M84" s="1211">
        <f t="shared" si="14"/>
        <v>0.9</v>
      </c>
      <c r="N84" s="53">
        <f t="shared" si="15"/>
        <v>0</v>
      </c>
      <c r="O84" s="53">
        <f t="shared" si="15"/>
        <v>0</v>
      </c>
      <c r="P84" s="178">
        <f t="shared" si="16"/>
        <v>0.14655987769120268</v>
      </c>
      <c r="Q84" s="519">
        <f t="shared" si="5"/>
        <v>6.5951944961041189</v>
      </c>
      <c r="R84" s="53"/>
      <c r="S84" s="1213">
        <f t="shared" si="6"/>
        <v>0.39571166976624711</v>
      </c>
      <c r="T84" s="1200">
        <f t="shared" si="9"/>
        <v>0.42266999842100295</v>
      </c>
      <c r="U84" s="1201">
        <f t="shared" si="9"/>
        <v>22.471526438067638</v>
      </c>
      <c r="V84" s="1201">
        <f t="shared" si="9"/>
        <v>0</v>
      </c>
      <c r="W84" s="1202">
        <f t="shared" si="9"/>
        <v>1.3482915862840581</v>
      </c>
    </row>
    <row r="85" spans="1:23">
      <c r="A85" s="123">
        <f>'Input data'!A121</f>
        <v>2021</v>
      </c>
      <c r="B85" s="1210">
        <f>'Recycling - Case 1'!AI101</f>
        <v>4617.5691834333375</v>
      </c>
      <c r="C85" s="1211">
        <f t="shared" si="17"/>
        <v>0.09</v>
      </c>
      <c r="D85" s="1211">
        <f t="shared" si="10"/>
        <v>0.91</v>
      </c>
      <c r="E85" s="53">
        <v>0</v>
      </c>
      <c r="F85" s="53">
        <v>0</v>
      </c>
      <c r="G85" s="776">
        <f t="shared" si="11"/>
        <v>0.33246498120720025</v>
      </c>
      <c r="H85" s="519">
        <f t="shared" si="12"/>
        <v>16.807951827697352</v>
      </c>
      <c r="I85" s="53"/>
      <c r="J85" s="776">
        <f t="shared" si="13"/>
        <v>1.008477109661841</v>
      </c>
      <c r="K85" s="527">
        <f>'Recycling - Case 1'!Z141</f>
        <v>1947.2945311541612</v>
      </c>
      <c r="L85" s="114">
        <v>0.1</v>
      </c>
      <c r="M85" s="1211">
        <f t="shared" si="14"/>
        <v>0.9</v>
      </c>
      <c r="N85" s="53">
        <f t="shared" si="15"/>
        <v>0</v>
      </c>
      <c r="O85" s="53">
        <f t="shared" si="15"/>
        <v>0</v>
      </c>
      <c r="P85" s="178">
        <f t="shared" si="16"/>
        <v>0.15578356249233291</v>
      </c>
      <c r="Q85" s="519">
        <f t="shared" si="5"/>
        <v>7.0102603121549798</v>
      </c>
      <c r="R85" s="53"/>
      <c r="S85" s="1213">
        <f t="shared" si="6"/>
        <v>0.42061561872929881</v>
      </c>
      <c r="T85" s="1200">
        <f t="shared" si="9"/>
        <v>0.48824854369953319</v>
      </c>
      <c r="U85" s="1201">
        <f t="shared" si="9"/>
        <v>23.818212139852331</v>
      </c>
      <c r="V85" s="1201">
        <f t="shared" si="9"/>
        <v>0</v>
      </c>
      <c r="W85" s="1202">
        <f t="shared" si="9"/>
        <v>1.4290927283911399</v>
      </c>
    </row>
    <row r="86" spans="1:23">
      <c r="A86" s="123">
        <f>'Input data'!A122</f>
        <v>2022</v>
      </c>
      <c r="B86" s="1210">
        <f>'Recycling - Case 1'!AI102</f>
        <v>4920.9177304635441</v>
      </c>
      <c r="C86" s="1211">
        <f>'Recycling - Case 1'!C31</f>
        <v>0.1</v>
      </c>
      <c r="D86" s="1211">
        <f t="shared" si="10"/>
        <v>0.9</v>
      </c>
      <c r="E86" s="53">
        <v>0</v>
      </c>
      <c r="F86" s="53">
        <v>0</v>
      </c>
      <c r="G86" s="776">
        <f t="shared" si="11"/>
        <v>0.39367341843708364</v>
      </c>
      <c r="H86" s="519">
        <f t="shared" si="12"/>
        <v>17.715303829668759</v>
      </c>
      <c r="I86" s="53"/>
      <c r="J86" s="776">
        <f t="shared" si="13"/>
        <v>1.0629182297801256</v>
      </c>
      <c r="K86" s="527">
        <f>'Recycling - Case 1'!Z142</f>
        <v>2059.3723526974704</v>
      </c>
      <c r="L86" s="1211">
        <f>'Recycling - Case 1'!C31</f>
        <v>0.1</v>
      </c>
      <c r="M86" s="1211">
        <f t="shared" si="14"/>
        <v>0.9</v>
      </c>
      <c r="N86" s="53">
        <f t="shared" si="15"/>
        <v>0</v>
      </c>
      <c r="O86" s="53">
        <f t="shared" si="15"/>
        <v>0</v>
      </c>
      <c r="P86" s="178">
        <f t="shared" si="16"/>
        <v>0.16474978821579767</v>
      </c>
      <c r="Q86" s="519">
        <f t="shared" si="5"/>
        <v>7.413740469710894</v>
      </c>
      <c r="R86" s="53"/>
      <c r="S86" s="1213">
        <f t="shared" si="6"/>
        <v>0.44482442818265361</v>
      </c>
      <c r="T86" s="1200">
        <f t="shared" si="9"/>
        <v>0.55842320665288137</v>
      </c>
      <c r="U86" s="1201">
        <f t="shared" si="9"/>
        <v>25.129044299379654</v>
      </c>
      <c r="V86" s="1201">
        <f t="shared" si="9"/>
        <v>0</v>
      </c>
      <c r="W86" s="1202">
        <f t="shared" si="9"/>
        <v>1.5077426579627793</v>
      </c>
    </row>
    <row r="87" spans="1:23">
      <c r="A87" s="123">
        <f>'Input data'!A123</f>
        <v>2023</v>
      </c>
      <c r="B87" s="1210">
        <f>'Recycling - Case 1'!AI103</f>
        <v>5224.2662774937517</v>
      </c>
      <c r="C87" s="1211">
        <f>C86</f>
        <v>0.1</v>
      </c>
      <c r="D87" s="1211">
        <f t="shared" si="10"/>
        <v>0.9</v>
      </c>
      <c r="E87" s="53">
        <v>0</v>
      </c>
      <c r="F87" s="53">
        <v>0</v>
      </c>
      <c r="G87" s="776">
        <f t="shared" si="11"/>
        <v>0.41794130219950021</v>
      </c>
      <c r="H87" s="519">
        <f t="shared" si="12"/>
        <v>18.807358598977505</v>
      </c>
      <c r="I87" s="53"/>
      <c r="J87" s="776">
        <f t="shared" si="13"/>
        <v>1.1284415159386503</v>
      </c>
      <c r="K87" s="527">
        <f>'Recycling - Case 1'!Z143</f>
        <v>2171.5755999006997</v>
      </c>
      <c r="L87" s="1211">
        <f>L86</f>
        <v>0.1</v>
      </c>
      <c r="M87" s="1211">
        <f t="shared" si="14"/>
        <v>0.9</v>
      </c>
      <c r="N87" s="53">
        <f t="shared" si="15"/>
        <v>0</v>
      </c>
      <c r="O87" s="53">
        <f t="shared" si="15"/>
        <v>0</v>
      </c>
      <c r="P87" s="178">
        <f t="shared" si="16"/>
        <v>0.17372604799205602</v>
      </c>
      <c r="Q87" s="519">
        <f t="shared" si="5"/>
        <v>7.8176721596425187</v>
      </c>
      <c r="R87" s="53"/>
      <c r="S87" s="1213">
        <f t="shared" si="6"/>
        <v>0.46906032957855115</v>
      </c>
      <c r="T87" s="1200">
        <f t="shared" si="9"/>
        <v>0.59166735019155625</v>
      </c>
      <c r="U87" s="1201">
        <f t="shared" si="9"/>
        <v>26.625030758620024</v>
      </c>
      <c r="V87" s="1201">
        <f t="shared" si="9"/>
        <v>0</v>
      </c>
      <c r="W87" s="1202">
        <f t="shared" si="9"/>
        <v>1.5975018455172014</v>
      </c>
    </row>
    <row r="88" spans="1:23">
      <c r="A88" s="123">
        <f>'Input data'!A124</f>
        <v>2024</v>
      </c>
      <c r="B88" s="1210">
        <f>'Recycling - Case 1'!AI104</f>
        <v>5527.6148245239583</v>
      </c>
      <c r="C88" s="1211">
        <f t="shared" ref="C88:C114" si="18">C87</f>
        <v>0.1</v>
      </c>
      <c r="D88" s="1211">
        <f t="shared" si="10"/>
        <v>0.9</v>
      </c>
      <c r="E88" s="53">
        <v>0</v>
      </c>
      <c r="F88" s="53">
        <v>0</v>
      </c>
      <c r="G88" s="776">
        <f t="shared" si="11"/>
        <v>0.44220918596191677</v>
      </c>
      <c r="H88" s="519">
        <f t="shared" si="12"/>
        <v>19.89941336828625</v>
      </c>
      <c r="I88" s="53"/>
      <c r="J88" s="776">
        <f t="shared" si="13"/>
        <v>1.1939648020971749</v>
      </c>
      <c r="K88" s="527">
        <f>'Recycling - Case 1'!Z144</f>
        <v>2289.6997004049217</v>
      </c>
      <c r="L88" s="1211">
        <f t="shared" ref="L88:L114" si="19">L87</f>
        <v>0.1</v>
      </c>
      <c r="M88" s="1211">
        <f t="shared" si="14"/>
        <v>0.9</v>
      </c>
      <c r="N88" s="53">
        <f t="shared" si="15"/>
        <v>0</v>
      </c>
      <c r="O88" s="53">
        <f t="shared" si="15"/>
        <v>0</v>
      </c>
      <c r="P88" s="178">
        <f t="shared" si="16"/>
        <v>0.18317597603239377</v>
      </c>
      <c r="Q88" s="519">
        <f t="shared" si="5"/>
        <v>8.2429189214577185</v>
      </c>
      <c r="R88" s="53"/>
      <c r="S88" s="1213">
        <f t="shared" si="6"/>
        <v>0.49457513528746305</v>
      </c>
      <c r="T88" s="1200">
        <f t="shared" si="9"/>
        <v>0.62538516199431049</v>
      </c>
      <c r="U88" s="1201">
        <f t="shared" si="9"/>
        <v>28.142332289743969</v>
      </c>
      <c r="V88" s="1201">
        <f t="shared" si="9"/>
        <v>0</v>
      </c>
      <c r="W88" s="1202">
        <f t="shared" si="9"/>
        <v>1.6885399373846379</v>
      </c>
    </row>
    <row r="89" spans="1:23">
      <c r="A89" s="123">
        <f>'Input data'!A125</f>
        <v>2025</v>
      </c>
      <c r="B89" s="1210">
        <f>'Recycling - Case 1'!AI105</f>
        <v>5830.9633715541659</v>
      </c>
      <c r="C89" s="1211">
        <f t="shared" si="18"/>
        <v>0.1</v>
      </c>
      <c r="D89" s="1211">
        <f t="shared" si="10"/>
        <v>0.9</v>
      </c>
      <c r="E89" s="53">
        <v>0</v>
      </c>
      <c r="F89" s="53">
        <v>0</v>
      </c>
      <c r="G89" s="776">
        <f t="shared" si="11"/>
        <v>0.46647706972433339</v>
      </c>
      <c r="H89" s="519">
        <f t="shared" si="12"/>
        <v>20.991468137595</v>
      </c>
      <c r="I89" s="53"/>
      <c r="J89" s="776">
        <f t="shared" si="13"/>
        <v>1.2594880882556998</v>
      </c>
      <c r="K89" s="527">
        <f>'Recycling - Case 1'!Z145</f>
        <v>2408.1113071487689</v>
      </c>
      <c r="L89" s="1211">
        <f t="shared" si="19"/>
        <v>0.1</v>
      </c>
      <c r="M89" s="1211">
        <f t="shared" si="14"/>
        <v>0.9</v>
      </c>
      <c r="N89" s="53">
        <f t="shared" si="15"/>
        <v>0</v>
      </c>
      <c r="O89" s="53">
        <f t="shared" si="15"/>
        <v>0</v>
      </c>
      <c r="P89" s="178">
        <f t="shared" si="16"/>
        <v>0.19264890457190154</v>
      </c>
      <c r="Q89" s="519">
        <f t="shared" si="5"/>
        <v>8.6692007057355678</v>
      </c>
      <c r="R89" s="53"/>
      <c r="S89" s="1213">
        <f t="shared" si="6"/>
        <v>0.52015204234413404</v>
      </c>
      <c r="T89" s="1200">
        <f t="shared" si="9"/>
        <v>0.65912597429623498</v>
      </c>
      <c r="U89" s="1201">
        <f t="shared" si="9"/>
        <v>29.660668843330569</v>
      </c>
      <c r="V89" s="1201">
        <f t="shared" si="9"/>
        <v>0</v>
      </c>
      <c r="W89" s="1202">
        <f t="shared" si="9"/>
        <v>1.7796401305998337</v>
      </c>
    </row>
    <row r="90" spans="1:23">
      <c r="A90" s="123">
        <f>'Input data'!A126</f>
        <v>2026</v>
      </c>
      <c r="B90" s="1210">
        <f>'Recycling - Case 1'!AI106</f>
        <v>6134.3119185843725</v>
      </c>
      <c r="C90" s="1211">
        <f t="shared" si="18"/>
        <v>0.1</v>
      </c>
      <c r="D90" s="1211">
        <f t="shared" si="10"/>
        <v>0.9</v>
      </c>
      <c r="E90" s="53">
        <v>0</v>
      </c>
      <c r="F90" s="53">
        <v>0</v>
      </c>
      <c r="G90" s="776">
        <f t="shared" si="11"/>
        <v>0.4907449534867499</v>
      </c>
      <c r="H90" s="519">
        <f t="shared" si="12"/>
        <v>22.083522906903742</v>
      </c>
      <c r="I90" s="53"/>
      <c r="J90" s="776">
        <f t="shared" si="13"/>
        <v>1.3250113744142245</v>
      </c>
      <c r="K90" s="527">
        <f>'Recycling - Case 1'!Z146</f>
        <v>2527.6686334669353</v>
      </c>
      <c r="L90" s="1211">
        <f t="shared" si="19"/>
        <v>0.1</v>
      </c>
      <c r="M90" s="1211">
        <f t="shared" si="14"/>
        <v>0.9</v>
      </c>
      <c r="N90" s="53">
        <f t="shared" si="15"/>
        <v>0</v>
      </c>
      <c r="O90" s="53">
        <f t="shared" si="15"/>
        <v>0</v>
      </c>
      <c r="P90" s="178">
        <f t="shared" si="16"/>
        <v>0.20221349067735486</v>
      </c>
      <c r="Q90" s="519">
        <f t="shared" si="5"/>
        <v>9.0996070804809683</v>
      </c>
      <c r="R90" s="53"/>
      <c r="S90" s="1213">
        <f t="shared" si="6"/>
        <v>0.54597642482885811</v>
      </c>
      <c r="T90" s="1200">
        <f t="shared" si="9"/>
        <v>0.69295844416410479</v>
      </c>
      <c r="U90" s="1201">
        <f t="shared" si="9"/>
        <v>31.18312998738471</v>
      </c>
      <c r="V90" s="1201">
        <f t="shared" si="9"/>
        <v>0</v>
      </c>
      <c r="W90" s="1202">
        <f t="shared" si="9"/>
        <v>1.8709877992430826</v>
      </c>
    </row>
    <row r="91" spans="1:23">
      <c r="A91" s="123">
        <f>'Input data'!A127</f>
        <v>2027</v>
      </c>
      <c r="B91" s="1210">
        <f>'Recycling - Case 1'!AI107</f>
        <v>6437.6604656145792</v>
      </c>
      <c r="C91" s="1211">
        <f t="shared" si="18"/>
        <v>0.1</v>
      </c>
      <c r="D91" s="1211">
        <f t="shared" si="10"/>
        <v>0.9</v>
      </c>
      <c r="E91" s="53">
        <v>0</v>
      </c>
      <c r="F91" s="53">
        <v>0</v>
      </c>
      <c r="G91" s="776">
        <f t="shared" si="11"/>
        <v>0.51501283724916636</v>
      </c>
      <c r="H91" s="519">
        <f t="shared" si="12"/>
        <v>23.175577676212484</v>
      </c>
      <c r="I91" s="53"/>
      <c r="J91" s="776">
        <f t="shared" si="13"/>
        <v>1.3905346605727491</v>
      </c>
      <c r="K91" s="527">
        <f>'Recycling - Case 1'!Z147</f>
        <v>2646.1731704518984</v>
      </c>
      <c r="L91" s="1211">
        <f t="shared" si="19"/>
        <v>0.1</v>
      </c>
      <c r="M91" s="1211">
        <f t="shared" si="14"/>
        <v>0.9</v>
      </c>
      <c r="N91" s="53">
        <f t="shared" si="15"/>
        <v>0</v>
      </c>
      <c r="O91" s="53">
        <f t="shared" si="15"/>
        <v>0</v>
      </c>
      <c r="P91" s="178">
        <f t="shared" si="16"/>
        <v>0.21169385363615192</v>
      </c>
      <c r="Q91" s="519">
        <f t="shared" si="5"/>
        <v>9.526223413626834</v>
      </c>
      <c r="R91" s="53"/>
      <c r="S91" s="1213">
        <f t="shared" si="6"/>
        <v>0.57157340481760999</v>
      </c>
      <c r="T91" s="1200">
        <f t="shared" si="9"/>
        <v>0.72670669088531825</v>
      </c>
      <c r="U91" s="1201">
        <f t="shared" si="9"/>
        <v>32.701801089839321</v>
      </c>
      <c r="V91" s="1201">
        <f t="shared" si="9"/>
        <v>0</v>
      </c>
      <c r="W91" s="1202">
        <f t="shared" si="9"/>
        <v>1.9621080653903591</v>
      </c>
    </row>
    <row r="92" spans="1:23">
      <c r="A92" s="123">
        <f>'Input data'!A128</f>
        <v>2028</v>
      </c>
      <c r="B92" s="1210">
        <f>'Recycling - Case 1'!AI108</f>
        <v>6437.6604656145792</v>
      </c>
      <c r="C92" s="1211">
        <f t="shared" si="18"/>
        <v>0.1</v>
      </c>
      <c r="D92" s="1211">
        <f t="shared" si="10"/>
        <v>0.9</v>
      </c>
      <c r="E92" s="53">
        <v>0</v>
      </c>
      <c r="F92" s="53">
        <v>0</v>
      </c>
      <c r="G92" s="776">
        <f t="shared" si="11"/>
        <v>0.51501283724916636</v>
      </c>
      <c r="H92" s="519">
        <f t="shared" si="12"/>
        <v>23.175577676212484</v>
      </c>
      <c r="I92" s="53"/>
      <c r="J92" s="776">
        <f t="shared" si="13"/>
        <v>1.3905346605727491</v>
      </c>
      <c r="K92" s="527">
        <f>'Recycling - Case 1'!Z148</f>
        <v>2691.530631344991</v>
      </c>
      <c r="L92" s="1211">
        <f t="shared" si="19"/>
        <v>0.1</v>
      </c>
      <c r="M92" s="1211">
        <f t="shared" si="14"/>
        <v>0.9</v>
      </c>
      <c r="N92" s="53">
        <f t="shared" si="15"/>
        <v>0</v>
      </c>
      <c r="O92" s="53">
        <f t="shared" si="15"/>
        <v>0</v>
      </c>
      <c r="P92" s="178">
        <f t="shared" si="16"/>
        <v>0.21532245050759932</v>
      </c>
      <c r="Q92" s="519">
        <f t="shared" si="5"/>
        <v>9.689510272841968</v>
      </c>
      <c r="R92" s="53"/>
      <c r="S92" s="1213">
        <f t="shared" si="6"/>
        <v>0.58137061637051801</v>
      </c>
      <c r="T92" s="1200">
        <f t="shared" si="9"/>
        <v>0.73033528775676571</v>
      </c>
      <c r="U92" s="1201">
        <f t="shared" si="9"/>
        <v>32.865087949054455</v>
      </c>
      <c r="V92" s="1201">
        <f t="shared" si="9"/>
        <v>0</v>
      </c>
      <c r="W92" s="1202">
        <f t="shared" si="9"/>
        <v>1.971905276943267</v>
      </c>
    </row>
    <row r="93" spans="1:23">
      <c r="A93" s="123">
        <f>'Input data'!A129</f>
        <v>2029</v>
      </c>
      <c r="B93" s="1210">
        <f>'Recycling - Case 1'!AI109</f>
        <v>6437.6604656145792</v>
      </c>
      <c r="C93" s="1211">
        <f t="shared" si="18"/>
        <v>0.1</v>
      </c>
      <c r="D93" s="1211">
        <f t="shared" si="10"/>
        <v>0.9</v>
      </c>
      <c r="E93" s="53">
        <v>0</v>
      </c>
      <c r="F93" s="53">
        <v>0</v>
      </c>
      <c r="G93" s="776">
        <f t="shared" si="11"/>
        <v>0.51501283724916636</v>
      </c>
      <c r="H93" s="519">
        <f t="shared" si="12"/>
        <v>23.175577676212484</v>
      </c>
      <c r="I93" s="53"/>
      <c r="J93" s="776">
        <f t="shared" si="13"/>
        <v>1.3905346605727491</v>
      </c>
      <c r="K93" s="527">
        <f>'Recycling - Case 1'!Z149</f>
        <v>2734.9387524288591</v>
      </c>
      <c r="L93" s="1211">
        <f t="shared" si="19"/>
        <v>0.1</v>
      </c>
      <c r="M93" s="1211">
        <f t="shared" si="14"/>
        <v>0.9</v>
      </c>
      <c r="N93" s="53">
        <f t="shared" si="15"/>
        <v>0</v>
      </c>
      <c r="O93" s="53">
        <f t="shared" si="15"/>
        <v>0</v>
      </c>
      <c r="P93" s="178">
        <f t="shared" si="16"/>
        <v>0.21879510019430876</v>
      </c>
      <c r="Q93" s="519">
        <f t="shared" si="5"/>
        <v>9.8457795087438935</v>
      </c>
      <c r="R93" s="53"/>
      <c r="S93" s="1213">
        <f t="shared" si="6"/>
        <v>0.59074677052463354</v>
      </c>
      <c r="T93" s="1200">
        <f t="shared" si="9"/>
        <v>0.73380793744347517</v>
      </c>
      <c r="U93" s="1201">
        <f t="shared" si="9"/>
        <v>33.021357184956379</v>
      </c>
      <c r="V93" s="1201">
        <f t="shared" si="9"/>
        <v>0</v>
      </c>
      <c r="W93" s="1202">
        <f t="shared" si="9"/>
        <v>1.9812814310973828</v>
      </c>
    </row>
    <row r="94" spans="1:23">
      <c r="A94" s="123">
        <f>'Input data'!A130</f>
        <v>2030</v>
      </c>
      <c r="B94" s="1210">
        <f>'Recycling - Case 1'!AI110</f>
        <v>6437.6604656145792</v>
      </c>
      <c r="C94" s="1211">
        <f t="shared" si="18"/>
        <v>0.1</v>
      </c>
      <c r="D94" s="1211">
        <f t="shared" si="10"/>
        <v>0.9</v>
      </c>
      <c r="E94" s="53">
        <v>0</v>
      </c>
      <c r="F94" s="53">
        <v>0</v>
      </c>
      <c r="G94" s="776">
        <f t="shared" si="11"/>
        <v>0.51501283724916636</v>
      </c>
      <c r="H94" s="519">
        <f t="shared" si="12"/>
        <v>23.175577676212484</v>
      </c>
      <c r="I94" s="53"/>
      <c r="J94" s="776">
        <f t="shared" si="13"/>
        <v>1.3905346605727491</v>
      </c>
      <c r="K94" s="527">
        <f>'Recycling - Case 1'!Z150</f>
        <v>2779.6537556460157</v>
      </c>
      <c r="L94" s="1211">
        <f t="shared" si="19"/>
        <v>0.1</v>
      </c>
      <c r="M94" s="1211">
        <f t="shared" si="14"/>
        <v>0.9</v>
      </c>
      <c r="N94" s="53">
        <f t="shared" si="15"/>
        <v>0</v>
      </c>
      <c r="O94" s="53">
        <f t="shared" si="15"/>
        <v>0</v>
      </c>
      <c r="P94" s="178">
        <f t="shared" si="16"/>
        <v>0.2223723004516813</v>
      </c>
      <c r="Q94" s="519">
        <f t="shared" si="5"/>
        <v>10.006753520325658</v>
      </c>
      <c r="R94" s="53"/>
      <c r="S94" s="1213">
        <f t="shared" si="6"/>
        <v>0.60040521121953938</v>
      </c>
      <c r="T94" s="1200">
        <f t="shared" si="9"/>
        <v>0.73738513770084768</v>
      </c>
      <c r="U94" s="1201">
        <f t="shared" si="9"/>
        <v>33.182331196538144</v>
      </c>
      <c r="V94" s="1201">
        <f t="shared" si="9"/>
        <v>0</v>
      </c>
      <c r="W94" s="1202">
        <f t="shared" si="9"/>
        <v>1.9909398717922886</v>
      </c>
    </row>
    <row r="95" spans="1:23">
      <c r="A95" s="123">
        <f>'Input data'!A131</f>
        <v>2031</v>
      </c>
      <c r="B95" s="1210">
        <f>'Recycling - Case 1'!AI111</f>
        <v>6437.6604656145792</v>
      </c>
      <c r="C95" s="1211">
        <f t="shared" si="18"/>
        <v>0.1</v>
      </c>
      <c r="D95" s="1211">
        <f t="shared" si="10"/>
        <v>0.9</v>
      </c>
      <c r="E95" s="53">
        <v>0</v>
      </c>
      <c r="F95" s="53">
        <v>0</v>
      </c>
      <c r="G95" s="776">
        <f t="shared" si="11"/>
        <v>0.51501283724916636</v>
      </c>
      <c r="H95" s="519">
        <f t="shared" si="12"/>
        <v>23.175577676212484</v>
      </c>
      <c r="I95" s="53"/>
      <c r="J95" s="776">
        <f t="shared" si="13"/>
        <v>1.3905346605727491</v>
      </c>
      <c r="K95" s="527">
        <f>'Recycling - Case 1'!Z151</f>
        <v>2832.1304900599107</v>
      </c>
      <c r="L95" s="1211">
        <f t="shared" si="19"/>
        <v>0.1</v>
      </c>
      <c r="M95" s="1211">
        <f t="shared" si="14"/>
        <v>0.9</v>
      </c>
      <c r="N95" s="53">
        <f t="shared" si="15"/>
        <v>0</v>
      </c>
      <c r="O95" s="53">
        <f t="shared" si="15"/>
        <v>0</v>
      </c>
      <c r="P95" s="178">
        <f t="shared" si="16"/>
        <v>0.22657043920479292</v>
      </c>
      <c r="Q95" s="519">
        <f t="shared" si="5"/>
        <v>10.19566976421568</v>
      </c>
      <c r="R95" s="53"/>
      <c r="S95" s="1213">
        <f t="shared" si="6"/>
        <v>0.61174018585294077</v>
      </c>
      <c r="T95" s="1200">
        <f t="shared" si="9"/>
        <v>0.74158327645395927</v>
      </c>
      <c r="U95" s="1201">
        <f t="shared" si="9"/>
        <v>33.371247440428164</v>
      </c>
      <c r="V95" s="1201">
        <f t="shared" si="9"/>
        <v>0</v>
      </c>
      <c r="W95" s="1202">
        <f t="shared" si="9"/>
        <v>2.0022748464256899</v>
      </c>
    </row>
    <row r="96" spans="1:23">
      <c r="A96" s="123">
        <f>'Input data'!A132</f>
        <v>2032</v>
      </c>
      <c r="B96" s="1210">
        <f>'Recycling - Case 1'!AI112</f>
        <v>6437.6604656145792</v>
      </c>
      <c r="C96" s="1211">
        <f t="shared" si="18"/>
        <v>0.1</v>
      </c>
      <c r="D96" s="1211">
        <f t="shared" si="10"/>
        <v>0.9</v>
      </c>
      <c r="E96" s="53">
        <v>0</v>
      </c>
      <c r="F96" s="53">
        <v>0</v>
      </c>
      <c r="G96" s="776">
        <f t="shared" si="11"/>
        <v>0.51501283724916636</v>
      </c>
      <c r="H96" s="519">
        <f t="shared" si="12"/>
        <v>23.175577676212484</v>
      </c>
      <c r="I96" s="53"/>
      <c r="J96" s="776">
        <f t="shared" si="13"/>
        <v>1.3905346605727491</v>
      </c>
      <c r="K96" s="527">
        <f>'Recycling - Case 1'!Z152</f>
        <v>2888.549661721353</v>
      </c>
      <c r="L96" s="1211">
        <f t="shared" si="19"/>
        <v>0.1</v>
      </c>
      <c r="M96" s="1211">
        <f t="shared" si="14"/>
        <v>0.9</v>
      </c>
      <c r="N96" s="53">
        <f t="shared" si="15"/>
        <v>0</v>
      </c>
      <c r="O96" s="53">
        <f t="shared" si="15"/>
        <v>0</v>
      </c>
      <c r="P96" s="178">
        <f t="shared" si="16"/>
        <v>0.2310839729377083</v>
      </c>
      <c r="Q96" s="519">
        <f t="shared" si="5"/>
        <v>10.398778782196871</v>
      </c>
      <c r="R96" s="53"/>
      <c r="S96" s="1213">
        <f t="shared" si="6"/>
        <v>0.62392672693181228</v>
      </c>
      <c r="T96" s="1200">
        <f t="shared" si="9"/>
        <v>0.74609681018687468</v>
      </c>
      <c r="U96" s="1201">
        <f t="shared" si="9"/>
        <v>33.574356458409355</v>
      </c>
      <c r="V96" s="1201">
        <f t="shared" si="9"/>
        <v>0</v>
      </c>
      <c r="W96" s="1202">
        <f t="shared" si="9"/>
        <v>2.0144613875045616</v>
      </c>
    </row>
    <row r="97" spans="1:23">
      <c r="A97" s="123">
        <f>'Input data'!A133</f>
        <v>2033</v>
      </c>
      <c r="B97" s="1210">
        <f>'Recycling - Case 1'!AI113</f>
        <v>6437.6604656145792</v>
      </c>
      <c r="C97" s="1211">
        <f t="shared" si="18"/>
        <v>0.1</v>
      </c>
      <c r="D97" s="1211">
        <f t="shared" si="10"/>
        <v>0.9</v>
      </c>
      <c r="E97" s="53">
        <v>0</v>
      </c>
      <c r="F97" s="53">
        <v>0</v>
      </c>
      <c r="G97" s="776">
        <f t="shared" si="11"/>
        <v>0.51501283724916636</v>
      </c>
      <c r="H97" s="519">
        <f t="shared" si="12"/>
        <v>23.175577676212484</v>
      </c>
      <c r="I97" s="53"/>
      <c r="J97" s="776">
        <f t="shared" si="13"/>
        <v>1.3905346605727491</v>
      </c>
      <c r="K97" s="527">
        <f>'Recycling - Case 1'!Z153</f>
        <v>2946.8761945712818</v>
      </c>
      <c r="L97" s="1211">
        <f t="shared" si="19"/>
        <v>0.1</v>
      </c>
      <c r="M97" s="1211">
        <f t="shared" si="14"/>
        <v>0.9</v>
      </c>
      <c r="N97" s="53">
        <f t="shared" si="15"/>
        <v>0</v>
      </c>
      <c r="O97" s="53">
        <f t="shared" si="15"/>
        <v>0</v>
      </c>
      <c r="P97" s="178">
        <f t="shared" si="16"/>
        <v>0.23575009556570259</v>
      </c>
      <c r="Q97" s="519">
        <f t="shared" si="5"/>
        <v>10.608754300456614</v>
      </c>
      <c r="R97" s="53"/>
      <c r="S97" s="1213">
        <f t="shared" si="6"/>
        <v>0.63652525802739679</v>
      </c>
      <c r="T97" s="1200">
        <f t="shared" si="9"/>
        <v>0.75076293281486894</v>
      </c>
      <c r="U97" s="1201">
        <f t="shared" si="9"/>
        <v>33.784331976669094</v>
      </c>
      <c r="V97" s="1201">
        <f t="shared" si="9"/>
        <v>0</v>
      </c>
      <c r="W97" s="1202">
        <f t="shared" si="9"/>
        <v>2.0270599186001457</v>
      </c>
    </row>
    <row r="98" spans="1:23">
      <c r="A98" s="123">
        <f>'Input data'!A134</f>
        <v>2034</v>
      </c>
      <c r="B98" s="1210">
        <f>'Recycling - Case 1'!AI114</f>
        <v>6437.6604656145792</v>
      </c>
      <c r="C98" s="1211">
        <f t="shared" si="18"/>
        <v>0.1</v>
      </c>
      <c r="D98" s="1211">
        <f t="shared" si="10"/>
        <v>0.9</v>
      </c>
      <c r="E98" s="53">
        <v>0</v>
      </c>
      <c r="F98" s="53">
        <v>0</v>
      </c>
      <c r="G98" s="776">
        <f t="shared" si="11"/>
        <v>0.51501283724916636</v>
      </c>
      <c r="H98" s="519">
        <f t="shared" si="12"/>
        <v>23.175577676212484</v>
      </c>
      <c r="I98" s="53"/>
      <c r="J98" s="776">
        <f t="shared" si="13"/>
        <v>1.3905346605727491</v>
      </c>
      <c r="K98" s="527">
        <f>'Recycling - Case 1'!Z154</f>
        <v>2959.9785922623614</v>
      </c>
      <c r="L98" s="1211">
        <f t="shared" si="19"/>
        <v>0.1</v>
      </c>
      <c r="M98" s="1211">
        <f t="shared" si="14"/>
        <v>0.9</v>
      </c>
      <c r="N98" s="53">
        <f t="shared" si="15"/>
        <v>0</v>
      </c>
      <c r="O98" s="53">
        <f t="shared" si="15"/>
        <v>0</v>
      </c>
      <c r="P98" s="178">
        <f t="shared" si="16"/>
        <v>0.23679828738098896</v>
      </c>
      <c r="Q98" s="519">
        <f t="shared" si="5"/>
        <v>10.655922932144502</v>
      </c>
      <c r="R98" s="53"/>
      <c r="S98" s="1213">
        <f t="shared" si="6"/>
        <v>0.63935537592866998</v>
      </c>
      <c r="T98" s="1200">
        <f t="shared" si="9"/>
        <v>0.75181112463015531</v>
      </c>
      <c r="U98" s="1201">
        <f t="shared" si="9"/>
        <v>33.83150060835699</v>
      </c>
      <c r="V98" s="1201">
        <f t="shared" si="9"/>
        <v>0</v>
      </c>
      <c r="W98" s="1202">
        <f t="shared" si="9"/>
        <v>2.0298900365014192</v>
      </c>
    </row>
    <row r="99" spans="1:23">
      <c r="A99" s="123">
        <f>'Input data'!A135</f>
        <v>2035</v>
      </c>
      <c r="B99" s="1210">
        <f>'Recycling - Case 1'!AI115</f>
        <v>6437.6604656145792</v>
      </c>
      <c r="C99" s="1211">
        <f t="shared" si="18"/>
        <v>0.1</v>
      </c>
      <c r="D99" s="1211">
        <f t="shared" si="10"/>
        <v>0.9</v>
      </c>
      <c r="E99" s="53">
        <v>0</v>
      </c>
      <c r="F99" s="53">
        <v>0</v>
      </c>
      <c r="G99" s="776">
        <f t="shared" si="11"/>
        <v>0.51501283724916636</v>
      </c>
      <c r="H99" s="519">
        <f t="shared" si="12"/>
        <v>23.175577676212484</v>
      </c>
      <c r="I99" s="53"/>
      <c r="J99" s="776">
        <f t="shared" si="13"/>
        <v>1.3905346605727491</v>
      </c>
      <c r="K99" s="527">
        <f>'Recycling - Case 1'!Z155</f>
        <v>751.91700000000026</v>
      </c>
      <c r="L99" s="1211">
        <f t="shared" si="19"/>
        <v>0.1</v>
      </c>
      <c r="M99" s="1211">
        <f t="shared" si="14"/>
        <v>0.9</v>
      </c>
      <c r="N99" s="53">
        <f t="shared" ref="N99:O114" si="20">N97</f>
        <v>0</v>
      </c>
      <c r="O99" s="53">
        <f t="shared" si="20"/>
        <v>0</v>
      </c>
      <c r="P99" s="178">
        <f>L99*$D$5*K99/1000-N99</f>
        <v>6.0153360000000038E-2</v>
      </c>
      <c r="Q99" s="519">
        <f t="shared" si="5"/>
        <v>2.7069012000000012</v>
      </c>
      <c r="R99" s="53"/>
      <c r="S99" s="1213">
        <f t="shared" si="6"/>
        <v>0.16241407200000005</v>
      </c>
      <c r="T99" s="1200">
        <f t="shared" si="9"/>
        <v>0.5751661972491664</v>
      </c>
      <c r="U99" s="1201">
        <f t="shared" si="9"/>
        <v>25.882478876212485</v>
      </c>
      <c r="V99" s="1201">
        <f t="shared" si="9"/>
        <v>0</v>
      </c>
      <c r="W99" s="1202">
        <f t="shared" si="9"/>
        <v>1.5529487325727491</v>
      </c>
    </row>
    <row r="100" spans="1:23">
      <c r="A100" s="123">
        <f>'Input data'!A136</f>
        <v>2036</v>
      </c>
      <c r="B100" s="1210">
        <f>'Recycling - Case 1'!AI116</f>
        <v>6437.6604656145792</v>
      </c>
      <c r="C100" s="1211">
        <f t="shared" si="18"/>
        <v>0.1</v>
      </c>
      <c r="D100" s="1211">
        <f t="shared" si="10"/>
        <v>0.9</v>
      </c>
      <c r="E100" s="53">
        <v>0</v>
      </c>
      <c r="F100" s="53">
        <v>0</v>
      </c>
      <c r="G100" s="776">
        <f t="shared" si="11"/>
        <v>0.51501283724916636</v>
      </c>
      <c r="H100" s="519">
        <f t="shared" si="12"/>
        <v>23.175577676212484</v>
      </c>
      <c r="I100" s="53"/>
      <c r="J100" s="776">
        <f>D100*$D$7*B100/1000</f>
        <v>1.3905346605727491</v>
      </c>
      <c r="K100" s="527">
        <f>'Recycling - Case 1'!Z156</f>
        <v>751.91700000000026</v>
      </c>
      <c r="L100" s="1211">
        <f t="shared" si="19"/>
        <v>0.1</v>
      </c>
      <c r="M100" s="1211">
        <f t="shared" si="14"/>
        <v>0.9</v>
      </c>
      <c r="N100" s="53">
        <f t="shared" si="20"/>
        <v>0</v>
      </c>
      <c r="O100" s="53">
        <f t="shared" si="20"/>
        <v>0</v>
      </c>
      <c r="P100" s="178">
        <f t="shared" si="16"/>
        <v>6.0153360000000038E-2</v>
      </c>
      <c r="Q100" s="519">
        <f t="shared" si="5"/>
        <v>2.7069012000000012</v>
      </c>
      <c r="R100" s="53"/>
      <c r="S100" s="1213">
        <f t="shared" si="6"/>
        <v>0.16241407200000005</v>
      </c>
      <c r="T100" s="1200">
        <f t="shared" si="9"/>
        <v>0.5751661972491664</v>
      </c>
      <c r="U100" s="1201">
        <f t="shared" si="9"/>
        <v>25.882478876212485</v>
      </c>
      <c r="V100" s="1201">
        <f t="shared" si="9"/>
        <v>0</v>
      </c>
      <c r="W100" s="1202">
        <f t="shared" si="9"/>
        <v>1.5529487325727491</v>
      </c>
    </row>
    <row r="101" spans="1:23">
      <c r="A101" s="123">
        <f>'Input data'!A137</f>
        <v>2037</v>
      </c>
      <c r="B101" s="1210">
        <f>'Recycling - Case 1'!AI117</f>
        <v>6437.6604656145792</v>
      </c>
      <c r="C101" s="1211">
        <f t="shared" si="18"/>
        <v>0.1</v>
      </c>
      <c r="D101" s="1211">
        <f t="shared" si="10"/>
        <v>0.9</v>
      </c>
      <c r="E101" s="53">
        <v>0</v>
      </c>
      <c r="F101" s="53">
        <v>0</v>
      </c>
      <c r="G101" s="776">
        <f t="shared" si="11"/>
        <v>0.51501283724916636</v>
      </c>
      <c r="H101" s="519">
        <f t="shared" si="12"/>
        <v>23.175577676212484</v>
      </c>
      <c r="I101" s="53"/>
      <c r="J101" s="776">
        <f t="shared" si="13"/>
        <v>1.3905346605727491</v>
      </c>
      <c r="K101" s="527">
        <f>'Recycling - Case 1'!Z157</f>
        <v>751.91700000000026</v>
      </c>
      <c r="L101" s="1211">
        <f t="shared" si="19"/>
        <v>0.1</v>
      </c>
      <c r="M101" s="1211">
        <f t="shared" si="14"/>
        <v>0.9</v>
      </c>
      <c r="N101" s="53">
        <f t="shared" si="20"/>
        <v>0</v>
      </c>
      <c r="O101" s="53">
        <f t="shared" si="20"/>
        <v>0</v>
      </c>
      <c r="P101" s="178">
        <f t="shared" si="16"/>
        <v>6.0153360000000038E-2</v>
      </c>
      <c r="Q101" s="519">
        <f t="shared" si="5"/>
        <v>2.7069012000000012</v>
      </c>
      <c r="R101" s="53"/>
      <c r="S101" s="1213">
        <f t="shared" si="6"/>
        <v>0.16241407200000005</v>
      </c>
      <c r="T101" s="1200">
        <f t="shared" si="9"/>
        <v>0.5751661972491664</v>
      </c>
      <c r="U101" s="1201">
        <f t="shared" si="9"/>
        <v>25.882478876212485</v>
      </c>
      <c r="V101" s="1201">
        <f t="shared" si="9"/>
        <v>0</v>
      </c>
      <c r="W101" s="1202">
        <f t="shared" si="9"/>
        <v>1.5529487325727491</v>
      </c>
    </row>
    <row r="102" spans="1:23">
      <c r="A102" s="123">
        <f>'Input data'!A138</f>
        <v>2038</v>
      </c>
      <c r="B102" s="1210">
        <f>'Recycling - Case 1'!AI118</f>
        <v>6437.6604656145792</v>
      </c>
      <c r="C102" s="1211">
        <f t="shared" si="18"/>
        <v>0.1</v>
      </c>
      <c r="D102" s="1211">
        <f t="shared" si="10"/>
        <v>0.9</v>
      </c>
      <c r="E102" s="53">
        <v>0</v>
      </c>
      <c r="F102" s="53">
        <v>0</v>
      </c>
      <c r="G102" s="776">
        <f t="shared" si="11"/>
        <v>0.51501283724916636</v>
      </c>
      <c r="H102" s="519">
        <f t="shared" si="12"/>
        <v>23.175577676212484</v>
      </c>
      <c r="I102" s="53"/>
      <c r="J102" s="776">
        <f t="shared" si="13"/>
        <v>1.3905346605727491</v>
      </c>
      <c r="K102" s="527">
        <f>'Recycling - Case 1'!Z158</f>
        <v>751.91700000000026</v>
      </c>
      <c r="L102" s="1211">
        <f t="shared" si="19"/>
        <v>0.1</v>
      </c>
      <c r="M102" s="1211">
        <f t="shared" si="14"/>
        <v>0.9</v>
      </c>
      <c r="N102" s="53">
        <f t="shared" si="20"/>
        <v>0</v>
      </c>
      <c r="O102" s="53">
        <f t="shared" si="20"/>
        <v>0</v>
      </c>
      <c r="P102" s="178">
        <f t="shared" si="16"/>
        <v>6.0153360000000038E-2</v>
      </c>
      <c r="Q102" s="519">
        <f t="shared" si="5"/>
        <v>2.7069012000000012</v>
      </c>
      <c r="R102" s="53"/>
      <c r="S102" s="1213">
        <f t="shared" si="6"/>
        <v>0.16241407200000005</v>
      </c>
      <c r="T102" s="1200">
        <f t="shared" si="9"/>
        <v>0.5751661972491664</v>
      </c>
      <c r="U102" s="1201">
        <f t="shared" si="9"/>
        <v>25.882478876212485</v>
      </c>
      <c r="V102" s="1201">
        <f t="shared" si="9"/>
        <v>0</v>
      </c>
      <c r="W102" s="1202">
        <f t="shared" si="9"/>
        <v>1.5529487325727491</v>
      </c>
    </row>
    <row r="103" spans="1:23">
      <c r="A103" s="123">
        <f>'Input data'!A139</f>
        <v>2039</v>
      </c>
      <c r="B103" s="1210">
        <f>'Recycling - Case 1'!AI119</f>
        <v>6437.6604656145792</v>
      </c>
      <c r="C103" s="1211">
        <f t="shared" si="18"/>
        <v>0.1</v>
      </c>
      <c r="D103" s="1211">
        <f t="shared" si="10"/>
        <v>0.9</v>
      </c>
      <c r="E103" s="53">
        <v>0</v>
      </c>
      <c r="F103" s="53">
        <v>0</v>
      </c>
      <c r="G103" s="776">
        <f t="shared" si="11"/>
        <v>0.51501283724916636</v>
      </c>
      <c r="H103" s="519">
        <f t="shared" si="12"/>
        <v>23.175577676212484</v>
      </c>
      <c r="I103" s="53"/>
      <c r="J103" s="776">
        <f t="shared" si="13"/>
        <v>1.3905346605727491</v>
      </c>
      <c r="K103" s="527">
        <f>'Recycling - Case 1'!Z159</f>
        <v>751.91700000000026</v>
      </c>
      <c r="L103" s="1211">
        <f t="shared" si="19"/>
        <v>0.1</v>
      </c>
      <c r="M103" s="1211">
        <f t="shared" si="14"/>
        <v>0.9</v>
      </c>
      <c r="N103" s="53">
        <f t="shared" si="20"/>
        <v>0</v>
      </c>
      <c r="O103" s="53">
        <f t="shared" si="20"/>
        <v>0</v>
      </c>
      <c r="P103" s="178">
        <f t="shared" si="16"/>
        <v>6.0153360000000038E-2</v>
      </c>
      <c r="Q103" s="519">
        <f t="shared" si="5"/>
        <v>2.7069012000000012</v>
      </c>
      <c r="R103" s="53"/>
      <c r="S103" s="1213">
        <f t="shared" si="6"/>
        <v>0.16241407200000005</v>
      </c>
      <c r="T103" s="1200">
        <f t="shared" si="9"/>
        <v>0.5751661972491664</v>
      </c>
      <c r="U103" s="1201">
        <f t="shared" si="9"/>
        <v>25.882478876212485</v>
      </c>
      <c r="V103" s="1201">
        <f t="shared" si="9"/>
        <v>0</v>
      </c>
      <c r="W103" s="1202">
        <f t="shared" si="9"/>
        <v>1.5529487325727491</v>
      </c>
    </row>
    <row r="104" spans="1:23">
      <c r="A104" s="123">
        <f>'Input data'!A140</f>
        <v>2040</v>
      </c>
      <c r="B104" s="1210">
        <f>'Recycling - Case 1'!AI120</f>
        <v>6437.6604656145792</v>
      </c>
      <c r="C104" s="1211">
        <f t="shared" si="18"/>
        <v>0.1</v>
      </c>
      <c r="D104" s="1211">
        <f t="shared" si="10"/>
        <v>0.9</v>
      </c>
      <c r="E104" s="53">
        <v>0</v>
      </c>
      <c r="F104" s="53">
        <v>0</v>
      </c>
      <c r="G104" s="776">
        <f t="shared" si="11"/>
        <v>0.51501283724916636</v>
      </c>
      <c r="H104" s="519">
        <f t="shared" si="12"/>
        <v>23.175577676212484</v>
      </c>
      <c r="I104" s="53"/>
      <c r="J104" s="776">
        <f t="shared" si="13"/>
        <v>1.3905346605727491</v>
      </c>
      <c r="K104" s="527">
        <f>'Recycling - Case 1'!Z160</f>
        <v>751.91700000000026</v>
      </c>
      <c r="L104" s="1211">
        <f t="shared" si="19"/>
        <v>0.1</v>
      </c>
      <c r="M104" s="1211">
        <f t="shared" si="14"/>
        <v>0.9</v>
      </c>
      <c r="N104" s="53">
        <f t="shared" si="20"/>
        <v>0</v>
      </c>
      <c r="O104" s="53">
        <f t="shared" si="20"/>
        <v>0</v>
      </c>
      <c r="P104" s="178">
        <f t="shared" si="16"/>
        <v>6.0153360000000038E-2</v>
      </c>
      <c r="Q104" s="519">
        <f t="shared" si="5"/>
        <v>2.7069012000000012</v>
      </c>
      <c r="R104" s="53"/>
      <c r="S104" s="1213">
        <f t="shared" si="6"/>
        <v>0.16241407200000005</v>
      </c>
      <c r="T104" s="1200">
        <f t="shared" si="9"/>
        <v>0.5751661972491664</v>
      </c>
      <c r="U104" s="1201">
        <f t="shared" si="9"/>
        <v>25.882478876212485</v>
      </c>
      <c r="V104" s="1201">
        <f t="shared" si="9"/>
        <v>0</v>
      </c>
      <c r="W104" s="1202">
        <f t="shared" si="9"/>
        <v>1.5529487325727491</v>
      </c>
    </row>
    <row r="105" spans="1:23">
      <c r="A105" s="123">
        <f>'Input data'!A141</f>
        <v>2041</v>
      </c>
      <c r="B105" s="1210">
        <f>'Recycling - Case 1'!AI121</f>
        <v>6437.6604656145792</v>
      </c>
      <c r="C105" s="1211">
        <f t="shared" si="18"/>
        <v>0.1</v>
      </c>
      <c r="D105" s="1211">
        <f t="shared" si="10"/>
        <v>0.9</v>
      </c>
      <c r="E105" s="53">
        <v>0</v>
      </c>
      <c r="F105" s="53">
        <v>0</v>
      </c>
      <c r="G105" s="776">
        <f t="shared" si="11"/>
        <v>0.51501283724916636</v>
      </c>
      <c r="H105" s="519">
        <f t="shared" si="12"/>
        <v>23.175577676212484</v>
      </c>
      <c r="I105" s="53"/>
      <c r="J105" s="776">
        <f t="shared" si="13"/>
        <v>1.3905346605727491</v>
      </c>
      <c r="K105" s="527">
        <f>'Recycling - Case 1'!Z161</f>
        <v>751.91700000000026</v>
      </c>
      <c r="L105" s="1211">
        <f t="shared" si="19"/>
        <v>0.1</v>
      </c>
      <c r="M105" s="1211">
        <f t="shared" si="14"/>
        <v>0.9</v>
      </c>
      <c r="N105" s="53">
        <f t="shared" si="20"/>
        <v>0</v>
      </c>
      <c r="O105" s="53">
        <f t="shared" si="20"/>
        <v>0</v>
      </c>
      <c r="P105" s="178">
        <f t="shared" si="16"/>
        <v>6.0153360000000038E-2</v>
      </c>
      <c r="Q105" s="519">
        <f t="shared" si="5"/>
        <v>2.7069012000000012</v>
      </c>
      <c r="R105" s="53"/>
      <c r="S105" s="1213">
        <f t="shared" si="6"/>
        <v>0.16241407200000005</v>
      </c>
      <c r="T105" s="1200">
        <f t="shared" si="9"/>
        <v>0.5751661972491664</v>
      </c>
      <c r="U105" s="1201">
        <f t="shared" si="9"/>
        <v>25.882478876212485</v>
      </c>
      <c r="V105" s="1201">
        <f t="shared" si="9"/>
        <v>0</v>
      </c>
      <c r="W105" s="1202">
        <f t="shared" si="9"/>
        <v>1.5529487325727491</v>
      </c>
    </row>
    <row r="106" spans="1:23">
      <c r="A106" s="123">
        <f>'Input data'!A142</f>
        <v>2042</v>
      </c>
      <c r="B106" s="1210">
        <f>'Recycling - Case 1'!AI122</f>
        <v>6437.6604656145792</v>
      </c>
      <c r="C106" s="1211">
        <f t="shared" si="18"/>
        <v>0.1</v>
      </c>
      <c r="D106" s="1211">
        <f t="shared" si="10"/>
        <v>0.9</v>
      </c>
      <c r="E106" s="53">
        <v>0</v>
      </c>
      <c r="F106" s="53">
        <v>0</v>
      </c>
      <c r="G106" s="776">
        <f t="shared" si="11"/>
        <v>0.51501283724916636</v>
      </c>
      <c r="H106" s="519">
        <f t="shared" si="12"/>
        <v>23.175577676212484</v>
      </c>
      <c r="I106" s="53"/>
      <c r="J106" s="776">
        <f t="shared" si="13"/>
        <v>1.3905346605727491</v>
      </c>
      <c r="K106" s="527">
        <f>'Recycling - Case 1'!Z162</f>
        <v>751.91700000000026</v>
      </c>
      <c r="L106" s="1211">
        <f t="shared" si="19"/>
        <v>0.1</v>
      </c>
      <c r="M106" s="1211">
        <f t="shared" si="14"/>
        <v>0.9</v>
      </c>
      <c r="N106" s="53">
        <f t="shared" si="20"/>
        <v>0</v>
      </c>
      <c r="O106" s="53">
        <f t="shared" si="20"/>
        <v>0</v>
      </c>
      <c r="P106" s="178">
        <f t="shared" si="16"/>
        <v>6.0153360000000038E-2</v>
      </c>
      <c r="Q106" s="519">
        <f t="shared" si="5"/>
        <v>2.7069012000000012</v>
      </c>
      <c r="R106" s="53"/>
      <c r="S106" s="1213">
        <f t="shared" si="6"/>
        <v>0.16241407200000005</v>
      </c>
      <c r="T106" s="1200">
        <f t="shared" si="9"/>
        <v>0.5751661972491664</v>
      </c>
      <c r="U106" s="1201">
        <f t="shared" si="9"/>
        <v>25.882478876212485</v>
      </c>
      <c r="V106" s="1201">
        <f t="shared" si="9"/>
        <v>0</v>
      </c>
      <c r="W106" s="1202">
        <f t="shared" si="9"/>
        <v>1.5529487325727491</v>
      </c>
    </row>
    <row r="107" spans="1:23">
      <c r="A107" s="123">
        <f>'Input data'!A143</f>
        <v>2043</v>
      </c>
      <c r="B107" s="1210">
        <f>'Recycling - Case 1'!AI123</f>
        <v>6437.6604656145792</v>
      </c>
      <c r="C107" s="1211">
        <f t="shared" si="18"/>
        <v>0.1</v>
      </c>
      <c r="D107" s="1211">
        <f t="shared" si="10"/>
        <v>0.9</v>
      </c>
      <c r="E107" s="53">
        <v>0</v>
      </c>
      <c r="F107" s="53">
        <v>0</v>
      </c>
      <c r="G107" s="776">
        <f t="shared" si="11"/>
        <v>0.51501283724916636</v>
      </c>
      <c r="H107" s="519">
        <f t="shared" si="12"/>
        <v>23.175577676212484</v>
      </c>
      <c r="I107" s="53"/>
      <c r="J107" s="776">
        <f t="shared" si="13"/>
        <v>1.3905346605727491</v>
      </c>
      <c r="K107" s="527">
        <f>'Recycling - Case 1'!Z163</f>
        <v>751.91700000000026</v>
      </c>
      <c r="L107" s="1211">
        <f t="shared" si="19"/>
        <v>0.1</v>
      </c>
      <c r="M107" s="1211">
        <f t="shared" si="14"/>
        <v>0.9</v>
      </c>
      <c r="N107" s="53">
        <f t="shared" si="20"/>
        <v>0</v>
      </c>
      <c r="O107" s="53">
        <f t="shared" si="20"/>
        <v>0</v>
      </c>
      <c r="P107" s="178">
        <f t="shared" si="16"/>
        <v>6.0153360000000038E-2</v>
      </c>
      <c r="Q107" s="519">
        <f t="shared" si="5"/>
        <v>2.7069012000000012</v>
      </c>
      <c r="R107" s="53"/>
      <c r="S107" s="1213">
        <f t="shared" si="6"/>
        <v>0.16241407200000005</v>
      </c>
      <c r="T107" s="1200">
        <f t="shared" si="9"/>
        <v>0.5751661972491664</v>
      </c>
      <c r="U107" s="1201">
        <f t="shared" si="9"/>
        <v>25.882478876212485</v>
      </c>
      <c r="V107" s="1201">
        <f t="shared" si="9"/>
        <v>0</v>
      </c>
      <c r="W107" s="1202">
        <f t="shared" si="9"/>
        <v>1.5529487325727491</v>
      </c>
    </row>
    <row r="108" spans="1:23">
      <c r="A108" s="123">
        <f>'Input data'!A144</f>
        <v>2044</v>
      </c>
      <c r="B108" s="1210">
        <f>'Recycling - Case 1'!AI124</f>
        <v>6437.6604656145792</v>
      </c>
      <c r="C108" s="1211">
        <f t="shared" si="18"/>
        <v>0.1</v>
      </c>
      <c r="D108" s="1211">
        <f t="shared" si="10"/>
        <v>0.9</v>
      </c>
      <c r="E108" s="53">
        <v>0</v>
      </c>
      <c r="F108" s="53">
        <v>0</v>
      </c>
      <c r="G108" s="776">
        <f t="shared" si="11"/>
        <v>0.51501283724916636</v>
      </c>
      <c r="H108" s="519">
        <f t="shared" si="12"/>
        <v>23.175577676212484</v>
      </c>
      <c r="I108" s="53"/>
      <c r="J108" s="776">
        <f t="shared" si="13"/>
        <v>1.3905346605727491</v>
      </c>
      <c r="K108" s="527">
        <f>'Recycling - Case 1'!Z164</f>
        <v>751.91700000000026</v>
      </c>
      <c r="L108" s="1211">
        <f t="shared" si="19"/>
        <v>0.1</v>
      </c>
      <c r="M108" s="1211">
        <f t="shared" si="14"/>
        <v>0.9</v>
      </c>
      <c r="N108" s="53">
        <f t="shared" si="20"/>
        <v>0</v>
      </c>
      <c r="O108" s="53">
        <f t="shared" si="20"/>
        <v>0</v>
      </c>
      <c r="P108" s="178">
        <f t="shared" si="16"/>
        <v>6.0153360000000038E-2</v>
      </c>
      <c r="Q108" s="519">
        <f t="shared" si="5"/>
        <v>2.7069012000000012</v>
      </c>
      <c r="R108" s="53"/>
      <c r="S108" s="1213">
        <f t="shared" si="6"/>
        <v>0.16241407200000005</v>
      </c>
      <c r="T108" s="1200">
        <f t="shared" si="9"/>
        <v>0.5751661972491664</v>
      </c>
      <c r="U108" s="1201">
        <f t="shared" si="9"/>
        <v>25.882478876212485</v>
      </c>
      <c r="V108" s="1201">
        <f t="shared" si="9"/>
        <v>0</v>
      </c>
      <c r="W108" s="1202">
        <f t="shared" si="9"/>
        <v>1.5529487325727491</v>
      </c>
    </row>
    <row r="109" spans="1:23">
      <c r="A109" s="123">
        <f>'Input data'!A145</f>
        <v>2045</v>
      </c>
      <c r="B109" s="1210">
        <f>'Recycling - Case 1'!AI125</f>
        <v>6437.6604656145792</v>
      </c>
      <c r="C109" s="1211">
        <f t="shared" si="18"/>
        <v>0.1</v>
      </c>
      <c r="D109" s="1211">
        <f t="shared" si="10"/>
        <v>0.9</v>
      </c>
      <c r="E109" s="53">
        <v>0</v>
      </c>
      <c r="F109" s="53">
        <v>0</v>
      </c>
      <c r="G109" s="776">
        <f t="shared" si="11"/>
        <v>0.51501283724916636</v>
      </c>
      <c r="H109" s="519">
        <f t="shared" si="12"/>
        <v>23.175577676212484</v>
      </c>
      <c r="I109" s="53"/>
      <c r="J109" s="776">
        <f t="shared" si="13"/>
        <v>1.3905346605727491</v>
      </c>
      <c r="K109" s="527">
        <f>'Recycling - Case 1'!Z165</f>
        <v>751.91700000000026</v>
      </c>
      <c r="L109" s="1211">
        <f t="shared" si="19"/>
        <v>0.1</v>
      </c>
      <c r="M109" s="1211">
        <f t="shared" si="14"/>
        <v>0.9</v>
      </c>
      <c r="N109" s="53">
        <f t="shared" si="20"/>
        <v>0</v>
      </c>
      <c r="O109" s="53">
        <f t="shared" si="20"/>
        <v>0</v>
      </c>
      <c r="P109" s="178">
        <f t="shared" si="16"/>
        <v>6.0153360000000038E-2</v>
      </c>
      <c r="Q109" s="519">
        <f t="shared" si="5"/>
        <v>2.7069012000000012</v>
      </c>
      <c r="R109" s="53"/>
      <c r="S109" s="1213">
        <f t="shared" si="6"/>
        <v>0.16241407200000005</v>
      </c>
      <c r="T109" s="1200">
        <f t="shared" si="9"/>
        <v>0.5751661972491664</v>
      </c>
      <c r="U109" s="1201">
        <f t="shared" si="9"/>
        <v>25.882478876212485</v>
      </c>
      <c r="V109" s="1201">
        <f t="shared" si="9"/>
        <v>0</v>
      </c>
      <c r="W109" s="1202">
        <f t="shared" si="9"/>
        <v>1.5529487325727491</v>
      </c>
    </row>
    <row r="110" spans="1:23">
      <c r="A110" s="123">
        <f>'Input data'!A146</f>
        <v>2046</v>
      </c>
      <c r="B110" s="1210">
        <f>'Recycling - Case 1'!AI126</f>
        <v>6437.6604656145792</v>
      </c>
      <c r="C110" s="1211">
        <f t="shared" si="18"/>
        <v>0.1</v>
      </c>
      <c r="D110" s="1211">
        <f t="shared" si="10"/>
        <v>0.9</v>
      </c>
      <c r="E110" s="53">
        <v>0</v>
      </c>
      <c r="F110" s="53">
        <v>0</v>
      </c>
      <c r="G110" s="776">
        <f t="shared" si="11"/>
        <v>0.51501283724916636</v>
      </c>
      <c r="H110" s="519">
        <f t="shared" si="12"/>
        <v>23.175577676212484</v>
      </c>
      <c r="I110" s="53"/>
      <c r="J110" s="776">
        <f t="shared" si="13"/>
        <v>1.3905346605727491</v>
      </c>
      <c r="K110" s="527">
        <f>'Recycling - Case 1'!Z166</f>
        <v>751.91700000000026</v>
      </c>
      <c r="L110" s="1211">
        <f t="shared" si="19"/>
        <v>0.1</v>
      </c>
      <c r="M110" s="1211">
        <f t="shared" si="14"/>
        <v>0.9</v>
      </c>
      <c r="N110" s="53">
        <f t="shared" si="20"/>
        <v>0</v>
      </c>
      <c r="O110" s="53">
        <f t="shared" si="20"/>
        <v>0</v>
      </c>
      <c r="P110" s="178">
        <f t="shared" si="16"/>
        <v>6.0153360000000038E-2</v>
      </c>
      <c r="Q110" s="519">
        <f t="shared" si="5"/>
        <v>2.7069012000000012</v>
      </c>
      <c r="R110" s="53"/>
      <c r="S110" s="1213">
        <f t="shared" si="6"/>
        <v>0.16241407200000005</v>
      </c>
      <c r="T110" s="1200">
        <f t="shared" si="9"/>
        <v>0.5751661972491664</v>
      </c>
      <c r="U110" s="1201">
        <f t="shared" si="9"/>
        <v>25.882478876212485</v>
      </c>
      <c r="V110" s="1201">
        <f t="shared" si="9"/>
        <v>0</v>
      </c>
      <c r="W110" s="1202">
        <f t="shared" si="9"/>
        <v>1.5529487325727491</v>
      </c>
    </row>
    <row r="111" spans="1:23">
      <c r="A111" s="123">
        <f>'Input data'!A147</f>
        <v>2047</v>
      </c>
      <c r="B111" s="1210">
        <f>'Recycling - Case 1'!AI127</f>
        <v>6437.6604656145792</v>
      </c>
      <c r="C111" s="1211">
        <f t="shared" si="18"/>
        <v>0.1</v>
      </c>
      <c r="D111" s="1211">
        <f t="shared" si="10"/>
        <v>0.9</v>
      </c>
      <c r="E111" s="53">
        <v>0</v>
      </c>
      <c r="F111" s="53">
        <v>0</v>
      </c>
      <c r="G111" s="776">
        <f t="shared" si="11"/>
        <v>0.51501283724916636</v>
      </c>
      <c r="H111" s="519">
        <f t="shared" si="12"/>
        <v>23.175577676212484</v>
      </c>
      <c r="I111" s="53"/>
      <c r="J111" s="776">
        <f t="shared" si="13"/>
        <v>1.3905346605727491</v>
      </c>
      <c r="K111" s="527">
        <f>'Recycling - Case 1'!Z167</f>
        <v>751.91700000000026</v>
      </c>
      <c r="L111" s="1211">
        <f t="shared" si="19"/>
        <v>0.1</v>
      </c>
      <c r="M111" s="1211">
        <f t="shared" si="14"/>
        <v>0.9</v>
      </c>
      <c r="N111" s="53">
        <f t="shared" si="20"/>
        <v>0</v>
      </c>
      <c r="O111" s="53">
        <f t="shared" si="20"/>
        <v>0</v>
      </c>
      <c r="P111" s="178">
        <f t="shared" si="16"/>
        <v>6.0153360000000038E-2</v>
      </c>
      <c r="Q111" s="519">
        <f t="shared" si="5"/>
        <v>2.7069012000000012</v>
      </c>
      <c r="R111" s="53"/>
      <c r="S111" s="1213">
        <f t="shared" si="6"/>
        <v>0.16241407200000005</v>
      </c>
      <c r="T111" s="1200">
        <f t="shared" si="9"/>
        <v>0.5751661972491664</v>
      </c>
      <c r="U111" s="1201">
        <f t="shared" si="9"/>
        <v>25.882478876212485</v>
      </c>
      <c r="V111" s="1201">
        <f t="shared" si="9"/>
        <v>0</v>
      </c>
      <c r="W111" s="1202">
        <f t="shared" si="9"/>
        <v>1.5529487325727491</v>
      </c>
    </row>
    <row r="112" spans="1:23">
      <c r="A112" s="123">
        <f>'Input data'!A148</f>
        <v>2048</v>
      </c>
      <c r="B112" s="1210">
        <f>'Recycling - Case 1'!AI128</f>
        <v>6437.6604656145792</v>
      </c>
      <c r="C112" s="1211">
        <f t="shared" si="18"/>
        <v>0.1</v>
      </c>
      <c r="D112" s="1211">
        <f t="shared" si="10"/>
        <v>0.9</v>
      </c>
      <c r="E112" s="53">
        <v>0</v>
      </c>
      <c r="F112" s="53">
        <v>0</v>
      </c>
      <c r="G112" s="776">
        <f t="shared" si="11"/>
        <v>0.51501283724916636</v>
      </c>
      <c r="H112" s="519">
        <f t="shared" si="12"/>
        <v>23.175577676212484</v>
      </c>
      <c r="I112" s="53"/>
      <c r="J112" s="776">
        <f t="shared" si="13"/>
        <v>1.3905346605727491</v>
      </c>
      <c r="K112" s="527">
        <f>'Recycling - Case 1'!Z168</f>
        <v>751.91700000000026</v>
      </c>
      <c r="L112" s="1211">
        <f t="shared" si="19"/>
        <v>0.1</v>
      </c>
      <c r="M112" s="1211">
        <f t="shared" si="14"/>
        <v>0.9</v>
      </c>
      <c r="N112" s="53">
        <f t="shared" si="20"/>
        <v>0</v>
      </c>
      <c r="O112" s="53">
        <f t="shared" si="20"/>
        <v>0</v>
      </c>
      <c r="P112" s="178">
        <f t="shared" si="16"/>
        <v>6.0153360000000038E-2</v>
      </c>
      <c r="Q112" s="519">
        <f t="shared" si="5"/>
        <v>2.7069012000000012</v>
      </c>
      <c r="R112" s="53"/>
      <c r="S112" s="1213">
        <f t="shared" si="6"/>
        <v>0.16241407200000005</v>
      </c>
      <c r="T112" s="1200">
        <f t="shared" si="9"/>
        <v>0.5751661972491664</v>
      </c>
      <c r="U112" s="1201">
        <f t="shared" si="9"/>
        <v>25.882478876212485</v>
      </c>
      <c r="V112" s="1201">
        <f t="shared" si="9"/>
        <v>0</v>
      </c>
      <c r="W112" s="1202">
        <f t="shared" si="9"/>
        <v>1.5529487325727491</v>
      </c>
    </row>
    <row r="113" spans="1:23">
      <c r="A113" s="123">
        <f>'Input data'!A149</f>
        <v>2049</v>
      </c>
      <c r="B113" s="1210">
        <f>'Recycling - Case 1'!AI129</f>
        <v>6437.6604656145792</v>
      </c>
      <c r="C113" s="1211">
        <f t="shared" si="18"/>
        <v>0.1</v>
      </c>
      <c r="D113" s="1211">
        <f t="shared" si="10"/>
        <v>0.9</v>
      </c>
      <c r="E113" s="53">
        <v>0</v>
      </c>
      <c r="F113" s="53">
        <v>0</v>
      </c>
      <c r="G113" s="776">
        <f t="shared" si="11"/>
        <v>0.51501283724916636</v>
      </c>
      <c r="H113" s="519">
        <f t="shared" si="12"/>
        <v>23.175577676212484</v>
      </c>
      <c r="I113" s="53"/>
      <c r="J113" s="776">
        <f t="shared" si="13"/>
        <v>1.3905346605727491</v>
      </c>
      <c r="K113" s="527">
        <f>'Recycling - Case 1'!Z169</f>
        <v>751.91700000000026</v>
      </c>
      <c r="L113" s="1211">
        <f t="shared" si="19"/>
        <v>0.1</v>
      </c>
      <c r="M113" s="1211">
        <f t="shared" si="14"/>
        <v>0.9</v>
      </c>
      <c r="N113" s="53">
        <f t="shared" si="20"/>
        <v>0</v>
      </c>
      <c r="O113" s="53">
        <f t="shared" si="20"/>
        <v>0</v>
      </c>
      <c r="P113" s="776">
        <f t="shared" si="8"/>
        <v>6.0153360000000038E-2</v>
      </c>
      <c r="Q113" s="519">
        <f t="shared" si="5"/>
        <v>2.7069012000000012</v>
      </c>
      <c r="R113" s="53"/>
      <c r="S113" s="1213">
        <f t="shared" si="6"/>
        <v>0.16241407200000005</v>
      </c>
      <c r="T113" s="1200">
        <f t="shared" si="9"/>
        <v>0.5751661972491664</v>
      </c>
      <c r="U113" s="1201">
        <f t="shared" si="9"/>
        <v>25.882478876212485</v>
      </c>
      <c r="V113" s="1201">
        <f t="shared" si="9"/>
        <v>0</v>
      </c>
      <c r="W113" s="1202">
        <f t="shared" si="9"/>
        <v>1.5529487325727491</v>
      </c>
    </row>
    <row r="114" spans="1:23" ht="15.75" thickBot="1">
      <c r="A114" s="123">
        <f>'Input data'!A150</f>
        <v>2050</v>
      </c>
      <c r="B114" s="1210">
        <f>'Recycling - Case 1'!AI130</f>
        <v>6437.6604656145792</v>
      </c>
      <c r="C114" s="578">
        <f t="shared" si="18"/>
        <v>0.1</v>
      </c>
      <c r="D114" s="578">
        <f t="shared" si="10"/>
        <v>0.9</v>
      </c>
      <c r="E114" s="1214">
        <v>0</v>
      </c>
      <c r="F114" s="1214">
        <v>0</v>
      </c>
      <c r="G114" s="776">
        <f t="shared" si="11"/>
        <v>0.51501283724916636</v>
      </c>
      <c r="H114" s="519">
        <f t="shared" si="12"/>
        <v>23.175577676212484</v>
      </c>
      <c r="I114" s="1214"/>
      <c r="J114" s="1215">
        <f t="shared" si="13"/>
        <v>1.3905346605727491</v>
      </c>
      <c r="K114" s="527">
        <f>'Recycling - Case 1'!Z170</f>
        <v>751.91700000000026</v>
      </c>
      <c r="L114" s="578">
        <f t="shared" si="19"/>
        <v>0.1</v>
      </c>
      <c r="M114" s="578">
        <f t="shared" si="14"/>
        <v>0.9</v>
      </c>
      <c r="N114" s="1214">
        <f t="shared" si="20"/>
        <v>0</v>
      </c>
      <c r="O114" s="1214">
        <f t="shared" si="20"/>
        <v>0</v>
      </c>
      <c r="P114" s="1215">
        <f t="shared" si="8"/>
        <v>6.0153360000000038E-2</v>
      </c>
      <c r="Q114" s="1146">
        <f t="shared" si="5"/>
        <v>2.7069012000000012</v>
      </c>
      <c r="R114" s="1214"/>
      <c r="S114" s="1216">
        <f t="shared" si="6"/>
        <v>0.16241407200000005</v>
      </c>
      <c r="T114" s="1217">
        <f t="shared" si="9"/>
        <v>0.5751661972491664</v>
      </c>
      <c r="U114" s="1218">
        <f t="shared" si="9"/>
        <v>25.882478876212485</v>
      </c>
      <c r="V114" s="1218">
        <f t="shared" si="9"/>
        <v>0</v>
      </c>
      <c r="W114" s="1219">
        <f t="shared" si="9"/>
        <v>1.5529487325727491</v>
      </c>
    </row>
    <row r="115" spans="1:23">
      <c r="A115" s="1204" t="s">
        <v>641</v>
      </c>
      <c r="B115" s="1205"/>
      <c r="C115" s="1220"/>
      <c r="D115" s="1220"/>
      <c r="E115" s="1221"/>
      <c r="F115" s="1221"/>
      <c r="G115" s="1222"/>
      <c r="H115" s="1223"/>
      <c r="I115" s="1224"/>
      <c r="J115" s="1222"/>
      <c r="K115" s="1225"/>
      <c r="L115" s="1220"/>
      <c r="M115" s="1220"/>
      <c r="N115" s="1221"/>
      <c r="O115" s="1221"/>
      <c r="P115" s="1222"/>
      <c r="Q115" s="1223"/>
      <c r="R115" s="1221"/>
      <c r="S115" s="1226"/>
      <c r="T115" s="1196"/>
      <c r="U115" s="1197"/>
      <c r="V115" s="1197"/>
      <c r="W115" s="1198"/>
    </row>
    <row r="116" spans="1:23">
      <c r="A116" s="123">
        <f>'Input data'!A118</f>
        <v>2018</v>
      </c>
      <c r="B116" s="1210">
        <f>'Recycling - Case 1'!AI98</f>
        <v>3707.5235423427162</v>
      </c>
      <c r="C116" s="1211">
        <f>($C$120-$C$80)/($A$120-$A$80)+C80</f>
        <v>6.0000000000000005E-2</v>
      </c>
      <c r="D116" s="1211">
        <f>1-C116</f>
        <v>0.94</v>
      </c>
      <c r="E116" s="53">
        <v>0</v>
      </c>
      <c r="F116" s="53">
        <v>0</v>
      </c>
      <c r="G116" s="776">
        <f>C116*$D$5*B116/1000-E116</f>
        <v>0.1779611300324504</v>
      </c>
      <c r="H116" s="519">
        <f>D116*$D$4*B116/1000-F116</f>
        <v>13.940288519208613</v>
      </c>
      <c r="I116" s="53"/>
      <c r="J116" s="776">
        <f>D116*$D$7*B116/1000</f>
        <v>0.83641731115251661</v>
      </c>
      <c r="K116" s="1212">
        <f>'Recycling - Case 1'!Z178</f>
        <v>1793.8246078249765</v>
      </c>
      <c r="L116" s="1211">
        <f>($L$120-$L$80)/($A$120-$A$80)+L80</f>
        <v>0.1</v>
      </c>
      <c r="M116" s="1211">
        <f>1-L116</f>
        <v>0.9</v>
      </c>
      <c r="N116" s="53">
        <f>N114</f>
        <v>0</v>
      </c>
      <c r="O116" s="53">
        <f>O114</f>
        <v>0</v>
      </c>
      <c r="P116" s="776">
        <f>L116*$D$5*K116/1000-N116</f>
        <v>0.14350596862599815</v>
      </c>
      <c r="Q116" s="519">
        <f t="shared" ref="Q116:Q148" si="21">M116*$D$4*K116/1000-O116</f>
        <v>6.4577685881699152</v>
      </c>
      <c r="R116" s="53"/>
      <c r="S116" s="1213">
        <f t="shared" ref="S116:S148" si="22">M116*$D$7*K116/1000</f>
        <v>0.38746611529019492</v>
      </c>
      <c r="T116" s="1200">
        <f t="shared" ref="T116:W148" si="23">G116+P116</f>
        <v>0.32146709865844858</v>
      </c>
      <c r="U116" s="1201">
        <f t="shared" si="23"/>
        <v>20.398057107378527</v>
      </c>
      <c r="V116" s="1201">
        <f t="shared" si="23"/>
        <v>0</v>
      </c>
      <c r="W116" s="1202">
        <f t="shared" si="23"/>
        <v>1.2238834264427116</v>
      </c>
    </row>
    <row r="117" spans="1:23">
      <c r="A117" s="123">
        <f>'Input data'!A119</f>
        <v>2019</v>
      </c>
      <c r="B117" s="1210">
        <f>'Recycling - Case 1'!AI99</f>
        <v>4010.8720893729233</v>
      </c>
      <c r="C117" s="1211">
        <f>($C$120-$C$80)/($A$120-$A$80)+C116</f>
        <v>7.0000000000000007E-2</v>
      </c>
      <c r="D117" s="1211">
        <f t="shared" ref="D117:D148" si="24">1-C117</f>
        <v>0.92999999999999994</v>
      </c>
      <c r="E117" s="53">
        <v>0</v>
      </c>
      <c r="F117" s="53">
        <v>0</v>
      </c>
      <c r="G117" s="776">
        <f t="shared" ref="G117:G148" si="25">C117*$D$5*B117/1000-E117</f>
        <v>0.22460883700488374</v>
      </c>
      <c r="H117" s="519">
        <f t="shared" ref="H117:H148" si="26">D117*$D$4*B117/1000-F117</f>
        <v>14.920444172467274</v>
      </c>
      <c r="I117" s="53"/>
      <c r="J117" s="776">
        <f t="shared" ref="J117:J133" si="27">D117*$D$7*B117/1000</f>
        <v>0.89522665034803639</v>
      </c>
      <c r="K117" s="1212">
        <f>'Recycling - Case 1'!Z179</f>
        <v>1878.6693594882986</v>
      </c>
      <c r="L117" s="1211">
        <f>($L$120-$L$80)/($A$120-$A$80)+L116</f>
        <v>0.1</v>
      </c>
      <c r="M117" s="1211">
        <f t="shared" ref="M117:M148" si="28">1-L117</f>
        <v>0.9</v>
      </c>
      <c r="N117" s="53">
        <f t="shared" ref="N117:O132" si="29">N115</f>
        <v>0</v>
      </c>
      <c r="O117" s="53">
        <f t="shared" si="29"/>
        <v>0</v>
      </c>
      <c r="P117" s="776">
        <f>L117*$D$5*K117/1000-N117</f>
        <v>0.15029354875906392</v>
      </c>
      <c r="Q117" s="519">
        <f t="shared" si="21"/>
        <v>6.763209694157875</v>
      </c>
      <c r="R117" s="53"/>
      <c r="S117" s="1213">
        <f t="shared" si="22"/>
        <v>0.40579258164947246</v>
      </c>
      <c r="T117" s="1200">
        <f t="shared" si="23"/>
        <v>0.37490238576394763</v>
      </c>
      <c r="U117" s="1201">
        <f t="shared" si="23"/>
        <v>21.68365386662515</v>
      </c>
      <c r="V117" s="1201">
        <f t="shared" si="23"/>
        <v>0</v>
      </c>
      <c r="W117" s="1202">
        <f t="shared" si="23"/>
        <v>1.3010192319975089</v>
      </c>
    </row>
    <row r="118" spans="1:23">
      <c r="A118" s="123">
        <f>'Input data'!A120</f>
        <v>2020</v>
      </c>
      <c r="B118" s="1210">
        <f>'Recycling - Case 1'!AI100</f>
        <v>4314.2206364031299</v>
      </c>
      <c r="C118" s="1211">
        <f t="shared" ref="C118:C119" si="30">($C$120-$C$80)/($A$120-$A$80)+C117</f>
        <v>0.08</v>
      </c>
      <c r="D118" s="1211">
        <f t="shared" si="24"/>
        <v>0.92</v>
      </c>
      <c r="E118" s="53">
        <v>0</v>
      </c>
      <c r="F118" s="53">
        <v>0</v>
      </c>
      <c r="G118" s="776">
        <f t="shared" si="25"/>
        <v>0.27611012072980029</v>
      </c>
      <c r="H118" s="519">
        <f t="shared" si="26"/>
        <v>15.876331941963519</v>
      </c>
      <c r="I118" s="53"/>
      <c r="J118" s="776">
        <f t="shared" si="27"/>
        <v>0.95257991651781104</v>
      </c>
      <c r="K118" s="1212">
        <f>'Recycling - Case 1'!Z180</f>
        <v>1831.998471140033</v>
      </c>
      <c r="L118" s="1211">
        <f t="shared" ref="L118:L119" si="31">($L$120-$L$80)/($A$120-$A$80)+L117</f>
        <v>0.1</v>
      </c>
      <c r="M118" s="1211">
        <f t="shared" si="28"/>
        <v>0.9</v>
      </c>
      <c r="N118" s="53">
        <f t="shared" si="29"/>
        <v>0</v>
      </c>
      <c r="O118" s="53">
        <f t="shared" si="29"/>
        <v>0</v>
      </c>
      <c r="P118" s="776">
        <f t="shared" ref="P118:P148" si="32">L118*$D$5*K118/1000-N118</f>
        <v>0.14655987769120268</v>
      </c>
      <c r="Q118" s="519">
        <f t="shared" si="21"/>
        <v>6.5951944961041189</v>
      </c>
      <c r="R118" s="53"/>
      <c r="S118" s="1213">
        <f t="shared" si="22"/>
        <v>0.39571166976624711</v>
      </c>
      <c r="T118" s="1200">
        <f t="shared" si="23"/>
        <v>0.42266999842100295</v>
      </c>
      <c r="U118" s="1201">
        <f t="shared" si="23"/>
        <v>22.471526438067638</v>
      </c>
      <c r="V118" s="1201">
        <f t="shared" si="23"/>
        <v>0</v>
      </c>
      <c r="W118" s="1202">
        <f t="shared" si="23"/>
        <v>1.3482915862840581</v>
      </c>
    </row>
    <row r="119" spans="1:23">
      <c r="A119" s="123">
        <f>'Input data'!A121</f>
        <v>2021</v>
      </c>
      <c r="B119" s="1210">
        <f>'Recycling - Case 1'!AI101</f>
        <v>4617.5691834333375</v>
      </c>
      <c r="C119" s="1211">
        <f t="shared" si="30"/>
        <v>0.09</v>
      </c>
      <c r="D119" s="1211">
        <f t="shared" si="24"/>
        <v>0.91</v>
      </c>
      <c r="E119" s="53">
        <v>0</v>
      </c>
      <c r="F119" s="53">
        <v>0</v>
      </c>
      <c r="G119" s="776">
        <f t="shared" si="25"/>
        <v>0.33246498120720025</v>
      </c>
      <c r="H119" s="519">
        <f t="shared" si="26"/>
        <v>16.807951827697352</v>
      </c>
      <c r="I119" s="53"/>
      <c r="J119" s="776">
        <f t="shared" si="27"/>
        <v>1.008477109661841</v>
      </c>
      <c r="K119" s="1212">
        <f>'Recycling - Case 1'!Z181</f>
        <v>1947.2945311541612</v>
      </c>
      <c r="L119" s="1211">
        <f t="shared" si="31"/>
        <v>0.1</v>
      </c>
      <c r="M119" s="1211">
        <f t="shared" si="28"/>
        <v>0.9</v>
      </c>
      <c r="N119" s="53">
        <f t="shared" si="29"/>
        <v>0</v>
      </c>
      <c r="O119" s="53">
        <f t="shared" si="29"/>
        <v>0</v>
      </c>
      <c r="P119" s="776">
        <f t="shared" si="32"/>
        <v>0.15578356249233291</v>
      </c>
      <c r="Q119" s="519">
        <f t="shared" si="21"/>
        <v>7.0102603121549798</v>
      </c>
      <c r="R119" s="53"/>
      <c r="S119" s="1213">
        <f t="shared" si="22"/>
        <v>0.42061561872929881</v>
      </c>
      <c r="T119" s="1200">
        <f t="shared" si="23"/>
        <v>0.48824854369953319</v>
      </c>
      <c r="U119" s="1201">
        <f t="shared" si="23"/>
        <v>23.818212139852331</v>
      </c>
      <c r="V119" s="1201">
        <f t="shared" si="23"/>
        <v>0</v>
      </c>
      <c r="W119" s="1202">
        <f t="shared" si="23"/>
        <v>1.4290927283911399</v>
      </c>
    </row>
    <row r="120" spans="1:23">
      <c r="A120" s="123">
        <f>'Input data'!A122</f>
        <v>2022</v>
      </c>
      <c r="B120" s="1210">
        <f>'Recycling - Case 1'!AI102</f>
        <v>4920.9177304635441</v>
      </c>
      <c r="C120" s="1211">
        <f>'Recycling - Case 1'!C31</f>
        <v>0.1</v>
      </c>
      <c r="D120" s="1211">
        <f t="shared" si="24"/>
        <v>0.9</v>
      </c>
      <c r="E120" s="53">
        <v>0</v>
      </c>
      <c r="F120" s="53">
        <v>0</v>
      </c>
      <c r="G120" s="776">
        <f t="shared" si="25"/>
        <v>0.39367341843708364</v>
      </c>
      <c r="H120" s="519">
        <f t="shared" si="26"/>
        <v>17.715303829668759</v>
      </c>
      <c r="I120" s="53"/>
      <c r="J120" s="776">
        <f t="shared" si="27"/>
        <v>1.0629182297801256</v>
      </c>
      <c r="K120" s="1212">
        <f>'Recycling - Case 1'!Z182</f>
        <v>2059.3723526974704</v>
      </c>
      <c r="L120" s="1211">
        <f>'Recycling - Case 1'!C31</f>
        <v>0.1</v>
      </c>
      <c r="M120" s="1211">
        <f t="shared" si="28"/>
        <v>0.9</v>
      </c>
      <c r="N120" s="53">
        <f t="shared" si="29"/>
        <v>0</v>
      </c>
      <c r="O120" s="53">
        <f t="shared" si="29"/>
        <v>0</v>
      </c>
      <c r="P120" s="776">
        <f t="shared" si="32"/>
        <v>0.16474978821579767</v>
      </c>
      <c r="Q120" s="519">
        <f t="shared" si="21"/>
        <v>7.413740469710894</v>
      </c>
      <c r="R120" s="53"/>
      <c r="S120" s="1213">
        <f t="shared" si="22"/>
        <v>0.44482442818265361</v>
      </c>
      <c r="T120" s="1200">
        <f t="shared" si="23"/>
        <v>0.55842320665288137</v>
      </c>
      <c r="U120" s="1201">
        <f t="shared" si="23"/>
        <v>25.129044299379654</v>
      </c>
      <c r="V120" s="1201">
        <f t="shared" si="23"/>
        <v>0</v>
      </c>
      <c r="W120" s="1202">
        <f t="shared" si="23"/>
        <v>1.5077426579627793</v>
      </c>
    </row>
    <row r="121" spans="1:23">
      <c r="A121" s="123">
        <f>'Input data'!A123</f>
        <v>2023</v>
      </c>
      <c r="B121" s="1210">
        <f>'Recycling - Case 1'!AI103</f>
        <v>5224.2662774937517</v>
      </c>
      <c r="C121" s="1211">
        <f>C120</f>
        <v>0.1</v>
      </c>
      <c r="D121" s="1211">
        <f t="shared" si="24"/>
        <v>0.9</v>
      </c>
      <c r="E121" s="53">
        <v>0</v>
      </c>
      <c r="F121" s="53">
        <v>0</v>
      </c>
      <c r="G121" s="776">
        <f t="shared" si="25"/>
        <v>0.41794130219950021</v>
      </c>
      <c r="H121" s="519">
        <f t="shared" si="26"/>
        <v>18.807358598977505</v>
      </c>
      <c r="I121" s="53"/>
      <c r="J121" s="776">
        <f t="shared" si="27"/>
        <v>1.1284415159386503</v>
      </c>
      <c r="K121" s="1212">
        <f>'Recycling - Case 1'!Z183</f>
        <v>2171.5755999006997</v>
      </c>
      <c r="L121" s="1211">
        <f>L120</f>
        <v>0.1</v>
      </c>
      <c r="M121" s="1211">
        <f t="shared" si="28"/>
        <v>0.9</v>
      </c>
      <c r="N121" s="53">
        <f t="shared" si="29"/>
        <v>0</v>
      </c>
      <c r="O121" s="53">
        <f t="shared" si="29"/>
        <v>0</v>
      </c>
      <c r="P121" s="776">
        <f t="shared" si="32"/>
        <v>0.17372604799205602</v>
      </c>
      <c r="Q121" s="519">
        <f t="shared" si="21"/>
        <v>7.8176721596425187</v>
      </c>
      <c r="R121" s="53"/>
      <c r="S121" s="1213">
        <f t="shared" si="22"/>
        <v>0.46906032957855115</v>
      </c>
      <c r="T121" s="1200">
        <f t="shared" si="23"/>
        <v>0.59166735019155625</v>
      </c>
      <c r="U121" s="1201">
        <f t="shared" si="23"/>
        <v>26.625030758620024</v>
      </c>
      <c r="V121" s="1201">
        <f t="shared" si="23"/>
        <v>0</v>
      </c>
      <c r="W121" s="1202">
        <f t="shared" si="23"/>
        <v>1.5975018455172014</v>
      </c>
    </row>
    <row r="122" spans="1:23">
      <c r="A122" s="123">
        <f>'Input data'!A124</f>
        <v>2024</v>
      </c>
      <c r="B122" s="1210">
        <f>'Recycling - Case 1'!AI104</f>
        <v>5527.6148245239583</v>
      </c>
      <c r="C122" s="1211">
        <f t="shared" ref="C122:C148" si="33">C121</f>
        <v>0.1</v>
      </c>
      <c r="D122" s="1211">
        <f t="shared" si="24"/>
        <v>0.9</v>
      </c>
      <c r="E122" s="53">
        <v>0</v>
      </c>
      <c r="F122" s="53">
        <v>0</v>
      </c>
      <c r="G122" s="776">
        <f t="shared" si="25"/>
        <v>0.44220918596191677</v>
      </c>
      <c r="H122" s="519">
        <f t="shared" si="26"/>
        <v>19.89941336828625</v>
      </c>
      <c r="I122" s="53"/>
      <c r="J122" s="776">
        <f t="shared" si="27"/>
        <v>1.1939648020971749</v>
      </c>
      <c r="K122" s="1212">
        <f>'Recycling - Case 1'!Z184</f>
        <v>2289.6997004049217</v>
      </c>
      <c r="L122" s="1211">
        <f t="shared" ref="L122:L148" si="34">L121</f>
        <v>0.1</v>
      </c>
      <c r="M122" s="1211">
        <f t="shared" si="28"/>
        <v>0.9</v>
      </c>
      <c r="N122" s="53">
        <f t="shared" si="29"/>
        <v>0</v>
      </c>
      <c r="O122" s="53">
        <f t="shared" si="29"/>
        <v>0</v>
      </c>
      <c r="P122" s="776">
        <f t="shared" si="32"/>
        <v>0.18317597603239377</v>
      </c>
      <c r="Q122" s="519">
        <f t="shared" si="21"/>
        <v>8.2429189214577185</v>
      </c>
      <c r="R122" s="53"/>
      <c r="S122" s="1213">
        <f t="shared" si="22"/>
        <v>0.49457513528746305</v>
      </c>
      <c r="T122" s="1200">
        <f t="shared" si="23"/>
        <v>0.62538516199431049</v>
      </c>
      <c r="U122" s="1201">
        <f t="shared" si="23"/>
        <v>28.142332289743969</v>
      </c>
      <c r="V122" s="1201">
        <f t="shared" si="23"/>
        <v>0</v>
      </c>
      <c r="W122" s="1202">
        <f t="shared" si="23"/>
        <v>1.6885399373846379</v>
      </c>
    </row>
    <row r="123" spans="1:23">
      <c r="A123" s="123">
        <f>'Input data'!A125</f>
        <v>2025</v>
      </c>
      <c r="B123" s="1210">
        <f>'Recycling - Case 1'!AI105</f>
        <v>5830.9633715541659</v>
      </c>
      <c r="C123" s="1211">
        <f t="shared" si="33"/>
        <v>0.1</v>
      </c>
      <c r="D123" s="1211">
        <f t="shared" si="24"/>
        <v>0.9</v>
      </c>
      <c r="E123" s="53">
        <v>0</v>
      </c>
      <c r="F123" s="53">
        <v>0</v>
      </c>
      <c r="G123" s="776">
        <f t="shared" si="25"/>
        <v>0.46647706972433339</v>
      </c>
      <c r="H123" s="519">
        <f t="shared" si="26"/>
        <v>20.991468137595</v>
      </c>
      <c r="I123" s="53"/>
      <c r="J123" s="776">
        <f t="shared" si="27"/>
        <v>1.2594880882556998</v>
      </c>
      <c r="K123" s="1212">
        <f>'Recycling - Case 1'!Z185</f>
        <v>2408.1113071487689</v>
      </c>
      <c r="L123" s="1211">
        <f t="shared" si="34"/>
        <v>0.1</v>
      </c>
      <c r="M123" s="1211">
        <f t="shared" si="28"/>
        <v>0.9</v>
      </c>
      <c r="N123" s="53">
        <f t="shared" si="29"/>
        <v>0</v>
      </c>
      <c r="O123" s="53">
        <f t="shared" si="29"/>
        <v>0</v>
      </c>
      <c r="P123" s="776">
        <f t="shared" si="32"/>
        <v>0.19264890457190154</v>
      </c>
      <c r="Q123" s="519">
        <f t="shared" si="21"/>
        <v>8.6692007057355678</v>
      </c>
      <c r="R123" s="53"/>
      <c r="S123" s="1213">
        <f t="shared" si="22"/>
        <v>0.52015204234413404</v>
      </c>
      <c r="T123" s="1200">
        <f t="shared" si="23"/>
        <v>0.65912597429623498</v>
      </c>
      <c r="U123" s="1201">
        <f t="shared" si="23"/>
        <v>29.660668843330569</v>
      </c>
      <c r="V123" s="1201">
        <f t="shared" si="23"/>
        <v>0</v>
      </c>
      <c r="W123" s="1202">
        <f t="shared" si="23"/>
        <v>1.7796401305998337</v>
      </c>
    </row>
    <row r="124" spans="1:23">
      <c r="A124" s="123">
        <f>'Input data'!A126</f>
        <v>2026</v>
      </c>
      <c r="B124" s="1210">
        <f>'Recycling - Case 1'!AI106</f>
        <v>6134.3119185843725</v>
      </c>
      <c r="C124" s="1211">
        <f t="shared" si="33"/>
        <v>0.1</v>
      </c>
      <c r="D124" s="1211">
        <f t="shared" si="24"/>
        <v>0.9</v>
      </c>
      <c r="E124" s="53">
        <v>0</v>
      </c>
      <c r="F124" s="53">
        <v>0</v>
      </c>
      <c r="G124" s="776">
        <f t="shared" si="25"/>
        <v>0.4907449534867499</v>
      </c>
      <c r="H124" s="519">
        <f t="shared" si="26"/>
        <v>22.083522906903742</v>
      </c>
      <c r="I124" s="53"/>
      <c r="J124" s="776">
        <f t="shared" si="27"/>
        <v>1.3250113744142245</v>
      </c>
      <c r="K124" s="1212">
        <f>'Recycling - Case 1'!Z186</f>
        <v>2527.6686334669353</v>
      </c>
      <c r="L124" s="1211">
        <f t="shared" si="34"/>
        <v>0.1</v>
      </c>
      <c r="M124" s="1211">
        <f t="shared" si="28"/>
        <v>0.9</v>
      </c>
      <c r="N124" s="53">
        <f t="shared" si="29"/>
        <v>0</v>
      </c>
      <c r="O124" s="53">
        <f t="shared" si="29"/>
        <v>0</v>
      </c>
      <c r="P124" s="776">
        <f t="shared" si="32"/>
        <v>0.20221349067735486</v>
      </c>
      <c r="Q124" s="519">
        <f t="shared" si="21"/>
        <v>9.0996070804809683</v>
      </c>
      <c r="R124" s="53"/>
      <c r="S124" s="1213">
        <f t="shared" si="22"/>
        <v>0.54597642482885811</v>
      </c>
      <c r="T124" s="1200">
        <f t="shared" si="23"/>
        <v>0.69295844416410479</v>
      </c>
      <c r="U124" s="1201">
        <f t="shared" si="23"/>
        <v>31.18312998738471</v>
      </c>
      <c r="V124" s="1201">
        <f t="shared" si="23"/>
        <v>0</v>
      </c>
      <c r="W124" s="1202">
        <f t="shared" si="23"/>
        <v>1.8709877992430826</v>
      </c>
    </row>
    <row r="125" spans="1:23">
      <c r="A125" s="123">
        <f>'Input data'!A127</f>
        <v>2027</v>
      </c>
      <c r="B125" s="1210">
        <f>'Recycling - Case 1'!AI107</f>
        <v>6437.6604656145792</v>
      </c>
      <c r="C125" s="1211">
        <f t="shared" si="33"/>
        <v>0.1</v>
      </c>
      <c r="D125" s="1211">
        <f t="shared" si="24"/>
        <v>0.9</v>
      </c>
      <c r="E125" s="53">
        <v>0</v>
      </c>
      <c r="F125" s="53">
        <v>0</v>
      </c>
      <c r="G125" s="776">
        <f t="shared" si="25"/>
        <v>0.51501283724916636</v>
      </c>
      <c r="H125" s="519">
        <f t="shared" si="26"/>
        <v>23.175577676212484</v>
      </c>
      <c r="I125" s="53"/>
      <c r="J125" s="776">
        <f t="shared" si="27"/>
        <v>1.3905346605727491</v>
      </c>
      <c r="K125" s="1212">
        <f>'Recycling - Case 1'!Z187</f>
        <v>2646.1731704518984</v>
      </c>
      <c r="L125" s="1211">
        <f t="shared" si="34"/>
        <v>0.1</v>
      </c>
      <c r="M125" s="1211">
        <f t="shared" si="28"/>
        <v>0.9</v>
      </c>
      <c r="N125" s="53">
        <f t="shared" si="29"/>
        <v>0</v>
      </c>
      <c r="O125" s="53">
        <f t="shared" si="29"/>
        <v>0</v>
      </c>
      <c r="P125" s="776">
        <f t="shared" si="32"/>
        <v>0.21169385363615192</v>
      </c>
      <c r="Q125" s="519">
        <f t="shared" si="21"/>
        <v>9.526223413626834</v>
      </c>
      <c r="R125" s="53"/>
      <c r="S125" s="1213">
        <f t="shared" si="22"/>
        <v>0.57157340481760999</v>
      </c>
      <c r="T125" s="1200">
        <f t="shared" si="23"/>
        <v>0.72670669088531825</v>
      </c>
      <c r="U125" s="1201">
        <f t="shared" si="23"/>
        <v>32.701801089839321</v>
      </c>
      <c r="V125" s="1201">
        <f t="shared" si="23"/>
        <v>0</v>
      </c>
      <c r="W125" s="1202">
        <f t="shared" si="23"/>
        <v>1.9621080653903591</v>
      </c>
    </row>
    <row r="126" spans="1:23">
      <c r="A126" s="123">
        <f>'Input data'!A128</f>
        <v>2028</v>
      </c>
      <c r="B126" s="1210">
        <f>'Recycling - Case 1'!AI108</f>
        <v>6437.6604656145792</v>
      </c>
      <c r="C126" s="1211">
        <f t="shared" si="33"/>
        <v>0.1</v>
      </c>
      <c r="D126" s="1211">
        <f t="shared" si="24"/>
        <v>0.9</v>
      </c>
      <c r="E126" s="53">
        <v>0</v>
      </c>
      <c r="F126" s="53">
        <v>0</v>
      </c>
      <c r="G126" s="776">
        <f t="shared" si="25"/>
        <v>0.51501283724916636</v>
      </c>
      <c r="H126" s="519">
        <f t="shared" si="26"/>
        <v>23.175577676212484</v>
      </c>
      <c r="I126" s="53"/>
      <c r="J126" s="776">
        <f t="shared" si="27"/>
        <v>1.3905346605727491</v>
      </c>
      <c r="K126" s="1212">
        <f>'Recycling - Case 1'!Z188</f>
        <v>2691.530631344991</v>
      </c>
      <c r="L126" s="1211">
        <f t="shared" si="34"/>
        <v>0.1</v>
      </c>
      <c r="M126" s="1211">
        <f t="shared" si="28"/>
        <v>0.9</v>
      </c>
      <c r="N126" s="53">
        <f t="shared" si="29"/>
        <v>0</v>
      </c>
      <c r="O126" s="53">
        <f t="shared" si="29"/>
        <v>0</v>
      </c>
      <c r="P126" s="776">
        <f t="shared" si="32"/>
        <v>0.21532245050759932</v>
      </c>
      <c r="Q126" s="519">
        <f t="shared" si="21"/>
        <v>9.689510272841968</v>
      </c>
      <c r="R126" s="53"/>
      <c r="S126" s="1213">
        <f t="shared" si="22"/>
        <v>0.58137061637051801</v>
      </c>
      <c r="T126" s="1200">
        <f t="shared" si="23"/>
        <v>0.73033528775676571</v>
      </c>
      <c r="U126" s="1201">
        <f t="shared" si="23"/>
        <v>32.865087949054455</v>
      </c>
      <c r="V126" s="1201">
        <f t="shared" si="23"/>
        <v>0</v>
      </c>
      <c r="W126" s="1202">
        <f t="shared" si="23"/>
        <v>1.971905276943267</v>
      </c>
    </row>
    <row r="127" spans="1:23">
      <c r="A127" s="123">
        <f>'Input data'!A129</f>
        <v>2029</v>
      </c>
      <c r="B127" s="1210">
        <f>'Recycling - Case 1'!AI109</f>
        <v>6437.6604656145792</v>
      </c>
      <c r="C127" s="1211">
        <f t="shared" si="33"/>
        <v>0.1</v>
      </c>
      <c r="D127" s="1211">
        <f t="shared" si="24"/>
        <v>0.9</v>
      </c>
      <c r="E127" s="53">
        <v>0</v>
      </c>
      <c r="F127" s="53">
        <v>0</v>
      </c>
      <c r="G127" s="776">
        <f t="shared" si="25"/>
        <v>0.51501283724916636</v>
      </c>
      <c r="H127" s="519">
        <f t="shared" si="26"/>
        <v>23.175577676212484</v>
      </c>
      <c r="I127" s="53"/>
      <c r="J127" s="776">
        <f t="shared" si="27"/>
        <v>1.3905346605727491</v>
      </c>
      <c r="K127" s="1212">
        <f>'Recycling - Case 1'!Z189</f>
        <v>2734.9387524288591</v>
      </c>
      <c r="L127" s="1211">
        <f t="shared" si="34"/>
        <v>0.1</v>
      </c>
      <c r="M127" s="1211">
        <f t="shared" si="28"/>
        <v>0.9</v>
      </c>
      <c r="N127" s="53">
        <f t="shared" si="29"/>
        <v>0</v>
      </c>
      <c r="O127" s="53">
        <f t="shared" si="29"/>
        <v>0</v>
      </c>
      <c r="P127" s="776">
        <f t="shared" si="32"/>
        <v>0.21879510019430876</v>
      </c>
      <c r="Q127" s="519">
        <f t="shared" si="21"/>
        <v>9.8457795087438935</v>
      </c>
      <c r="R127" s="53"/>
      <c r="S127" s="1213">
        <f t="shared" si="22"/>
        <v>0.59074677052463354</v>
      </c>
      <c r="T127" s="1200">
        <f t="shared" si="23"/>
        <v>0.73380793744347517</v>
      </c>
      <c r="U127" s="1201">
        <f t="shared" si="23"/>
        <v>33.021357184956379</v>
      </c>
      <c r="V127" s="1201">
        <f t="shared" si="23"/>
        <v>0</v>
      </c>
      <c r="W127" s="1202">
        <f t="shared" si="23"/>
        <v>1.9812814310973828</v>
      </c>
    </row>
    <row r="128" spans="1:23">
      <c r="A128" s="123">
        <f>'Input data'!A130</f>
        <v>2030</v>
      </c>
      <c r="B128" s="1210">
        <f>'Recycling - Case 1'!AI110</f>
        <v>6437.6604656145792</v>
      </c>
      <c r="C128" s="1211">
        <f t="shared" si="33"/>
        <v>0.1</v>
      </c>
      <c r="D128" s="1211">
        <f t="shared" si="24"/>
        <v>0.9</v>
      </c>
      <c r="E128" s="53">
        <v>0</v>
      </c>
      <c r="F128" s="53">
        <v>0</v>
      </c>
      <c r="G128" s="776">
        <f t="shared" si="25"/>
        <v>0.51501283724916636</v>
      </c>
      <c r="H128" s="519">
        <f t="shared" si="26"/>
        <v>23.175577676212484</v>
      </c>
      <c r="I128" s="53"/>
      <c r="J128" s="776">
        <f t="shared" si="27"/>
        <v>1.3905346605727491</v>
      </c>
      <c r="K128" s="1212">
        <f>'Recycling - Case 1'!Z190</f>
        <v>2779.6537556460157</v>
      </c>
      <c r="L128" s="1211">
        <f t="shared" si="34"/>
        <v>0.1</v>
      </c>
      <c r="M128" s="1211">
        <f t="shared" si="28"/>
        <v>0.9</v>
      </c>
      <c r="N128" s="53">
        <f t="shared" si="29"/>
        <v>0</v>
      </c>
      <c r="O128" s="53">
        <f t="shared" si="29"/>
        <v>0</v>
      </c>
      <c r="P128" s="776">
        <f t="shared" si="32"/>
        <v>0.2223723004516813</v>
      </c>
      <c r="Q128" s="519">
        <f t="shared" si="21"/>
        <v>10.006753520325658</v>
      </c>
      <c r="R128" s="53"/>
      <c r="S128" s="1213">
        <f t="shared" si="22"/>
        <v>0.60040521121953938</v>
      </c>
      <c r="T128" s="1200">
        <f t="shared" si="23"/>
        <v>0.73738513770084768</v>
      </c>
      <c r="U128" s="1201">
        <f t="shared" si="23"/>
        <v>33.182331196538144</v>
      </c>
      <c r="V128" s="1201">
        <f t="shared" si="23"/>
        <v>0</v>
      </c>
      <c r="W128" s="1202">
        <f t="shared" si="23"/>
        <v>1.9909398717922886</v>
      </c>
    </row>
    <row r="129" spans="1:23">
      <c r="A129" s="123">
        <f>'Input data'!A131</f>
        <v>2031</v>
      </c>
      <c r="B129" s="1210">
        <f>'Recycling - Case 1'!AI111</f>
        <v>6437.6604656145792</v>
      </c>
      <c r="C129" s="1211">
        <f t="shared" si="33"/>
        <v>0.1</v>
      </c>
      <c r="D129" s="1211">
        <f t="shared" si="24"/>
        <v>0.9</v>
      </c>
      <c r="E129" s="53">
        <v>0</v>
      </c>
      <c r="F129" s="53">
        <v>0</v>
      </c>
      <c r="G129" s="776">
        <f t="shared" si="25"/>
        <v>0.51501283724916636</v>
      </c>
      <c r="H129" s="519">
        <f t="shared" si="26"/>
        <v>23.175577676212484</v>
      </c>
      <c r="I129" s="53"/>
      <c r="J129" s="776">
        <f t="shared" si="27"/>
        <v>1.3905346605727491</v>
      </c>
      <c r="K129" s="1212">
        <f>'Recycling - Case 1'!Z191</f>
        <v>2832.1304900599107</v>
      </c>
      <c r="L129" s="1211">
        <f t="shared" si="34"/>
        <v>0.1</v>
      </c>
      <c r="M129" s="1211">
        <f t="shared" si="28"/>
        <v>0.9</v>
      </c>
      <c r="N129" s="53">
        <f t="shared" si="29"/>
        <v>0</v>
      </c>
      <c r="O129" s="53">
        <f t="shared" si="29"/>
        <v>0</v>
      </c>
      <c r="P129" s="776">
        <f t="shared" si="32"/>
        <v>0.22657043920479292</v>
      </c>
      <c r="Q129" s="519">
        <f t="shared" si="21"/>
        <v>10.19566976421568</v>
      </c>
      <c r="R129" s="53"/>
      <c r="S129" s="1213">
        <f t="shared" si="22"/>
        <v>0.61174018585294077</v>
      </c>
      <c r="T129" s="1200">
        <f t="shared" si="23"/>
        <v>0.74158327645395927</v>
      </c>
      <c r="U129" s="1201">
        <f t="shared" si="23"/>
        <v>33.371247440428164</v>
      </c>
      <c r="V129" s="1201">
        <f t="shared" si="23"/>
        <v>0</v>
      </c>
      <c r="W129" s="1202">
        <f t="shared" si="23"/>
        <v>2.0022748464256899</v>
      </c>
    </row>
    <row r="130" spans="1:23">
      <c r="A130" s="123">
        <f>'Input data'!A132</f>
        <v>2032</v>
      </c>
      <c r="B130" s="1210">
        <f>'Recycling - Case 1'!AI112</f>
        <v>6437.6604656145792</v>
      </c>
      <c r="C130" s="1211">
        <f t="shared" si="33"/>
        <v>0.1</v>
      </c>
      <c r="D130" s="1211">
        <f t="shared" si="24"/>
        <v>0.9</v>
      </c>
      <c r="E130" s="53">
        <v>0</v>
      </c>
      <c r="F130" s="53">
        <v>0</v>
      </c>
      <c r="G130" s="776">
        <f t="shared" si="25"/>
        <v>0.51501283724916636</v>
      </c>
      <c r="H130" s="519">
        <f t="shared" si="26"/>
        <v>23.175577676212484</v>
      </c>
      <c r="I130" s="53"/>
      <c r="J130" s="776">
        <f t="shared" si="27"/>
        <v>1.3905346605727491</v>
      </c>
      <c r="K130" s="1212">
        <f>'Recycling - Case 1'!Z192</f>
        <v>2888.549661721353</v>
      </c>
      <c r="L130" s="1211">
        <f t="shared" si="34"/>
        <v>0.1</v>
      </c>
      <c r="M130" s="1211">
        <f t="shared" si="28"/>
        <v>0.9</v>
      </c>
      <c r="N130" s="53">
        <f t="shared" si="29"/>
        <v>0</v>
      </c>
      <c r="O130" s="53">
        <f t="shared" si="29"/>
        <v>0</v>
      </c>
      <c r="P130" s="776">
        <f t="shared" si="32"/>
        <v>0.2310839729377083</v>
      </c>
      <c r="Q130" s="519">
        <f t="shared" si="21"/>
        <v>10.398778782196871</v>
      </c>
      <c r="R130" s="53"/>
      <c r="S130" s="1213">
        <f t="shared" si="22"/>
        <v>0.62392672693181228</v>
      </c>
      <c r="T130" s="1200">
        <f t="shared" si="23"/>
        <v>0.74609681018687468</v>
      </c>
      <c r="U130" s="1201">
        <f t="shared" si="23"/>
        <v>33.574356458409355</v>
      </c>
      <c r="V130" s="1201">
        <f t="shared" si="23"/>
        <v>0</v>
      </c>
      <c r="W130" s="1202">
        <f t="shared" si="23"/>
        <v>2.0144613875045616</v>
      </c>
    </row>
    <row r="131" spans="1:23">
      <c r="A131" s="123">
        <f>'Input data'!A133</f>
        <v>2033</v>
      </c>
      <c r="B131" s="1210">
        <f>'Recycling - Case 1'!AI113</f>
        <v>6437.6604656145792</v>
      </c>
      <c r="C131" s="1211">
        <f t="shared" si="33"/>
        <v>0.1</v>
      </c>
      <c r="D131" s="1211">
        <f t="shared" si="24"/>
        <v>0.9</v>
      </c>
      <c r="E131" s="53">
        <v>0</v>
      </c>
      <c r="F131" s="53">
        <v>0</v>
      </c>
      <c r="G131" s="776">
        <f t="shared" si="25"/>
        <v>0.51501283724916636</v>
      </c>
      <c r="H131" s="519">
        <f t="shared" si="26"/>
        <v>23.175577676212484</v>
      </c>
      <c r="I131" s="53"/>
      <c r="J131" s="776">
        <f t="shared" si="27"/>
        <v>1.3905346605727491</v>
      </c>
      <c r="K131" s="1212">
        <f>'Recycling - Case 1'!Z193</f>
        <v>2946.8761945712818</v>
      </c>
      <c r="L131" s="1211">
        <f t="shared" si="34"/>
        <v>0.1</v>
      </c>
      <c r="M131" s="1211">
        <f t="shared" si="28"/>
        <v>0.9</v>
      </c>
      <c r="N131" s="53">
        <f t="shared" si="29"/>
        <v>0</v>
      </c>
      <c r="O131" s="53">
        <f t="shared" si="29"/>
        <v>0</v>
      </c>
      <c r="P131" s="776">
        <f t="shared" si="32"/>
        <v>0.23575009556570259</v>
      </c>
      <c r="Q131" s="519">
        <f t="shared" si="21"/>
        <v>10.608754300456614</v>
      </c>
      <c r="R131" s="53"/>
      <c r="S131" s="1213">
        <f t="shared" si="22"/>
        <v>0.63652525802739679</v>
      </c>
      <c r="T131" s="1200">
        <f t="shared" si="23"/>
        <v>0.75076293281486894</v>
      </c>
      <c r="U131" s="1201">
        <f t="shared" si="23"/>
        <v>33.784331976669094</v>
      </c>
      <c r="V131" s="1201">
        <f t="shared" si="23"/>
        <v>0</v>
      </c>
      <c r="W131" s="1202">
        <f t="shared" si="23"/>
        <v>2.0270599186001457</v>
      </c>
    </row>
    <row r="132" spans="1:23">
      <c r="A132" s="123">
        <f>'Input data'!A134</f>
        <v>2034</v>
      </c>
      <c r="B132" s="1210">
        <f>'Recycling - Case 1'!AI114</f>
        <v>6437.6604656145792</v>
      </c>
      <c r="C132" s="1211">
        <f t="shared" si="33"/>
        <v>0.1</v>
      </c>
      <c r="D132" s="1211">
        <f t="shared" si="24"/>
        <v>0.9</v>
      </c>
      <c r="E132" s="53">
        <v>0</v>
      </c>
      <c r="F132" s="53">
        <v>0</v>
      </c>
      <c r="G132" s="776">
        <f t="shared" si="25"/>
        <v>0.51501283724916636</v>
      </c>
      <c r="H132" s="519">
        <f t="shared" si="26"/>
        <v>23.175577676212484</v>
      </c>
      <c r="I132" s="53"/>
      <c r="J132" s="776">
        <f t="shared" si="27"/>
        <v>1.3905346605727491</v>
      </c>
      <c r="K132" s="1212">
        <f>'Recycling - Case 1'!Z194</f>
        <v>2959.9785922623614</v>
      </c>
      <c r="L132" s="1211">
        <f t="shared" si="34"/>
        <v>0.1</v>
      </c>
      <c r="M132" s="1211">
        <f t="shared" si="28"/>
        <v>0.9</v>
      </c>
      <c r="N132" s="53">
        <f t="shared" si="29"/>
        <v>0</v>
      </c>
      <c r="O132" s="53">
        <f t="shared" si="29"/>
        <v>0</v>
      </c>
      <c r="P132" s="776">
        <f t="shared" si="32"/>
        <v>0.23679828738098896</v>
      </c>
      <c r="Q132" s="519">
        <f t="shared" si="21"/>
        <v>10.655922932144502</v>
      </c>
      <c r="R132" s="53"/>
      <c r="S132" s="1213">
        <f t="shared" si="22"/>
        <v>0.63935537592866998</v>
      </c>
      <c r="T132" s="1200">
        <f t="shared" si="23"/>
        <v>0.75181112463015531</v>
      </c>
      <c r="U132" s="1201">
        <f t="shared" si="23"/>
        <v>33.83150060835699</v>
      </c>
      <c r="V132" s="1201">
        <f t="shared" si="23"/>
        <v>0</v>
      </c>
      <c r="W132" s="1202">
        <f t="shared" si="23"/>
        <v>2.0298900365014192</v>
      </c>
    </row>
    <row r="133" spans="1:23">
      <c r="A133" s="123">
        <f>'Input data'!A135</f>
        <v>2035</v>
      </c>
      <c r="B133" s="1210">
        <f>'Recycling - Case 1'!AI115</f>
        <v>6437.6604656145792</v>
      </c>
      <c r="C133" s="1211">
        <f t="shared" si="33"/>
        <v>0.1</v>
      </c>
      <c r="D133" s="1211">
        <f t="shared" si="24"/>
        <v>0.9</v>
      </c>
      <c r="E133" s="53">
        <v>0</v>
      </c>
      <c r="F133" s="53">
        <v>0</v>
      </c>
      <c r="G133" s="776">
        <f t="shared" si="25"/>
        <v>0.51501283724916636</v>
      </c>
      <c r="H133" s="519">
        <f t="shared" si="26"/>
        <v>23.175577676212484</v>
      </c>
      <c r="I133" s="53"/>
      <c r="J133" s="776">
        <f t="shared" si="27"/>
        <v>1.3905346605727491</v>
      </c>
      <c r="K133" s="1212">
        <f>'Recycling - Case 1'!Z195</f>
        <v>751.91700000000026</v>
      </c>
      <c r="L133" s="1211">
        <f t="shared" si="34"/>
        <v>0.1</v>
      </c>
      <c r="M133" s="1211">
        <f t="shared" si="28"/>
        <v>0.9</v>
      </c>
      <c r="N133" s="53">
        <f t="shared" ref="N133:O148" si="35">N131</f>
        <v>0</v>
      </c>
      <c r="O133" s="53">
        <f t="shared" si="35"/>
        <v>0</v>
      </c>
      <c r="P133" s="776">
        <f t="shared" si="32"/>
        <v>6.0153360000000038E-2</v>
      </c>
      <c r="Q133" s="519">
        <f t="shared" si="21"/>
        <v>2.7069012000000012</v>
      </c>
      <c r="R133" s="53"/>
      <c r="S133" s="1213">
        <f t="shared" si="22"/>
        <v>0.16241407200000005</v>
      </c>
      <c r="T133" s="1200">
        <f t="shared" si="23"/>
        <v>0.5751661972491664</v>
      </c>
      <c r="U133" s="1201">
        <f t="shared" si="23"/>
        <v>25.882478876212485</v>
      </c>
      <c r="V133" s="1201">
        <f t="shared" si="23"/>
        <v>0</v>
      </c>
      <c r="W133" s="1202">
        <f t="shared" si="23"/>
        <v>1.5529487325727491</v>
      </c>
    </row>
    <row r="134" spans="1:23">
      <c r="A134" s="123">
        <f>'Input data'!A136</f>
        <v>2036</v>
      </c>
      <c r="B134" s="1210">
        <f>'Recycling - Case 1'!AI116</f>
        <v>6437.6604656145792</v>
      </c>
      <c r="C134" s="1211">
        <f t="shared" si="33"/>
        <v>0.1</v>
      </c>
      <c r="D134" s="1211">
        <f t="shared" si="24"/>
        <v>0.9</v>
      </c>
      <c r="E134" s="53">
        <v>0</v>
      </c>
      <c r="F134" s="53">
        <v>0</v>
      </c>
      <c r="G134" s="776">
        <f t="shared" si="25"/>
        <v>0.51501283724916636</v>
      </c>
      <c r="H134" s="519">
        <f t="shared" si="26"/>
        <v>23.175577676212484</v>
      </c>
      <c r="I134" s="53"/>
      <c r="J134" s="776">
        <f>D134*$D$7*B134/1000</f>
        <v>1.3905346605727491</v>
      </c>
      <c r="K134" s="1212">
        <f>'Recycling - Case 1'!Z196</f>
        <v>751.91700000000026</v>
      </c>
      <c r="L134" s="1211">
        <f t="shared" si="34"/>
        <v>0.1</v>
      </c>
      <c r="M134" s="1211">
        <f t="shared" si="28"/>
        <v>0.9</v>
      </c>
      <c r="N134" s="53">
        <f t="shared" si="35"/>
        <v>0</v>
      </c>
      <c r="O134" s="53">
        <f t="shared" si="35"/>
        <v>0</v>
      </c>
      <c r="P134" s="776">
        <f t="shared" si="32"/>
        <v>6.0153360000000038E-2</v>
      </c>
      <c r="Q134" s="519">
        <f t="shared" si="21"/>
        <v>2.7069012000000012</v>
      </c>
      <c r="R134" s="53"/>
      <c r="S134" s="1213">
        <f t="shared" si="22"/>
        <v>0.16241407200000005</v>
      </c>
      <c r="T134" s="1200">
        <f t="shared" si="23"/>
        <v>0.5751661972491664</v>
      </c>
      <c r="U134" s="1201">
        <f t="shared" si="23"/>
        <v>25.882478876212485</v>
      </c>
      <c r="V134" s="1201">
        <f t="shared" si="23"/>
        <v>0</v>
      </c>
      <c r="W134" s="1202">
        <f t="shared" si="23"/>
        <v>1.5529487325727491</v>
      </c>
    </row>
    <row r="135" spans="1:23">
      <c r="A135" s="123">
        <f>'Input data'!A137</f>
        <v>2037</v>
      </c>
      <c r="B135" s="1210">
        <f>'Recycling - Case 1'!AI117</f>
        <v>6437.6604656145792</v>
      </c>
      <c r="C135" s="1211">
        <f t="shared" si="33"/>
        <v>0.1</v>
      </c>
      <c r="D135" s="1211">
        <f t="shared" si="24"/>
        <v>0.9</v>
      </c>
      <c r="E135" s="53">
        <v>0</v>
      </c>
      <c r="F135" s="53">
        <v>0</v>
      </c>
      <c r="G135" s="776">
        <f t="shared" si="25"/>
        <v>0.51501283724916636</v>
      </c>
      <c r="H135" s="519">
        <f t="shared" si="26"/>
        <v>23.175577676212484</v>
      </c>
      <c r="I135" s="53"/>
      <c r="J135" s="776">
        <f t="shared" ref="J135:J148" si="36">D135*$D$7*B135/1000</f>
        <v>1.3905346605727491</v>
      </c>
      <c r="K135" s="1212">
        <f>'Recycling - Case 1'!Z197</f>
        <v>751.91700000000026</v>
      </c>
      <c r="L135" s="1211">
        <f t="shared" si="34"/>
        <v>0.1</v>
      </c>
      <c r="M135" s="1211">
        <f t="shared" si="28"/>
        <v>0.9</v>
      </c>
      <c r="N135" s="53">
        <f t="shared" si="35"/>
        <v>0</v>
      </c>
      <c r="O135" s="53">
        <f t="shared" si="35"/>
        <v>0</v>
      </c>
      <c r="P135" s="776">
        <f t="shared" si="32"/>
        <v>6.0153360000000038E-2</v>
      </c>
      <c r="Q135" s="519">
        <f t="shared" si="21"/>
        <v>2.7069012000000012</v>
      </c>
      <c r="R135" s="53"/>
      <c r="S135" s="1213">
        <f t="shared" si="22"/>
        <v>0.16241407200000005</v>
      </c>
      <c r="T135" s="1200">
        <f t="shared" si="23"/>
        <v>0.5751661972491664</v>
      </c>
      <c r="U135" s="1201">
        <f t="shared" si="23"/>
        <v>25.882478876212485</v>
      </c>
      <c r="V135" s="1201">
        <f t="shared" si="23"/>
        <v>0</v>
      </c>
      <c r="W135" s="1202">
        <f t="shared" si="23"/>
        <v>1.5529487325727491</v>
      </c>
    </row>
    <row r="136" spans="1:23">
      <c r="A136" s="123">
        <f>'Input data'!A138</f>
        <v>2038</v>
      </c>
      <c r="B136" s="1210">
        <f>'Recycling - Case 1'!AI118</f>
        <v>6437.6604656145792</v>
      </c>
      <c r="C136" s="1211">
        <f t="shared" si="33"/>
        <v>0.1</v>
      </c>
      <c r="D136" s="1211">
        <f t="shared" si="24"/>
        <v>0.9</v>
      </c>
      <c r="E136" s="53">
        <v>0</v>
      </c>
      <c r="F136" s="53">
        <v>0</v>
      </c>
      <c r="G136" s="776">
        <f t="shared" si="25"/>
        <v>0.51501283724916636</v>
      </c>
      <c r="H136" s="519">
        <f t="shared" si="26"/>
        <v>23.175577676212484</v>
      </c>
      <c r="I136" s="53"/>
      <c r="J136" s="776">
        <f t="shared" si="36"/>
        <v>1.3905346605727491</v>
      </c>
      <c r="K136" s="1212">
        <f>'Recycling - Case 1'!Z198</f>
        <v>751.91700000000026</v>
      </c>
      <c r="L136" s="1211">
        <f t="shared" si="34"/>
        <v>0.1</v>
      </c>
      <c r="M136" s="1211">
        <f t="shared" si="28"/>
        <v>0.9</v>
      </c>
      <c r="N136" s="53">
        <f t="shared" si="35"/>
        <v>0</v>
      </c>
      <c r="O136" s="53">
        <f t="shared" si="35"/>
        <v>0</v>
      </c>
      <c r="P136" s="776">
        <f t="shared" si="32"/>
        <v>6.0153360000000038E-2</v>
      </c>
      <c r="Q136" s="519">
        <f t="shared" si="21"/>
        <v>2.7069012000000012</v>
      </c>
      <c r="R136" s="53"/>
      <c r="S136" s="1213">
        <f t="shared" si="22"/>
        <v>0.16241407200000005</v>
      </c>
      <c r="T136" s="1200">
        <f t="shared" si="23"/>
        <v>0.5751661972491664</v>
      </c>
      <c r="U136" s="1201">
        <f t="shared" si="23"/>
        <v>25.882478876212485</v>
      </c>
      <c r="V136" s="1201">
        <f t="shared" si="23"/>
        <v>0</v>
      </c>
      <c r="W136" s="1202">
        <f t="shared" si="23"/>
        <v>1.5529487325727491</v>
      </c>
    </row>
    <row r="137" spans="1:23">
      <c r="A137" s="123">
        <f>'Input data'!A139</f>
        <v>2039</v>
      </c>
      <c r="B137" s="1210">
        <f>'Recycling - Case 1'!AI119</f>
        <v>6437.6604656145792</v>
      </c>
      <c r="C137" s="1211">
        <f t="shared" si="33"/>
        <v>0.1</v>
      </c>
      <c r="D137" s="1211">
        <f t="shared" si="24"/>
        <v>0.9</v>
      </c>
      <c r="E137" s="53">
        <v>0</v>
      </c>
      <c r="F137" s="53">
        <v>0</v>
      </c>
      <c r="G137" s="776">
        <f t="shared" si="25"/>
        <v>0.51501283724916636</v>
      </c>
      <c r="H137" s="519">
        <f t="shared" si="26"/>
        <v>23.175577676212484</v>
      </c>
      <c r="I137" s="53"/>
      <c r="J137" s="776">
        <f t="shared" si="36"/>
        <v>1.3905346605727491</v>
      </c>
      <c r="K137" s="1212">
        <f>'Recycling - Case 1'!Z199</f>
        <v>751.91700000000026</v>
      </c>
      <c r="L137" s="1211">
        <f t="shared" si="34"/>
        <v>0.1</v>
      </c>
      <c r="M137" s="1211">
        <f t="shared" si="28"/>
        <v>0.9</v>
      </c>
      <c r="N137" s="53">
        <f t="shared" si="35"/>
        <v>0</v>
      </c>
      <c r="O137" s="53">
        <f t="shared" si="35"/>
        <v>0</v>
      </c>
      <c r="P137" s="776">
        <f t="shared" si="32"/>
        <v>6.0153360000000038E-2</v>
      </c>
      <c r="Q137" s="519">
        <f t="shared" si="21"/>
        <v>2.7069012000000012</v>
      </c>
      <c r="R137" s="53"/>
      <c r="S137" s="1213">
        <f t="shared" si="22"/>
        <v>0.16241407200000005</v>
      </c>
      <c r="T137" s="1200">
        <f t="shared" si="23"/>
        <v>0.5751661972491664</v>
      </c>
      <c r="U137" s="1201">
        <f t="shared" si="23"/>
        <v>25.882478876212485</v>
      </c>
      <c r="V137" s="1201">
        <f t="shared" si="23"/>
        <v>0</v>
      </c>
      <c r="W137" s="1202">
        <f t="shared" si="23"/>
        <v>1.5529487325727491</v>
      </c>
    </row>
    <row r="138" spans="1:23">
      <c r="A138" s="123">
        <f>'Input data'!A140</f>
        <v>2040</v>
      </c>
      <c r="B138" s="1210">
        <f>'Recycling - Case 1'!AI120</f>
        <v>6437.6604656145792</v>
      </c>
      <c r="C138" s="1211">
        <f t="shared" si="33"/>
        <v>0.1</v>
      </c>
      <c r="D138" s="1211">
        <f t="shared" si="24"/>
        <v>0.9</v>
      </c>
      <c r="E138" s="53">
        <v>0</v>
      </c>
      <c r="F138" s="53">
        <v>0</v>
      </c>
      <c r="G138" s="776">
        <f t="shared" si="25"/>
        <v>0.51501283724916636</v>
      </c>
      <c r="H138" s="519">
        <f t="shared" si="26"/>
        <v>23.175577676212484</v>
      </c>
      <c r="I138" s="53"/>
      <c r="J138" s="776">
        <f t="shared" si="36"/>
        <v>1.3905346605727491</v>
      </c>
      <c r="K138" s="1212">
        <f>'Recycling - Case 1'!Z200</f>
        <v>751.91700000000026</v>
      </c>
      <c r="L138" s="1211">
        <f t="shared" si="34"/>
        <v>0.1</v>
      </c>
      <c r="M138" s="1211">
        <f t="shared" si="28"/>
        <v>0.9</v>
      </c>
      <c r="N138" s="53">
        <f t="shared" si="35"/>
        <v>0</v>
      </c>
      <c r="O138" s="53">
        <f t="shared" si="35"/>
        <v>0</v>
      </c>
      <c r="P138" s="776">
        <f t="shared" si="32"/>
        <v>6.0153360000000038E-2</v>
      </c>
      <c r="Q138" s="519">
        <f t="shared" si="21"/>
        <v>2.7069012000000012</v>
      </c>
      <c r="R138" s="53"/>
      <c r="S138" s="1213">
        <f t="shared" si="22"/>
        <v>0.16241407200000005</v>
      </c>
      <c r="T138" s="1200">
        <f t="shared" si="23"/>
        <v>0.5751661972491664</v>
      </c>
      <c r="U138" s="1201">
        <f t="shared" si="23"/>
        <v>25.882478876212485</v>
      </c>
      <c r="V138" s="1201">
        <f t="shared" si="23"/>
        <v>0</v>
      </c>
      <c r="W138" s="1202">
        <f t="shared" si="23"/>
        <v>1.5529487325727491</v>
      </c>
    </row>
    <row r="139" spans="1:23">
      <c r="A139" s="123">
        <f>'Input data'!A141</f>
        <v>2041</v>
      </c>
      <c r="B139" s="1210">
        <f>'Recycling - Case 1'!AI121</f>
        <v>6437.6604656145792</v>
      </c>
      <c r="C139" s="1211">
        <f t="shared" si="33"/>
        <v>0.1</v>
      </c>
      <c r="D139" s="1211">
        <f t="shared" si="24"/>
        <v>0.9</v>
      </c>
      <c r="E139" s="53">
        <v>0</v>
      </c>
      <c r="F139" s="53">
        <v>0</v>
      </c>
      <c r="G139" s="776">
        <f t="shared" si="25"/>
        <v>0.51501283724916636</v>
      </c>
      <c r="H139" s="519">
        <f t="shared" si="26"/>
        <v>23.175577676212484</v>
      </c>
      <c r="I139" s="53"/>
      <c r="J139" s="776">
        <f t="shared" si="36"/>
        <v>1.3905346605727491</v>
      </c>
      <c r="K139" s="1212">
        <f>'Recycling - Case 1'!Z201</f>
        <v>751.91700000000026</v>
      </c>
      <c r="L139" s="1211">
        <f t="shared" si="34"/>
        <v>0.1</v>
      </c>
      <c r="M139" s="1211">
        <f t="shared" si="28"/>
        <v>0.9</v>
      </c>
      <c r="N139" s="53">
        <f t="shared" si="35"/>
        <v>0</v>
      </c>
      <c r="O139" s="53">
        <f t="shared" si="35"/>
        <v>0</v>
      </c>
      <c r="P139" s="776">
        <f t="shared" si="32"/>
        <v>6.0153360000000038E-2</v>
      </c>
      <c r="Q139" s="519">
        <f t="shared" si="21"/>
        <v>2.7069012000000012</v>
      </c>
      <c r="R139" s="53"/>
      <c r="S139" s="1213">
        <f t="shared" si="22"/>
        <v>0.16241407200000005</v>
      </c>
      <c r="T139" s="1200">
        <f t="shared" si="23"/>
        <v>0.5751661972491664</v>
      </c>
      <c r="U139" s="1201">
        <f t="shared" si="23"/>
        <v>25.882478876212485</v>
      </c>
      <c r="V139" s="1201">
        <f t="shared" si="23"/>
        <v>0</v>
      </c>
      <c r="W139" s="1202">
        <f t="shared" si="23"/>
        <v>1.5529487325727491</v>
      </c>
    </row>
    <row r="140" spans="1:23">
      <c r="A140" s="123">
        <f>'Input data'!A142</f>
        <v>2042</v>
      </c>
      <c r="B140" s="1210">
        <f>'Recycling - Case 1'!AI122</f>
        <v>6437.6604656145792</v>
      </c>
      <c r="C140" s="1211">
        <f t="shared" si="33"/>
        <v>0.1</v>
      </c>
      <c r="D140" s="1211">
        <f t="shared" si="24"/>
        <v>0.9</v>
      </c>
      <c r="E140" s="53">
        <v>0</v>
      </c>
      <c r="F140" s="53">
        <v>0</v>
      </c>
      <c r="G140" s="776">
        <f t="shared" si="25"/>
        <v>0.51501283724916636</v>
      </c>
      <c r="H140" s="519">
        <f t="shared" si="26"/>
        <v>23.175577676212484</v>
      </c>
      <c r="I140" s="53"/>
      <c r="J140" s="776">
        <f t="shared" si="36"/>
        <v>1.3905346605727491</v>
      </c>
      <c r="K140" s="1212">
        <f>'Recycling - Case 1'!Z202</f>
        <v>751.91700000000026</v>
      </c>
      <c r="L140" s="1211">
        <f t="shared" si="34"/>
        <v>0.1</v>
      </c>
      <c r="M140" s="1211">
        <f t="shared" si="28"/>
        <v>0.9</v>
      </c>
      <c r="N140" s="53">
        <f t="shared" si="35"/>
        <v>0</v>
      </c>
      <c r="O140" s="53">
        <f t="shared" si="35"/>
        <v>0</v>
      </c>
      <c r="P140" s="776">
        <f t="shared" si="32"/>
        <v>6.0153360000000038E-2</v>
      </c>
      <c r="Q140" s="519">
        <f t="shared" si="21"/>
        <v>2.7069012000000012</v>
      </c>
      <c r="R140" s="53"/>
      <c r="S140" s="1213">
        <f t="shared" si="22"/>
        <v>0.16241407200000005</v>
      </c>
      <c r="T140" s="1200">
        <f t="shared" si="23"/>
        <v>0.5751661972491664</v>
      </c>
      <c r="U140" s="1201">
        <f t="shared" si="23"/>
        <v>25.882478876212485</v>
      </c>
      <c r="V140" s="1201">
        <f t="shared" si="23"/>
        <v>0</v>
      </c>
      <c r="W140" s="1202">
        <f t="shared" si="23"/>
        <v>1.5529487325727491</v>
      </c>
    </row>
    <row r="141" spans="1:23">
      <c r="A141" s="123">
        <f>'Input data'!A143</f>
        <v>2043</v>
      </c>
      <c r="B141" s="1210">
        <f>'Recycling - Case 1'!AI123</f>
        <v>6437.6604656145792</v>
      </c>
      <c r="C141" s="1211">
        <f t="shared" si="33"/>
        <v>0.1</v>
      </c>
      <c r="D141" s="1211">
        <f t="shared" si="24"/>
        <v>0.9</v>
      </c>
      <c r="E141" s="53">
        <v>0</v>
      </c>
      <c r="F141" s="53">
        <v>0</v>
      </c>
      <c r="G141" s="776">
        <f t="shared" si="25"/>
        <v>0.51501283724916636</v>
      </c>
      <c r="H141" s="519">
        <f t="shared" si="26"/>
        <v>23.175577676212484</v>
      </c>
      <c r="I141" s="53"/>
      <c r="J141" s="776">
        <f t="shared" si="36"/>
        <v>1.3905346605727491</v>
      </c>
      <c r="K141" s="1212">
        <f>'Recycling - Case 1'!Z203</f>
        <v>751.91700000000026</v>
      </c>
      <c r="L141" s="1211">
        <f t="shared" si="34"/>
        <v>0.1</v>
      </c>
      <c r="M141" s="1211">
        <f t="shared" si="28"/>
        <v>0.9</v>
      </c>
      <c r="N141" s="53">
        <f t="shared" si="35"/>
        <v>0</v>
      </c>
      <c r="O141" s="53">
        <f t="shared" si="35"/>
        <v>0</v>
      </c>
      <c r="P141" s="776">
        <f t="shared" si="32"/>
        <v>6.0153360000000038E-2</v>
      </c>
      <c r="Q141" s="519">
        <f t="shared" si="21"/>
        <v>2.7069012000000012</v>
      </c>
      <c r="R141" s="53"/>
      <c r="S141" s="1213">
        <f t="shared" si="22"/>
        <v>0.16241407200000005</v>
      </c>
      <c r="T141" s="1200">
        <f t="shared" si="23"/>
        <v>0.5751661972491664</v>
      </c>
      <c r="U141" s="1201">
        <f t="shared" si="23"/>
        <v>25.882478876212485</v>
      </c>
      <c r="V141" s="1201">
        <f t="shared" si="23"/>
        <v>0</v>
      </c>
      <c r="W141" s="1202">
        <f t="shared" si="23"/>
        <v>1.5529487325727491</v>
      </c>
    </row>
    <row r="142" spans="1:23">
      <c r="A142" s="123">
        <f>'Input data'!A144</f>
        <v>2044</v>
      </c>
      <c r="B142" s="1210">
        <f>'Recycling - Case 1'!AI124</f>
        <v>6437.6604656145792</v>
      </c>
      <c r="C142" s="1211">
        <f t="shared" si="33"/>
        <v>0.1</v>
      </c>
      <c r="D142" s="1211">
        <f t="shared" si="24"/>
        <v>0.9</v>
      </c>
      <c r="E142" s="53">
        <v>0</v>
      </c>
      <c r="F142" s="53">
        <v>0</v>
      </c>
      <c r="G142" s="776">
        <f t="shared" si="25"/>
        <v>0.51501283724916636</v>
      </c>
      <c r="H142" s="519">
        <f t="shared" si="26"/>
        <v>23.175577676212484</v>
      </c>
      <c r="I142" s="53"/>
      <c r="J142" s="776">
        <f t="shared" si="36"/>
        <v>1.3905346605727491</v>
      </c>
      <c r="K142" s="1212">
        <f>'Recycling - Case 1'!Z204</f>
        <v>751.91700000000026</v>
      </c>
      <c r="L142" s="1211">
        <f t="shared" si="34"/>
        <v>0.1</v>
      </c>
      <c r="M142" s="1211">
        <f t="shared" si="28"/>
        <v>0.9</v>
      </c>
      <c r="N142" s="53">
        <f t="shared" si="35"/>
        <v>0</v>
      </c>
      <c r="O142" s="53">
        <f t="shared" si="35"/>
        <v>0</v>
      </c>
      <c r="P142" s="776">
        <f t="shared" si="32"/>
        <v>6.0153360000000038E-2</v>
      </c>
      <c r="Q142" s="519">
        <f t="shared" si="21"/>
        <v>2.7069012000000012</v>
      </c>
      <c r="R142" s="53"/>
      <c r="S142" s="1213">
        <f t="shared" si="22"/>
        <v>0.16241407200000005</v>
      </c>
      <c r="T142" s="1200">
        <f t="shared" si="23"/>
        <v>0.5751661972491664</v>
      </c>
      <c r="U142" s="1201">
        <f t="shared" si="23"/>
        <v>25.882478876212485</v>
      </c>
      <c r="V142" s="1201">
        <f t="shared" si="23"/>
        <v>0</v>
      </c>
      <c r="W142" s="1202">
        <f t="shared" si="23"/>
        <v>1.5529487325727491</v>
      </c>
    </row>
    <row r="143" spans="1:23">
      <c r="A143" s="123">
        <f>'Input data'!A145</f>
        <v>2045</v>
      </c>
      <c r="B143" s="1210">
        <f>'Recycling - Case 1'!AI125</f>
        <v>6437.6604656145792</v>
      </c>
      <c r="C143" s="1211">
        <f t="shared" si="33"/>
        <v>0.1</v>
      </c>
      <c r="D143" s="1211">
        <f t="shared" si="24"/>
        <v>0.9</v>
      </c>
      <c r="E143" s="53">
        <v>0</v>
      </c>
      <c r="F143" s="53">
        <v>0</v>
      </c>
      <c r="G143" s="776">
        <f t="shared" si="25"/>
        <v>0.51501283724916636</v>
      </c>
      <c r="H143" s="519">
        <f t="shared" si="26"/>
        <v>23.175577676212484</v>
      </c>
      <c r="I143" s="53"/>
      <c r="J143" s="776">
        <f t="shared" si="36"/>
        <v>1.3905346605727491</v>
      </c>
      <c r="K143" s="1212">
        <f>'Recycling - Case 1'!Z205</f>
        <v>751.91700000000026</v>
      </c>
      <c r="L143" s="1211">
        <f t="shared" si="34"/>
        <v>0.1</v>
      </c>
      <c r="M143" s="1211">
        <f t="shared" si="28"/>
        <v>0.9</v>
      </c>
      <c r="N143" s="53">
        <f t="shared" si="35"/>
        <v>0</v>
      </c>
      <c r="O143" s="53">
        <f t="shared" si="35"/>
        <v>0</v>
      </c>
      <c r="P143" s="776">
        <f t="shared" si="32"/>
        <v>6.0153360000000038E-2</v>
      </c>
      <c r="Q143" s="519">
        <f t="shared" si="21"/>
        <v>2.7069012000000012</v>
      </c>
      <c r="R143" s="53"/>
      <c r="S143" s="1213">
        <f t="shared" si="22"/>
        <v>0.16241407200000005</v>
      </c>
      <c r="T143" s="1200">
        <f t="shared" si="23"/>
        <v>0.5751661972491664</v>
      </c>
      <c r="U143" s="1201">
        <f t="shared" si="23"/>
        <v>25.882478876212485</v>
      </c>
      <c r="V143" s="1201">
        <f t="shared" si="23"/>
        <v>0</v>
      </c>
      <c r="W143" s="1202">
        <f t="shared" si="23"/>
        <v>1.5529487325727491</v>
      </c>
    </row>
    <row r="144" spans="1:23">
      <c r="A144" s="123">
        <f>'Input data'!A146</f>
        <v>2046</v>
      </c>
      <c r="B144" s="1210">
        <f>'Recycling - Case 1'!AI126</f>
        <v>6437.6604656145792</v>
      </c>
      <c r="C144" s="1211">
        <f t="shared" si="33"/>
        <v>0.1</v>
      </c>
      <c r="D144" s="1211">
        <f t="shared" si="24"/>
        <v>0.9</v>
      </c>
      <c r="E144" s="53">
        <v>0</v>
      </c>
      <c r="F144" s="53">
        <v>0</v>
      </c>
      <c r="G144" s="776">
        <f t="shared" si="25"/>
        <v>0.51501283724916636</v>
      </c>
      <c r="H144" s="519">
        <f t="shared" si="26"/>
        <v>23.175577676212484</v>
      </c>
      <c r="I144" s="53"/>
      <c r="J144" s="776">
        <f t="shared" si="36"/>
        <v>1.3905346605727491</v>
      </c>
      <c r="K144" s="1212">
        <f>'Recycling - Case 1'!Z206</f>
        <v>751.91700000000026</v>
      </c>
      <c r="L144" s="1211">
        <f t="shared" si="34"/>
        <v>0.1</v>
      </c>
      <c r="M144" s="1211">
        <f t="shared" si="28"/>
        <v>0.9</v>
      </c>
      <c r="N144" s="53">
        <f t="shared" si="35"/>
        <v>0</v>
      </c>
      <c r="O144" s="53">
        <f t="shared" si="35"/>
        <v>0</v>
      </c>
      <c r="P144" s="776">
        <f t="shared" si="32"/>
        <v>6.0153360000000038E-2</v>
      </c>
      <c r="Q144" s="519">
        <f t="shared" si="21"/>
        <v>2.7069012000000012</v>
      </c>
      <c r="R144" s="53"/>
      <c r="S144" s="1213">
        <f t="shared" si="22"/>
        <v>0.16241407200000005</v>
      </c>
      <c r="T144" s="1200">
        <f t="shared" si="23"/>
        <v>0.5751661972491664</v>
      </c>
      <c r="U144" s="1201">
        <f t="shared" si="23"/>
        <v>25.882478876212485</v>
      </c>
      <c r="V144" s="1201">
        <f t="shared" si="23"/>
        <v>0</v>
      </c>
      <c r="W144" s="1202">
        <f t="shared" si="23"/>
        <v>1.5529487325727491</v>
      </c>
    </row>
    <row r="145" spans="1:23">
      <c r="A145" s="123">
        <f>'Input data'!A147</f>
        <v>2047</v>
      </c>
      <c r="B145" s="1210">
        <f>'Recycling - Case 1'!AI127</f>
        <v>6437.6604656145792</v>
      </c>
      <c r="C145" s="1211">
        <f t="shared" si="33"/>
        <v>0.1</v>
      </c>
      <c r="D145" s="1211">
        <f t="shared" si="24"/>
        <v>0.9</v>
      </c>
      <c r="E145" s="53">
        <v>0</v>
      </c>
      <c r="F145" s="53">
        <v>0</v>
      </c>
      <c r="G145" s="776">
        <f t="shared" si="25"/>
        <v>0.51501283724916636</v>
      </c>
      <c r="H145" s="519">
        <f t="shared" si="26"/>
        <v>23.175577676212484</v>
      </c>
      <c r="I145" s="53"/>
      <c r="J145" s="776">
        <f t="shared" si="36"/>
        <v>1.3905346605727491</v>
      </c>
      <c r="K145" s="1212">
        <f>'Recycling - Case 1'!Z207</f>
        <v>751.91700000000026</v>
      </c>
      <c r="L145" s="1211">
        <f t="shared" si="34"/>
        <v>0.1</v>
      </c>
      <c r="M145" s="1211">
        <f t="shared" si="28"/>
        <v>0.9</v>
      </c>
      <c r="N145" s="53">
        <f t="shared" si="35"/>
        <v>0</v>
      </c>
      <c r="O145" s="53">
        <f t="shared" si="35"/>
        <v>0</v>
      </c>
      <c r="P145" s="776">
        <f t="shared" si="32"/>
        <v>6.0153360000000038E-2</v>
      </c>
      <c r="Q145" s="519">
        <f t="shared" si="21"/>
        <v>2.7069012000000012</v>
      </c>
      <c r="R145" s="53"/>
      <c r="S145" s="1213">
        <f t="shared" si="22"/>
        <v>0.16241407200000005</v>
      </c>
      <c r="T145" s="1200">
        <f t="shared" si="23"/>
        <v>0.5751661972491664</v>
      </c>
      <c r="U145" s="1201">
        <f t="shared" si="23"/>
        <v>25.882478876212485</v>
      </c>
      <c r="V145" s="1201">
        <f t="shared" si="23"/>
        <v>0</v>
      </c>
      <c r="W145" s="1202">
        <f t="shared" si="23"/>
        <v>1.5529487325727491</v>
      </c>
    </row>
    <row r="146" spans="1:23">
      <c r="A146" s="123">
        <f>'Input data'!A148</f>
        <v>2048</v>
      </c>
      <c r="B146" s="1210">
        <f>'Recycling - Case 1'!AI128</f>
        <v>6437.6604656145792</v>
      </c>
      <c r="C146" s="1211">
        <f t="shared" si="33"/>
        <v>0.1</v>
      </c>
      <c r="D146" s="1211">
        <f t="shared" si="24"/>
        <v>0.9</v>
      </c>
      <c r="E146" s="53">
        <v>0</v>
      </c>
      <c r="F146" s="53">
        <v>0</v>
      </c>
      <c r="G146" s="776">
        <f t="shared" si="25"/>
        <v>0.51501283724916636</v>
      </c>
      <c r="H146" s="519">
        <f t="shared" si="26"/>
        <v>23.175577676212484</v>
      </c>
      <c r="I146" s="53"/>
      <c r="J146" s="776">
        <f t="shared" si="36"/>
        <v>1.3905346605727491</v>
      </c>
      <c r="K146" s="1212">
        <f>'Recycling - Case 1'!Z208</f>
        <v>751.91700000000026</v>
      </c>
      <c r="L146" s="1211">
        <f t="shared" si="34"/>
        <v>0.1</v>
      </c>
      <c r="M146" s="1211">
        <f t="shared" si="28"/>
        <v>0.9</v>
      </c>
      <c r="N146" s="53">
        <f t="shared" si="35"/>
        <v>0</v>
      </c>
      <c r="O146" s="53">
        <f t="shared" si="35"/>
        <v>0</v>
      </c>
      <c r="P146" s="776">
        <f t="shared" si="32"/>
        <v>6.0153360000000038E-2</v>
      </c>
      <c r="Q146" s="519">
        <f t="shared" si="21"/>
        <v>2.7069012000000012</v>
      </c>
      <c r="R146" s="53"/>
      <c r="S146" s="1213">
        <f t="shared" si="22"/>
        <v>0.16241407200000005</v>
      </c>
      <c r="T146" s="1200">
        <f t="shared" si="23"/>
        <v>0.5751661972491664</v>
      </c>
      <c r="U146" s="1201">
        <f t="shared" si="23"/>
        <v>25.882478876212485</v>
      </c>
      <c r="V146" s="1201">
        <f t="shared" si="23"/>
        <v>0</v>
      </c>
      <c r="W146" s="1202">
        <f t="shared" si="23"/>
        <v>1.5529487325727491</v>
      </c>
    </row>
    <row r="147" spans="1:23">
      <c r="A147" s="123">
        <f>'Input data'!A149</f>
        <v>2049</v>
      </c>
      <c r="B147" s="1210">
        <f>'Recycling - Case 1'!AI129</f>
        <v>6437.6604656145792</v>
      </c>
      <c r="C147" s="1211">
        <f t="shared" si="33"/>
        <v>0.1</v>
      </c>
      <c r="D147" s="1211">
        <f t="shared" si="24"/>
        <v>0.9</v>
      </c>
      <c r="E147" s="53">
        <v>0</v>
      </c>
      <c r="F147" s="53">
        <v>0</v>
      </c>
      <c r="G147" s="776">
        <f t="shared" si="25"/>
        <v>0.51501283724916636</v>
      </c>
      <c r="H147" s="519">
        <f t="shared" si="26"/>
        <v>23.175577676212484</v>
      </c>
      <c r="I147" s="53"/>
      <c r="J147" s="776">
        <f t="shared" si="36"/>
        <v>1.3905346605727491</v>
      </c>
      <c r="K147" s="1212">
        <f>'Recycling - Case 1'!Z209</f>
        <v>751.91700000000026</v>
      </c>
      <c r="L147" s="1211">
        <f t="shared" si="34"/>
        <v>0.1</v>
      </c>
      <c r="M147" s="1211">
        <f t="shared" si="28"/>
        <v>0.9</v>
      </c>
      <c r="N147" s="53">
        <f t="shared" si="35"/>
        <v>0</v>
      </c>
      <c r="O147" s="53">
        <f t="shared" si="35"/>
        <v>0</v>
      </c>
      <c r="P147" s="776">
        <f t="shared" si="32"/>
        <v>6.0153360000000038E-2</v>
      </c>
      <c r="Q147" s="519">
        <f t="shared" si="21"/>
        <v>2.7069012000000012</v>
      </c>
      <c r="R147" s="53"/>
      <c r="S147" s="1213">
        <f t="shared" si="22"/>
        <v>0.16241407200000005</v>
      </c>
      <c r="T147" s="1200">
        <f t="shared" si="23"/>
        <v>0.5751661972491664</v>
      </c>
      <c r="U147" s="1201">
        <f t="shared" si="23"/>
        <v>25.882478876212485</v>
      </c>
      <c r="V147" s="1201">
        <f t="shared" si="23"/>
        <v>0</v>
      </c>
      <c r="W147" s="1202">
        <f t="shared" si="23"/>
        <v>1.5529487325727491</v>
      </c>
    </row>
    <row r="148" spans="1:23" ht="15.75" thickBot="1">
      <c r="A148" s="123">
        <f>'Input data'!A150</f>
        <v>2050</v>
      </c>
      <c r="B148" s="1210">
        <f>'Recycling - Case 1'!AI130</f>
        <v>6437.6604656145792</v>
      </c>
      <c r="C148" s="578">
        <f t="shared" si="33"/>
        <v>0.1</v>
      </c>
      <c r="D148" s="578">
        <f t="shared" si="24"/>
        <v>0.9</v>
      </c>
      <c r="E148" s="1214">
        <v>0</v>
      </c>
      <c r="F148" s="1214">
        <v>0</v>
      </c>
      <c r="G148" s="776">
        <f t="shared" si="25"/>
        <v>0.51501283724916636</v>
      </c>
      <c r="H148" s="519">
        <f t="shared" si="26"/>
        <v>23.175577676212484</v>
      </c>
      <c r="I148" s="1214"/>
      <c r="J148" s="1215">
        <f t="shared" si="36"/>
        <v>1.3905346605727491</v>
      </c>
      <c r="K148" s="1212">
        <f>'Recycling - Case 1'!Z210</f>
        <v>751.91700000000026</v>
      </c>
      <c r="L148" s="578">
        <f t="shared" si="34"/>
        <v>0.1</v>
      </c>
      <c r="M148" s="578">
        <f t="shared" si="28"/>
        <v>0.9</v>
      </c>
      <c r="N148" s="1214">
        <f t="shared" si="35"/>
        <v>0</v>
      </c>
      <c r="O148" s="1214">
        <f t="shared" si="35"/>
        <v>0</v>
      </c>
      <c r="P148" s="1215">
        <f t="shared" si="32"/>
        <v>6.0153360000000038E-2</v>
      </c>
      <c r="Q148" s="1146">
        <f t="shared" si="21"/>
        <v>2.7069012000000012</v>
      </c>
      <c r="R148" s="1214"/>
      <c r="S148" s="1216">
        <f t="shared" si="22"/>
        <v>0.16241407200000005</v>
      </c>
      <c r="T148" s="1217">
        <f t="shared" si="23"/>
        <v>0.5751661972491664</v>
      </c>
      <c r="U148" s="1218">
        <f t="shared" si="23"/>
        <v>25.882478876212485</v>
      </c>
      <c r="V148" s="1218">
        <f t="shared" si="23"/>
        <v>0</v>
      </c>
      <c r="W148" s="1219">
        <f t="shared" si="23"/>
        <v>1.5529487325727491</v>
      </c>
    </row>
    <row r="149" spans="1:23">
      <c r="A149" s="1204" t="s">
        <v>645</v>
      </c>
      <c r="B149" s="1205"/>
      <c r="C149" s="1220"/>
      <c r="D149" s="1220"/>
      <c r="E149" s="1221"/>
      <c r="F149" s="1221"/>
      <c r="G149" s="1222"/>
      <c r="H149" s="1223"/>
      <c r="I149" s="1224"/>
      <c r="J149" s="1222"/>
      <c r="K149" s="1225"/>
      <c r="L149" s="1220"/>
      <c r="M149" s="1220"/>
      <c r="N149" s="1221"/>
      <c r="O149" s="1221"/>
      <c r="P149" s="1222"/>
      <c r="Q149" s="1223"/>
      <c r="R149" s="1221"/>
      <c r="S149" s="1226"/>
      <c r="T149" s="1196"/>
      <c r="U149" s="1197"/>
      <c r="V149" s="1197"/>
      <c r="W149" s="1198"/>
    </row>
    <row r="150" spans="1:23">
      <c r="A150" s="123">
        <f>'Input data'!A118</f>
        <v>2018</v>
      </c>
      <c r="B150" s="1210">
        <f>'Recycling - Case 2'!AI98</f>
        <v>3707.5235423427162</v>
      </c>
      <c r="C150" s="1211">
        <f>($C$154-$C$80)/($A$154-$A$80)+C80</f>
        <v>6.0000000000000005E-2</v>
      </c>
      <c r="D150" s="1211">
        <f>1-C150</f>
        <v>0.94</v>
      </c>
      <c r="E150" s="53">
        <v>0</v>
      </c>
      <c r="F150" s="53">
        <v>0</v>
      </c>
      <c r="G150" s="776">
        <f>C150*$D$5*B150/1000-E150</f>
        <v>0.1779611300324504</v>
      </c>
      <c r="H150" s="519">
        <f>D150*$D$4*B150/1000-F150</f>
        <v>13.940288519208613</v>
      </c>
      <c r="I150" s="53"/>
      <c r="J150" s="776">
        <f>D150*$D$7*B150/1000</f>
        <v>0.83641731115251661</v>
      </c>
      <c r="K150" s="1212">
        <f>'Recycling - Case 2'!Z138</f>
        <v>1793.8246078249765</v>
      </c>
      <c r="L150" s="1211">
        <f>($L$154-$L$80)/($A$154-$A$80)+L80</f>
        <v>0.1</v>
      </c>
      <c r="M150" s="1211">
        <f>($M$154-$M$80)/($A$154-$A$80)+M80</f>
        <v>0.9</v>
      </c>
      <c r="N150" s="53">
        <f>N114</f>
        <v>0</v>
      </c>
      <c r="O150" s="53">
        <f>O114</f>
        <v>0</v>
      </c>
      <c r="P150" s="776">
        <f>L150*$D$5*K150/1000-N150</f>
        <v>0.14350596862599815</v>
      </c>
      <c r="Q150" s="519">
        <f t="shared" ref="Q150:Q182" si="37">M150*$D$4*K150/1000-O150</f>
        <v>6.4577685881699152</v>
      </c>
      <c r="R150" s="53"/>
      <c r="S150" s="1213">
        <f t="shared" ref="S150:S182" si="38">M150*$D$7*K150/1000</f>
        <v>0.38746611529019492</v>
      </c>
      <c r="T150" s="1200">
        <f t="shared" ref="T150:W182" si="39">G150+P150</f>
        <v>0.32146709865844858</v>
      </c>
      <c r="U150" s="1201">
        <f t="shared" si="39"/>
        <v>20.398057107378527</v>
      </c>
      <c r="V150" s="1201">
        <f t="shared" si="39"/>
        <v>0</v>
      </c>
      <c r="W150" s="1202">
        <f t="shared" si="39"/>
        <v>1.2238834264427116</v>
      </c>
    </row>
    <row r="151" spans="1:23">
      <c r="A151" s="123">
        <f>'Input data'!A119</f>
        <v>2019</v>
      </c>
      <c r="B151" s="1210">
        <f>'Recycling - Case 2'!AI99</f>
        <v>4010.8720893729233</v>
      </c>
      <c r="C151" s="1211">
        <f>($C$154-$C$80)/($A$154-$A$80)+C150</f>
        <v>7.0000000000000007E-2</v>
      </c>
      <c r="D151" s="1211">
        <f t="shared" ref="D151:D153" si="40">1-C151</f>
        <v>0.92999999999999994</v>
      </c>
      <c r="E151" s="53">
        <v>0</v>
      </c>
      <c r="F151" s="53">
        <v>0</v>
      </c>
      <c r="G151" s="776">
        <f t="shared" ref="G151:G182" si="41">C151*$D$5*B151/1000-E151</f>
        <v>0.22460883700488374</v>
      </c>
      <c r="H151" s="519">
        <f t="shared" ref="H151:H182" si="42">D151*$D$4*B151/1000-F151</f>
        <v>14.920444172467274</v>
      </c>
      <c r="I151" s="53"/>
      <c r="J151" s="776">
        <f t="shared" ref="J151:J182" si="43">D151*$D$7*B151/1000</f>
        <v>0.89522665034803639</v>
      </c>
      <c r="K151" s="1212">
        <f>'Recycling - Case 2'!Z139</f>
        <v>1878.6693594882986</v>
      </c>
      <c r="L151" s="1211">
        <f>($L$154-$L$80)/($A$154-$A$80)+L150</f>
        <v>0.1</v>
      </c>
      <c r="M151" s="1211">
        <f>($M$154-$M$80)/($A$154-$A$80)+M150</f>
        <v>0.9</v>
      </c>
      <c r="N151" s="53">
        <f t="shared" ref="N151:O166" si="44">N149</f>
        <v>0</v>
      </c>
      <c r="O151" s="53">
        <f t="shared" si="44"/>
        <v>0</v>
      </c>
      <c r="P151" s="776">
        <f t="shared" ref="P151:P182" si="45">L151*$D$5*K151/1000-N151</f>
        <v>0.15029354875906392</v>
      </c>
      <c r="Q151" s="519">
        <f t="shared" si="37"/>
        <v>6.763209694157875</v>
      </c>
      <c r="R151" s="53"/>
      <c r="S151" s="1213">
        <f t="shared" si="38"/>
        <v>0.40579258164947246</v>
      </c>
      <c r="T151" s="1200">
        <f t="shared" si="39"/>
        <v>0.37490238576394763</v>
      </c>
      <c r="U151" s="1201">
        <f t="shared" si="39"/>
        <v>21.68365386662515</v>
      </c>
      <c r="V151" s="1201">
        <f t="shared" si="39"/>
        <v>0</v>
      </c>
      <c r="W151" s="1202">
        <f t="shared" si="39"/>
        <v>1.3010192319975089</v>
      </c>
    </row>
    <row r="152" spans="1:23">
      <c r="A152" s="123">
        <f>'Input data'!A120</f>
        <v>2020</v>
      </c>
      <c r="B152" s="1210">
        <f>'Recycling - Case 2'!AI100</f>
        <v>4617.5691834333375</v>
      </c>
      <c r="C152" s="1211">
        <f>($C$154-$C$80)/($A$154-$A$80)+C151</f>
        <v>0.08</v>
      </c>
      <c r="D152" s="1211">
        <f t="shared" si="40"/>
        <v>0.92</v>
      </c>
      <c r="E152" s="53">
        <v>0</v>
      </c>
      <c r="F152" s="53">
        <v>0</v>
      </c>
      <c r="G152" s="776">
        <f t="shared" si="41"/>
        <v>0.29552442773973359</v>
      </c>
      <c r="H152" s="519">
        <f t="shared" si="42"/>
        <v>16.992654595034679</v>
      </c>
      <c r="I152" s="53"/>
      <c r="J152" s="776">
        <f t="shared" si="43"/>
        <v>1.0195592757020808</v>
      </c>
      <c r="K152" s="1212">
        <f>'Recycling - Case 2'!Z140</f>
        <v>1907.190171140033</v>
      </c>
      <c r="L152" s="1211">
        <f>($L$154-$L$80)/($A$154-$A$80)+L151</f>
        <v>0.1</v>
      </c>
      <c r="M152" s="1211">
        <f>($M$154-$M$80)/($A$154-$A$80)+M151</f>
        <v>0.9</v>
      </c>
      <c r="N152" s="53">
        <f t="shared" si="44"/>
        <v>0</v>
      </c>
      <c r="O152" s="53">
        <f t="shared" si="44"/>
        <v>0</v>
      </c>
      <c r="P152" s="776">
        <f t="shared" si="45"/>
        <v>0.15257521369120267</v>
      </c>
      <c r="Q152" s="519">
        <f t="shared" si="37"/>
        <v>6.8658846161041192</v>
      </c>
      <c r="R152" s="53"/>
      <c r="S152" s="1213">
        <f t="shared" si="38"/>
        <v>0.41195307696624711</v>
      </c>
      <c r="T152" s="1200">
        <f t="shared" si="39"/>
        <v>0.44809964143093628</v>
      </c>
      <c r="U152" s="1201">
        <f t="shared" si="39"/>
        <v>23.858539211138797</v>
      </c>
      <c r="V152" s="1201">
        <f t="shared" si="39"/>
        <v>0</v>
      </c>
      <c r="W152" s="1202">
        <f t="shared" si="39"/>
        <v>1.431512352668328</v>
      </c>
    </row>
    <row r="153" spans="1:23">
      <c r="A153" s="123">
        <f>'Input data'!A121</f>
        <v>2021</v>
      </c>
      <c r="B153" s="1210">
        <f>'Recycling - Case 2'!AI101</f>
        <v>5830.9633715541659</v>
      </c>
      <c r="C153" s="1211">
        <f>($C$154-$C$80)/($A$154-$A$80)+C152</f>
        <v>0.09</v>
      </c>
      <c r="D153" s="1211">
        <f t="shared" si="40"/>
        <v>0.91</v>
      </c>
      <c r="E153" s="53">
        <v>0</v>
      </c>
      <c r="F153" s="53">
        <v>0</v>
      </c>
      <c r="G153" s="776">
        <f t="shared" si="41"/>
        <v>0.41982936275189991</v>
      </c>
      <c r="H153" s="519">
        <f t="shared" si="42"/>
        <v>21.224706672457163</v>
      </c>
      <c r="I153" s="53"/>
      <c r="J153" s="776">
        <f t="shared" si="43"/>
        <v>1.2734824003474299</v>
      </c>
      <c r="K153" s="1212">
        <f>'Recycling - Case 2'!Z141</f>
        <v>2248.0613311541611</v>
      </c>
      <c r="L153" s="1211">
        <f>($L$154-$L$80)/($A$154-$A$80)+L152</f>
        <v>0.1</v>
      </c>
      <c r="M153" s="1211">
        <f>($M$154-$M$80)/($A$154-$A$80)+M152</f>
        <v>0.9</v>
      </c>
      <c r="N153" s="53">
        <f t="shared" si="44"/>
        <v>0</v>
      </c>
      <c r="O153" s="53">
        <f t="shared" si="44"/>
        <v>0</v>
      </c>
      <c r="P153" s="776">
        <f t="shared" si="45"/>
        <v>0.17984490649233292</v>
      </c>
      <c r="Q153" s="519">
        <f t="shared" si="37"/>
        <v>8.0930207921549808</v>
      </c>
      <c r="R153" s="53"/>
      <c r="S153" s="1213">
        <f t="shared" si="38"/>
        <v>0.48558124752929877</v>
      </c>
      <c r="T153" s="1200">
        <f t="shared" si="39"/>
        <v>0.59967426924423284</v>
      </c>
      <c r="U153" s="1201">
        <f t="shared" si="39"/>
        <v>29.317727464612144</v>
      </c>
      <c r="V153" s="1201">
        <f t="shared" si="39"/>
        <v>0</v>
      </c>
      <c r="W153" s="1202">
        <f t="shared" si="39"/>
        <v>1.7590636478767285</v>
      </c>
    </row>
    <row r="154" spans="1:23">
      <c r="A154" s="123">
        <f>'Input data'!A122</f>
        <v>2022</v>
      </c>
      <c r="B154" s="1210">
        <f>'Recycling - Case 2'!AI102</f>
        <v>6437.6604656145792</v>
      </c>
      <c r="C154" s="1211">
        <f>'Recycling - Case 2'!E31</f>
        <v>0.1</v>
      </c>
      <c r="D154" s="1211">
        <f>'Recycling - Case 2'!F31</f>
        <v>0.9</v>
      </c>
      <c r="E154" s="53">
        <v>0</v>
      </c>
      <c r="F154" s="53">
        <v>0</v>
      </c>
      <c r="G154" s="776">
        <f t="shared" si="41"/>
        <v>0.51501283724916636</v>
      </c>
      <c r="H154" s="519">
        <f t="shared" si="42"/>
        <v>23.175577676212484</v>
      </c>
      <c r="I154" s="53"/>
      <c r="J154" s="776">
        <f t="shared" si="43"/>
        <v>1.3905346605727491</v>
      </c>
      <c r="K154" s="1212">
        <f>'Recycling - Case 2'!Z142</f>
        <v>2435.3308526974706</v>
      </c>
      <c r="L154" s="1211">
        <f>'Recycling - Case 2'!E31</f>
        <v>0.1</v>
      </c>
      <c r="M154" s="1211">
        <f>'Recycling - Case 2'!F31</f>
        <v>0.9</v>
      </c>
      <c r="N154" s="53">
        <f t="shared" si="44"/>
        <v>0</v>
      </c>
      <c r="O154" s="53">
        <f t="shared" si="44"/>
        <v>0</v>
      </c>
      <c r="P154" s="776">
        <f t="shared" si="45"/>
        <v>0.19482646821579769</v>
      </c>
      <c r="Q154" s="519">
        <f t="shared" si="37"/>
        <v>8.7671910697108935</v>
      </c>
      <c r="R154" s="53"/>
      <c r="S154" s="1213">
        <f t="shared" si="38"/>
        <v>0.52603146418265367</v>
      </c>
      <c r="T154" s="1200">
        <f t="shared" si="39"/>
        <v>0.7098393054649641</v>
      </c>
      <c r="U154" s="1201">
        <f t="shared" si="39"/>
        <v>31.942768745923377</v>
      </c>
      <c r="V154" s="1201">
        <f t="shared" si="39"/>
        <v>0</v>
      </c>
      <c r="W154" s="1202">
        <f t="shared" si="39"/>
        <v>1.9165661247554029</v>
      </c>
    </row>
    <row r="155" spans="1:23">
      <c r="A155" s="123">
        <f>'Input data'!A123</f>
        <v>2023</v>
      </c>
      <c r="B155" s="1210">
        <f>'Recycling - Case 2'!AI103</f>
        <v>6437.6604656145792</v>
      </c>
      <c r="C155" s="1211">
        <f>C154</f>
        <v>0.1</v>
      </c>
      <c r="D155" s="1211">
        <f>D154</f>
        <v>0.9</v>
      </c>
      <c r="E155" s="53">
        <v>0</v>
      </c>
      <c r="F155" s="53">
        <v>0</v>
      </c>
      <c r="G155" s="776">
        <f t="shared" si="41"/>
        <v>0.51501283724916636</v>
      </c>
      <c r="H155" s="519">
        <f t="shared" si="42"/>
        <v>23.175577676212484</v>
      </c>
      <c r="I155" s="53"/>
      <c r="J155" s="776">
        <f t="shared" si="43"/>
        <v>1.3905346605727491</v>
      </c>
      <c r="K155" s="1212">
        <f>'Recycling - Case 2'!Z143</f>
        <v>2472.3423999006995</v>
      </c>
      <c r="L155" s="1211">
        <f>L154</f>
        <v>0.1</v>
      </c>
      <c r="M155" s="1211">
        <f>M154</f>
        <v>0.9</v>
      </c>
      <c r="N155" s="53">
        <f t="shared" si="44"/>
        <v>0</v>
      </c>
      <c r="O155" s="53">
        <f t="shared" si="44"/>
        <v>0</v>
      </c>
      <c r="P155" s="776">
        <f t="shared" si="45"/>
        <v>0.197787391992056</v>
      </c>
      <c r="Q155" s="519">
        <f t="shared" si="37"/>
        <v>8.9004326396425189</v>
      </c>
      <c r="R155" s="53"/>
      <c r="S155" s="1213">
        <f t="shared" si="38"/>
        <v>0.53402595837855105</v>
      </c>
      <c r="T155" s="1200">
        <f t="shared" si="39"/>
        <v>0.71280022924122233</v>
      </c>
      <c r="U155" s="1201">
        <f t="shared" si="39"/>
        <v>32.076010315855001</v>
      </c>
      <c r="V155" s="1201">
        <f t="shared" si="39"/>
        <v>0</v>
      </c>
      <c r="W155" s="1202">
        <f t="shared" si="39"/>
        <v>1.9245606189513</v>
      </c>
    </row>
    <row r="156" spans="1:23">
      <c r="A156" s="123">
        <f>'Input data'!A124</f>
        <v>2024</v>
      </c>
      <c r="B156" s="1210">
        <f>'Recycling - Case 2'!AI104</f>
        <v>6437.6604656145792</v>
      </c>
      <c r="C156" s="1211">
        <f t="shared" ref="C156:D171" si="46">C155</f>
        <v>0.1</v>
      </c>
      <c r="D156" s="1211">
        <f t="shared" si="46"/>
        <v>0.9</v>
      </c>
      <c r="E156" s="53">
        <v>0</v>
      </c>
      <c r="F156" s="53">
        <v>0</v>
      </c>
      <c r="G156" s="776">
        <f t="shared" si="41"/>
        <v>0.51501283724916636</v>
      </c>
      <c r="H156" s="519">
        <f t="shared" si="42"/>
        <v>23.175577676212484</v>
      </c>
      <c r="I156" s="53"/>
      <c r="J156" s="776">
        <f t="shared" si="43"/>
        <v>1.3905346605727491</v>
      </c>
      <c r="K156" s="1212">
        <f>'Recycling - Case 2'!Z144</f>
        <v>2515.2748004049222</v>
      </c>
      <c r="L156" s="1211">
        <f t="shared" ref="L156:M171" si="47">L155</f>
        <v>0.1</v>
      </c>
      <c r="M156" s="1211">
        <f t="shared" si="47"/>
        <v>0.9</v>
      </c>
      <c r="N156" s="53">
        <f t="shared" si="44"/>
        <v>0</v>
      </c>
      <c r="O156" s="53">
        <f t="shared" si="44"/>
        <v>0</v>
      </c>
      <c r="P156" s="776">
        <f t="shared" si="45"/>
        <v>0.2012219840323938</v>
      </c>
      <c r="Q156" s="519">
        <f t="shared" si="37"/>
        <v>9.0549892814577202</v>
      </c>
      <c r="R156" s="53"/>
      <c r="S156" s="1213">
        <f t="shared" si="38"/>
        <v>0.54329935688746323</v>
      </c>
      <c r="T156" s="1200">
        <f t="shared" si="39"/>
        <v>0.71623482128156013</v>
      </c>
      <c r="U156" s="1201">
        <f t="shared" si="39"/>
        <v>32.230566957670206</v>
      </c>
      <c r="V156" s="1201">
        <f t="shared" si="39"/>
        <v>0</v>
      </c>
      <c r="W156" s="1202">
        <f t="shared" si="39"/>
        <v>1.9338340174602124</v>
      </c>
    </row>
    <row r="157" spans="1:23">
      <c r="A157" s="123">
        <f>'Input data'!A125</f>
        <v>2025</v>
      </c>
      <c r="B157" s="1210">
        <f>'Recycling - Case 2'!AI105</f>
        <v>6437.6604656145792</v>
      </c>
      <c r="C157" s="1211">
        <f t="shared" si="46"/>
        <v>0.1</v>
      </c>
      <c r="D157" s="1211">
        <f t="shared" si="46"/>
        <v>0.9</v>
      </c>
      <c r="E157" s="53">
        <v>0</v>
      </c>
      <c r="F157" s="53">
        <v>0</v>
      </c>
      <c r="G157" s="776">
        <f t="shared" si="41"/>
        <v>0.51501283724916636</v>
      </c>
      <c r="H157" s="519">
        <f t="shared" si="42"/>
        <v>23.175577676212484</v>
      </c>
      <c r="I157" s="53"/>
      <c r="J157" s="776">
        <f t="shared" si="43"/>
        <v>1.3905346605727491</v>
      </c>
      <c r="K157" s="1212">
        <f>'Recycling - Case 2'!Z145</f>
        <v>2558.4947071487691</v>
      </c>
      <c r="L157" s="1211">
        <f t="shared" si="47"/>
        <v>0.1</v>
      </c>
      <c r="M157" s="1211">
        <f t="shared" si="47"/>
        <v>0.9</v>
      </c>
      <c r="N157" s="53">
        <f t="shared" si="44"/>
        <v>0</v>
      </c>
      <c r="O157" s="53">
        <f t="shared" si="44"/>
        <v>0</v>
      </c>
      <c r="P157" s="776">
        <f t="shared" si="45"/>
        <v>0.20467957657190158</v>
      </c>
      <c r="Q157" s="519">
        <f t="shared" si="37"/>
        <v>9.2105809457355683</v>
      </c>
      <c r="R157" s="53"/>
      <c r="S157" s="1213">
        <f t="shared" si="38"/>
        <v>0.55263485674413415</v>
      </c>
      <c r="T157" s="1200">
        <f t="shared" si="39"/>
        <v>0.71969241382106797</v>
      </c>
      <c r="U157" s="1201">
        <f t="shared" si="39"/>
        <v>32.386158621948056</v>
      </c>
      <c r="V157" s="1201">
        <f t="shared" si="39"/>
        <v>0</v>
      </c>
      <c r="W157" s="1202">
        <f t="shared" si="39"/>
        <v>1.9431695173168833</v>
      </c>
    </row>
    <row r="158" spans="1:23">
      <c r="A158" s="123">
        <f>'Input data'!A126</f>
        <v>2026</v>
      </c>
      <c r="B158" s="1210">
        <f>'Recycling - Case 2'!AI106</f>
        <v>6437.6604656145792</v>
      </c>
      <c r="C158" s="1211">
        <f t="shared" si="46"/>
        <v>0.1</v>
      </c>
      <c r="D158" s="1211">
        <f t="shared" si="46"/>
        <v>0.9</v>
      </c>
      <c r="E158" s="53">
        <v>0</v>
      </c>
      <c r="F158" s="53">
        <v>0</v>
      </c>
      <c r="G158" s="776">
        <f t="shared" si="41"/>
        <v>0.51501283724916636</v>
      </c>
      <c r="H158" s="519">
        <f t="shared" si="42"/>
        <v>23.175577676212484</v>
      </c>
      <c r="I158" s="53"/>
      <c r="J158" s="776">
        <f t="shared" si="43"/>
        <v>1.3905346605727491</v>
      </c>
      <c r="K158" s="1212">
        <f>'Recycling - Case 2'!Z146</f>
        <v>2602.8603334669356</v>
      </c>
      <c r="L158" s="1211">
        <f t="shared" si="47"/>
        <v>0.1</v>
      </c>
      <c r="M158" s="1211">
        <f t="shared" si="47"/>
        <v>0.9</v>
      </c>
      <c r="N158" s="53">
        <f t="shared" si="44"/>
        <v>0</v>
      </c>
      <c r="O158" s="53">
        <f t="shared" si="44"/>
        <v>0</v>
      </c>
      <c r="P158" s="776">
        <f t="shared" si="45"/>
        <v>0.20822882667735487</v>
      </c>
      <c r="Q158" s="519">
        <f t="shared" si="37"/>
        <v>9.3702972004809695</v>
      </c>
      <c r="R158" s="53"/>
      <c r="S158" s="1213">
        <f t="shared" si="38"/>
        <v>0.56221783202885811</v>
      </c>
      <c r="T158" s="1200">
        <f t="shared" si="39"/>
        <v>0.72324166392652123</v>
      </c>
      <c r="U158" s="1201">
        <f t="shared" si="39"/>
        <v>32.545874876693453</v>
      </c>
      <c r="V158" s="1201">
        <f t="shared" si="39"/>
        <v>0</v>
      </c>
      <c r="W158" s="1202">
        <f t="shared" si="39"/>
        <v>1.9527524926016073</v>
      </c>
    </row>
    <row r="159" spans="1:23">
      <c r="A159" s="123">
        <f>'Input data'!A127</f>
        <v>2027</v>
      </c>
      <c r="B159" s="1210">
        <f>'Recycling - Case 2'!AI107</f>
        <v>6437.6604656145792</v>
      </c>
      <c r="C159" s="1211">
        <f t="shared" si="46"/>
        <v>0.1</v>
      </c>
      <c r="D159" s="1211">
        <f t="shared" si="46"/>
        <v>0.9</v>
      </c>
      <c r="E159" s="53">
        <v>0</v>
      </c>
      <c r="F159" s="53">
        <v>0</v>
      </c>
      <c r="G159" s="776">
        <f t="shared" si="41"/>
        <v>0.51501283724916636</v>
      </c>
      <c r="H159" s="519">
        <f t="shared" si="42"/>
        <v>23.175577676212484</v>
      </c>
      <c r="I159" s="53"/>
      <c r="J159" s="776">
        <f t="shared" si="43"/>
        <v>1.3905346605727491</v>
      </c>
      <c r="K159" s="1212">
        <f>'Recycling - Case 2'!Z147</f>
        <v>2646.1731704518984</v>
      </c>
      <c r="L159" s="1211">
        <f t="shared" si="47"/>
        <v>0.1</v>
      </c>
      <c r="M159" s="1211">
        <f t="shared" si="47"/>
        <v>0.9</v>
      </c>
      <c r="N159" s="53">
        <f t="shared" si="44"/>
        <v>0</v>
      </c>
      <c r="O159" s="53">
        <f t="shared" si="44"/>
        <v>0</v>
      </c>
      <c r="P159" s="776">
        <f t="shared" si="45"/>
        <v>0.21169385363615192</v>
      </c>
      <c r="Q159" s="519">
        <f t="shared" si="37"/>
        <v>9.526223413626834</v>
      </c>
      <c r="R159" s="53"/>
      <c r="S159" s="1213">
        <f t="shared" si="38"/>
        <v>0.57157340481760999</v>
      </c>
      <c r="T159" s="1200">
        <f t="shared" si="39"/>
        <v>0.72670669088531825</v>
      </c>
      <c r="U159" s="1201">
        <f t="shared" si="39"/>
        <v>32.701801089839321</v>
      </c>
      <c r="V159" s="1201">
        <f t="shared" si="39"/>
        <v>0</v>
      </c>
      <c r="W159" s="1202">
        <f t="shared" si="39"/>
        <v>1.9621080653903591</v>
      </c>
    </row>
    <row r="160" spans="1:23">
      <c r="A160" s="123">
        <f>'Input data'!A128</f>
        <v>2028</v>
      </c>
      <c r="B160" s="1210">
        <f>'Recycling - Case 2'!AI108</f>
        <v>6437.6604656145792</v>
      </c>
      <c r="C160" s="1211">
        <f t="shared" si="46"/>
        <v>0.1</v>
      </c>
      <c r="D160" s="1211">
        <f t="shared" si="46"/>
        <v>0.9</v>
      </c>
      <c r="E160" s="53">
        <v>0</v>
      </c>
      <c r="F160" s="53">
        <v>0</v>
      </c>
      <c r="G160" s="776">
        <f t="shared" si="41"/>
        <v>0.51501283724916636</v>
      </c>
      <c r="H160" s="519">
        <f t="shared" si="42"/>
        <v>23.175577676212484</v>
      </c>
      <c r="I160" s="53"/>
      <c r="J160" s="776">
        <f t="shared" si="43"/>
        <v>1.3905346605727491</v>
      </c>
      <c r="K160" s="1212">
        <f>'Recycling - Case 2'!Z148</f>
        <v>2691.530631344991</v>
      </c>
      <c r="L160" s="1211">
        <f t="shared" si="47"/>
        <v>0.1</v>
      </c>
      <c r="M160" s="1211">
        <f t="shared" si="47"/>
        <v>0.9</v>
      </c>
      <c r="N160" s="53">
        <f t="shared" si="44"/>
        <v>0</v>
      </c>
      <c r="O160" s="53">
        <f t="shared" si="44"/>
        <v>0</v>
      </c>
      <c r="P160" s="776">
        <f t="shared" si="45"/>
        <v>0.21532245050759932</v>
      </c>
      <c r="Q160" s="519">
        <f t="shared" si="37"/>
        <v>9.689510272841968</v>
      </c>
      <c r="R160" s="53"/>
      <c r="S160" s="1213">
        <f t="shared" si="38"/>
        <v>0.58137061637051801</v>
      </c>
      <c r="T160" s="1200">
        <f t="shared" si="39"/>
        <v>0.73033528775676571</v>
      </c>
      <c r="U160" s="1201">
        <f t="shared" si="39"/>
        <v>32.865087949054455</v>
      </c>
      <c r="V160" s="1201">
        <f t="shared" si="39"/>
        <v>0</v>
      </c>
      <c r="W160" s="1202">
        <f t="shared" si="39"/>
        <v>1.971905276943267</v>
      </c>
    </row>
    <row r="161" spans="1:23">
      <c r="A161" s="123">
        <f>'Input data'!A129</f>
        <v>2029</v>
      </c>
      <c r="B161" s="1210">
        <f>'Recycling - Case 2'!AI109</f>
        <v>6437.6604656145792</v>
      </c>
      <c r="C161" s="1211">
        <f t="shared" si="46"/>
        <v>0.1</v>
      </c>
      <c r="D161" s="1211">
        <f t="shared" si="46"/>
        <v>0.9</v>
      </c>
      <c r="E161" s="53">
        <v>0</v>
      </c>
      <c r="F161" s="53">
        <v>0</v>
      </c>
      <c r="G161" s="776">
        <f t="shared" si="41"/>
        <v>0.51501283724916636</v>
      </c>
      <c r="H161" s="519">
        <f t="shared" si="42"/>
        <v>23.175577676212484</v>
      </c>
      <c r="I161" s="53"/>
      <c r="J161" s="776">
        <f t="shared" si="43"/>
        <v>1.3905346605727491</v>
      </c>
      <c r="K161" s="1212">
        <f>'Recycling - Case 2'!Z149</f>
        <v>2734.9387524288591</v>
      </c>
      <c r="L161" s="1211">
        <f t="shared" si="47"/>
        <v>0.1</v>
      </c>
      <c r="M161" s="1211">
        <f t="shared" si="47"/>
        <v>0.9</v>
      </c>
      <c r="N161" s="53">
        <f t="shared" si="44"/>
        <v>0</v>
      </c>
      <c r="O161" s="53">
        <f t="shared" si="44"/>
        <v>0</v>
      </c>
      <c r="P161" s="776">
        <f t="shared" si="45"/>
        <v>0.21879510019430876</v>
      </c>
      <c r="Q161" s="519">
        <f t="shared" si="37"/>
        <v>9.8457795087438935</v>
      </c>
      <c r="R161" s="53"/>
      <c r="S161" s="1213">
        <f t="shared" si="38"/>
        <v>0.59074677052463354</v>
      </c>
      <c r="T161" s="1200">
        <f t="shared" si="39"/>
        <v>0.73380793744347517</v>
      </c>
      <c r="U161" s="1201">
        <f t="shared" si="39"/>
        <v>33.021357184956379</v>
      </c>
      <c r="V161" s="1201">
        <f t="shared" si="39"/>
        <v>0</v>
      </c>
      <c r="W161" s="1202">
        <f t="shared" si="39"/>
        <v>1.9812814310973828</v>
      </c>
    </row>
    <row r="162" spans="1:23">
      <c r="A162" s="123">
        <f>'Input data'!A130</f>
        <v>2030</v>
      </c>
      <c r="B162" s="1210">
        <f>'Recycling - Case 2'!AI110</f>
        <v>6437.6604656145792</v>
      </c>
      <c r="C162" s="1211">
        <f t="shared" si="46"/>
        <v>0.1</v>
      </c>
      <c r="D162" s="1211">
        <f t="shared" si="46"/>
        <v>0.9</v>
      </c>
      <c r="E162" s="53">
        <v>0</v>
      </c>
      <c r="F162" s="53">
        <v>0</v>
      </c>
      <c r="G162" s="776">
        <f t="shared" si="41"/>
        <v>0.51501283724916636</v>
      </c>
      <c r="H162" s="519">
        <f t="shared" si="42"/>
        <v>23.175577676212484</v>
      </c>
      <c r="I162" s="53"/>
      <c r="J162" s="776">
        <f t="shared" si="43"/>
        <v>1.3905346605727491</v>
      </c>
      <c r="K162" s="1212">
        <f>'Recycling - Case 2'!Z150</f>
        <v>2779.6537556460157</v>
      </c>
      <c r="L162" s="1211">
        <f t="shared" si="47"/>
        <v>0.1</v>
      </c>
      <c r="M162" s="1211">
        <f t="shared" si="47"/>
        <v>0.9</v>
      </c>
      <c r="N162" s="53">
        <f t="shared" si="44"/>
        <v>0</v>
      </c>
      <c r="O162" s="53">
        <f t="shared" si="44"/>
        <v>0</v>
      </c>
      <c r="P162" s="776">
        <f t="shared" si="45"/>
        <v>0.2223723004516813</v>
      </c>
      <c r="Q162" s="519">
        <f t="shared" si="37"/>
        <v>10.006753520325658</v>
      </c>
      <c r="R162" s="53"/>
      <c r="S162" s="1213">
        <f t="shared" si="38"/>
        <v>0.60040521121953938</v>
      </c>
      <c r="T162" s="1200">
        <f t="shared" si="39"/>
        <v>0.73738513770084768</v>
      </c>
      <c r="U162" s="1201">
        <f t="shared" si="39"/>
        <v>33.182331196538144</v>
      </c>
      <c r="V162" s="1201">
        <f t="shared" si="39"/>
        <v>0</v>
      </c>
      <c r="W162" s="1202">
        <f t="shared" si="39"/>
        <v>1.9909398717922886</v>
      </c>
    </row>
    <row r="163" spans="1:23">
      <c r="A163" s="123">
        <f>'Input data'!A131</f>
        <v>2031</v>
      </c>
      <c r="B163" s="1210">
        <f>'Recycling - Case 2'!AI111</f>
        <v>6437.6604656145792</v>
      </c>
      <c r="C163" s="1211">
        <f t="shared" si="46"/>
        <v>0.1</v>
      </c>
      <c r="D163" s="1211">
        <f t="shared" si="46"/>
        <v>0.9</v>
      </c>
      <c r="E163" s="53">
        <v>0</v>
      </c>
      <c r="F163" s="53">
        <v>0</v>
      </c>
      <c r="G163" s="776">
        <f t="shared" si="41"/>
        <v>0.51501283724916636</v>
      </c>
      <c r="H163" s="519">
        <f t="shared" si="42"/>
        <v>23.175577676212484</v>
      </c>
      <c r="I163" s="53"/>
      <c r="J163" s="776">
        <f t="shared" si="43"/>
        <v>1.3905346605727491</v>
      </c>
      <c r="K163" s="1212">
        <f>'Recycling - Case 2'!Z151</f>
        <v>2832.1304900599107</v>
      </c>
      <c r="L163" s="1211">
        <f t="shared" si="47"/>
        <v>0.1</v>
      </c>
      <c r="M163" s="1211">
        <f t="shared" si="47"/>
        <v>0.9</v>
      </c>
      <c r="N163" s="53">
        <f t="shared" si="44"/>
        <v>0</v>
      </c>
      <c r="O163" s="53">
        <f t="shared" si="44"/>
        <v>0</v>
      </c>
      <c r="P163" s="776">
        <f t="shared" si="45"/>
        <v>0.22657043920479292</v>
      </c>
      <c r="Q163" s="519">
        <f t="shared" si="37"/>
        <v>10.19566976421568</v>
      </c>
      <c r="R163" s="53"/>
      <c r="S163" s="1213">
        <f t="shared" si="38"/>
        <v>0.61174018585294077</v>
      </c>
      <c r="T163" s="1200">
        <f t="shared" si="39"/>
        <v>0.74158327645395927</v>
      </c>
      <c r="U163" s="1201">
        <f t="shared" si="39"/>
        <v>33.371247440428164</v>
      </c>
      <c r="V163" s="1201">
        <f t="shared" si="39"/>
        <v>0</v>
      </c>
      <c r="W163" s="1202">
        <f t="shared" si="39"/>
        <v>2.0022748464256899</v>
      </c>
    </row>
    <row r="164" spans="1:23">
      <c r="A164" s="123">
        <f>'Input data'!A132</f>
        <v>2032</v>
      </c>
      <c r="B164" s="1210">
        <f>'Recycling - Case 2'!AI112</f>
        <v>6437.6604656145792</v>
      </c>
      <c r="C164" s="1211">
        <f t="shared" si="46"/>
        <v>0.1</v>
      </c>
      <c r="D164" s="1211">
        <f t="shared" si="46"/>
        <v>0.9</v>
      </c>
      <c r="E164" s="53">
        <v>0</v>
      </c>
      <c r="F164" s="53">
        <v>0</v>
      </c>
      <c r="G164" s="776">
        <f t="shared" si="41"/>
        <v>0.51501283724916636</v>
      </c>
      <c r="H164" s="519">
        <f t="shared" si="42"/>
        <v>23.175577676212484</v>
      </c>
      <c r="I164" s="53"/>
      <c r="J164" s="776">
        <f t="shared" si="43"/>
        <v>1.3905346605727491</v>
      </c>
      <c r="K164" s="1212">
        <f>'Recycling - Case 2'!Z152</f>
        <v>2888.549661721353</v>
      </c>
      <c r="L164" s="1211">
        <f t="shared" si="47"/>
        <v>0.1</v>
      </c>
      <c r="M164" s="1211">
        <f t="shared" si="47"/>
        <v>0.9</v>
      </c>
      <c r="N164" s="53">
        <f t="shared" si="44"/>
        <v>0</v>
      </c>
      <c r="O164" s="53">
        <f t="shared" si="44"/>
        <v>0</v>
      </c>
      <c r="P164" s="776">
        <f t="shared" si="45"/>
        <v>0.2310839729377083</v>
      </c>
      <c r="Q164" s="519">
        <f t="shared" si="37"/>
        <v>10.398778782196871</v>
      </c>
      <c r="R164" s="53"/>
      <c r="S164" s="1213">
        <f t="shared" si="38"/>
        <v>0.62392672693181228</v>
      </c>
      <c r="T164" s="1200">
        <f t="shared" si="39"/>
        <v>0.74609681018687468</v>
      </c>
      <c r="U164" s="1201">
        <f t="shared" si="39"/>
        <v>33.574356458409355</v>
      </c>
      <c r="V164" s="1201">
        <f t="shared" si="39"/>
        <v>0</v>
      </c>
      <c r="W164" s="1202">
        <f t="shared" si="39"/>
        <v>2.0144613875045616</v>
      </c>
    </row>
    <row r="165" spans="1:23">
      <c r="A165" s="123">
        <f>'Input data'!A133</f>
        <v>2033</v>
      </c>
      <c r="B165" s="1210">
        <f>'Recycling - Case 2'!AI113</f>
        <v>6437.6604656145792</v>
      </c>
      <c r="C165" s="1211">
        <f t="shared" si="46"/>
        <v>0.1</v>
      </c>
      <c r="D165" s="1211">
        <f t="shared" si="46"/>
        <v>0.9</v>
      </c>
      <c r="E165" s="53">
        <v>0</v>
      </c>
      <c r="F165" s="53">
        <v>0</v>
      </c>
      <c r="G165" s="776">
        <f t="shared" si="41"/>
        <v>0.51501283724916636</v>
      </c>
      <c r="H165" s="519">
        <f t="shared" si="42"/>
        <v>23.175577676212484</v>
      </c>
      <c r="I165" s="53"/>
      <c r="J165" s="776">
        <f t="shared" si="43"/>
        <v>1.3905346605727491</v>
      </c>
      <c r="K165" s="1212">
        <f>'Recycling - Case 2'!Z153</f>
        <v>2946.8761945712818</v>
      </c>
      <c r="L165" s="1211">
        <f t="shared" si="47"/>
        <v>0.1</v>
      </c>
      <c r="M165" s="1211">
        <f t="shared" si="47"/>
        <v>0.9</v>
      </c>
      <c r="N165" s="53">
        <f t="shared" si="44"/>
        <v>0</v>
      </c>
      <c r="O165" s="53">
        <f t="shared" si="44"/>
        <v>0</v>
      </c>
      <c r="P165" s="776">
        <f t="shared" si="45"/>
        <v>0.23575009556570259</v>
      </c>
      <c r="Q165" s="519">
        <f t="shared" si="37"/>
        <v>10.608754300456614</v>
      </c>
      <c r="R165" s="53"/>
      <c r="S165" s="1213">
        <f t="shared" si="38"/>
        <v>0.63652525802739679</v>
      </c>
      <c r="T165" s="1200">
        <f t="shared" si="39"/>
        <v>0.75076293281486894</v>
      </c>
      <c r="U165" s="1201">
        <f t="shared" si="39"/>
        <v>33.784331976669094</v>
      </c>
      <c r="V165" s="1201">
        <f t="shared" si="39"/>
        <v>0</v>
      </c>
      <c r="W165" s="1202">
        <f t="shared" si="39"/>
        <v>2.0270599186001457</v>
      </c>
    </row>
    <row r="166" spans="1:23">
      <c r="A166" s="123">
        <f>'Input data'!A134</f>
        <v>2034</v>
      </c>
      <c r="B166" s="1210">
        <f>'Recycling - Case 2'!AI114</f>
        <v>6437.6604656145792</v>
      </c>
      <c r="C166" s="1211">
        <f t="shared" si="46"/>
        <v>0.1</v>
      </c>
      <c r="D166" s="1211">
        <f t="shared" si="46"/>
        <v>0.9</v>
      </c>
      <c r="E166" s="53">
        <v>0</v>
      </c>
      <c r="F166" s="53">
        <v>0</v>
      </c>
      <c r="G166" s="776">
        <f t="shared" si="41"/>
        <v>0.51501283724916636</v>
      </c>
      <c r="H166" s="519">
        <f t="shared" si="42"/>
        <v>23.175577676212484</v>
      </c>
      <c r="I166" s="53"/>
      <c r="J166" s="776">
        <f t="shared" si="43"/>
        <v>1.3905346605727491</v>
      </c>
      <c r="K166" s="1212">
        <f>'Recycling - Case 2'!Z154</f>
        <v>2959.9785922623614</v>
      </c>
      <c r="L166" s="1211">
        <f t="shared" si="47"/>
        <v>0.1</v>
      </c>
      <c r="M166" s="1211">
        <f t="shared" si="47"/>
        <v>0.9</v>
      </c>
      <c r="N166" s="53">
        <f t="shared" si="44"/>
        <v>0</v>
      </c>
      <c r="O166" s="53">
        <f t="shared" si="44"/>
        <v>0</v>
      </c>
      <c r="P166" s="776">
        <f t="shared" si="45"/>
        <v>0.23679828738098896</v>
      </c>
      <c r="Q166" s="519">
        <f t="shared" si="37"/>
        <v>10.655922932144502</v>
      </c>
      <c r="R166" s="53"/>
      <c r="S166" s="1213">
        <f t="shared" si="38"/>
        <v>0.63935537592866998</v>
      </c>
      <c r="T166" s="1200">
        <f t="shared" si="39"/>
        <v>0.75181112463015531</v>
      </c>
      <c r="U166" s="1201">
        <f t="shared" si="39"/>
        <v>33.83150060835699</v>
      </c>
      <c r="V166" s="1201">
        <f t="shared" si="39"/>
        <v>0</v>
      </c>
      <c r="W166" s="1202">
        <f t="shared" si="39"/>
        <v>2.0298900365014192</v>
      </c>
    </row>
    <row r="167" spans="1:23">
      <c r="A167" s="123">
        <f>'Input data'!A135</f>
        <v>2035</v>
      </c>
      <c r="B167" s="1210">
        <f>'Recycling - Case 2'!AI115</f>
        <v>6437.6604656145792</v>
      </c>
      <c r="C167" s="1211">
        <f t="shared" si="46"/>
        <v>0.1</v>
      </c>
      <c r="D167" s="1211">
        <f t="shared" si="46"/>
        <v>0.9</v>
      </c>
      <c r="E167" s="53">
        <v>0</v>
      </c>
      <c r="F167" s="53">
        <v>0</v>
      </c>
      <c r="G167" s="776">
        <f t="shared" si="41"/>
        <v>0.51501283724916636</v>
      </c>
      <c r="H167" s="519">
        <f t="shared" si="42"/>
        <v>23.175577676212484</v>
      </c>
      <c r="I167" s="53"/>
      <c r="J167" s="776">
        <f t="shared" si="43"/>
        <v>1.3905346605727491</v>
      </c>
      <c r="K167" s="1212">
        <f>'Recycling - Case 2'!Z155</f>
        <v>751.91700000000026</v>
      </c>
      <c r="L167" s="1211">
        <f t="shared" si="47"/>
        <v>0.1</v>
      </c>
      <c r="M167" s="1211">
        <f t="shared" si="47"/>
        <v>0.9</v>
      </c>
      <c r="N167" s="53">
        <f t="shared" ref="N167:O182" si="48">N165</f>
        <v>0</v>
      </c>
      <c r="O167" s="53">
        <f t="shared" si="48"/>
        <v>0</v>
      </c>
      <c r="P167" s="776">
        <f t="shared" si="45"/>
        <v>6.0153360000000038E-2</v>
      </c>
      <c r="Q167" s="519">
        <f t="shared" si="37"/>
        <v>2.7069012000000012</v>
      </c>
      <c r="R167" s="53"/>
      <c r="S167" s="1213">
        <f t="shared" si="38"/>
        <v>0.16241407200000005</v>
      </c>
      <c r="T167" s="1200">
        <f t="shared" si="39"/>
        <v>0.5751661972491664</v>
      </c>
      <c r="U167" s="1201">
        <f t="shared" si="39"/>
        <v>25.882478876212485</v>
      </c>
      <c r="V167" s="1201">
        <f t="shared" si="39"/>
        <v>0</v>
      </c>
      <c r="W167" s="1202">
        <f t="shared" si="39"/>
        <v>1.5529487325727491</v>
      </c>
    </row>
    <row r="168" spans="1:23">
      <c r="A168" s="123">
        <f>'Input data'!A136</f>
        <v>2036</v>
      </c>
      <c r="B168" s="1210">
        <f>'Recycling - Case 2'!AI116</f>
        <v>6437.6604656145792</v>
      </c>
      <c r="C168" s="1211">
        <f t="shared" si="46"/>
        <v>0.1</v>
      </c>
      <c r="D168" s="1211">
        <f t="shared" si="46"/>
        <v>0.9</v>
      </c>
      <c r="E168" s="53">
        <v>0</v>
      </c>
      <c r="F168" s="53">
        <v>0</v>
      </c>
      <c r="G168" s="776">
        <f t="shared" si="41"/>
        <v>0.51501283724916636</v>
      </c>
      <c r="H168" s="519">
        <f t="shared" si="42"/>
        <v>23.175577676212484</v>
      </c>
      <c r="I168" s="53"/>
      <c r="J168" s="776">
        <f t="shared" si="43"/>
        <v>1.3905346605727491</v>
      </c>
      <c r="K168" s="1212">
        <f>'Recycling - Case 2'!Z156</f>
        <v>751.91700000000026</v>
      </c>
      <c r="L168" s="1211">
        <f t="shared" si="47"/>
        <v>0.1</v>
      </c>
      <c r="M168" s="1211">
        <f t="shared" si="47"/>
        <v>0.9</v>
      </c>
      <c r="N168" s="53">
        <f t="shared" si="48"/>
        <v>0</v>
      </c>
      <c r="O168" s="53">
        <f t="shared" si="48"/>
        <v>0</v>
      </c>
      <c r="P168" s="776">
        <f t="shared" si="45"/>
        <v>6.0153360000000038E-2</v>
      </c>
      <c r="Q168" s="519">
        <f t="shared" si="37"/>
        <v>2.7069012000000012</v>
      </c>
      <c r="R168" s="53"/>
      <c r="S168" s="1213">
        <f t="shared" si="38"/>
        <v>0.16241407200000005</v>
      </c>
      <c r="T168" s="1200">
        <f t="shared" si="39"/>
        <v>0.5751661972491664</v>
      </c>
      <c r="U168" s="1201">
        <f t="shared" si="39"/>
        <v>25.882478876212485</v>
      </c>
      <c r="V168" s="1201">
        <f t="shared" si="39"/>
        <v>0</v>
      </c>
      <c r="W168" s="1202">
        <f t="shared" si="39"/>
        <v>1.5529487325727491</v>
      </c>
    </row>
    <row r="169" spans="1:23">
      <c r="A169" s="123">
        <f>'Input data'!A137</f>
        <v>2037</v>
      </c>
      <c r="B169" s="1210">
        <f>'Recycling - Case 2'!AI117</f>
        <v>6437.6604656145792</v>
      </c>
      <c r="C169" s="1211">
        <f t="shared" si="46"/>
        <v>0.1</v>
      </c>
      <c r="D169" s="1211">
        <f t="shared" si="46"/>
        <v>0.9</v>
      </c>
      <c r="E169" s="53">
        <v>0</v>
      </c>
      <c r="F169" s="53">
        <v>0</v>
      </c>
      <c r="G169" s="776">
        <f t="shared" si="41"/>
        <v>0.51501283724916636</v>
      </c>
      <c r="H169" s="519">
        <f t="shared" si="42"/>
        <v>23.175577676212484</v>
      </c>
      <c r="I169" s="53"/>
      <c r="J169" s="776">
        <f t="shared" si="43"/>
        <v>1.3905346605727491</v>
      </c>
      <c r="K169" s="1212">
        <f>'Recycling - Case 2'!Z157</f>
        <v>751.91700000000026</v>
      </c>
      <c r="L169" s="1211">
        <f t="shared" si="47"/>
        <v>0.1</v>
      </c>
      <c r="M169" s="1211">
        <f t="shared" si="47"/>
        <v>0.9</v>
      </c>
      <c r="N169" s="53">
        <f t="shared" si="48"/>
        <v>0</v>
      </c>
      <c r="O169" s="53">
        <f t="shared" si="48"/>
        <v>0</v>
      </c>
      <c r="P169" s="776">
        <f t="shared" si="45"/>
        <v>6.0153360000000038E-2</v>
      </c>
      <c r="Q169" s="519">
        <f t="shared" si="37"/>
        <v>2.7069012000000012</v>
      </c>
      <c r="R169" s="53"/>
      <c r="S169" s="1213">
        <f t="shared" si="38"/>
        <v>0.16241407200000005</v>
      </c>
      <c r="T169" s="1200">
        <f t="shared" si="39"/>
        <v>0.5751661972491664</v>
      </c>
      <c r="U169" s="1201">
        <f t="shared" si="39"/>
        <v>25.882478876212485</v>
      </c>
      <c r="V169" s="1201">
        <f t="shared" si="39"/>
        <v>0</v>
      </c>
      <c r="W169" s="1202">
        <f t="shared" si="39"/>
        <v>1.5529487325727491</v>
      </c>
    </row>
    <row r="170" spans="1:23">
      <c r="A170" s="123">
        <f>'Input data'!A138</f>
        <v>2038</v>
      </c>
      <c r="B170" s="1210">
        <f>'Recycling - Case 2'!AI118</f>
        <v>6437.6604656145792</v>
      </c>
      <c r="C170" s="1211">
        <f t="shared" si="46"/>
        <v>0.1</v>
      </c>
      <c r="D170" s="1211">
        <f t="shared" si="46"/>
        <v>0.9</v>
      </c>
      <c r="E170" s="53">
        <v>0</v>
      </c>
      <c r="F170" s="53">
        <v>0</v>
      </c>
      <c r="G170" s="776">
        <f t="shared" si="41"/>
        <v>0.51501283724916636</v>
      </c>
      <c r="H170" s="519">
        <f t="shared" si="42"/>
        <v>23.175577676212484</v>
      </c>
      <c r="I170" s="53"/>
      <c r="J170" s="776">
        <f t="shared" si="43"/>
        <v>1.3905346605727491</v>
      </c>
      <c r="K170" s="1212">
        <f>'Recycling - Case 2'!Z158</f>
        <v>751.91700000000026</v>
      </c>
      <c r="L170" s="1211">
        <f t="shared" si="47"/>
        <v>0.1</v>
      </c>
      <c r="M170" s="1211">
        <f t="shared" si="47"/>
        <v>0.9</v>
      </c>
      <c r="N170" s="53">
        <f t="shared" si="48"/>
        <v>0</v>
      </c>
      <c r="O170" s="53">
        <f t="shared" si="48"/>
        <v>0</v>
      </c>
      <c r="P170" s="776">
        <f t="shared" si="45"/>
        <v>6.0153360000000038E-2</v>
      </c>
      <c r="Q170" s="519">
        <f t="shared" si="37"/>
        <v>2.7069012000000012</v>
      </c>
      <c r="R170" s="53"/>
      <c r="S170" s="1213">
        <f t="shared" si="38"/>
        <v>0.16241407200000005</v>
      </c>
      <c r="T170" s="1200">
        <f t="shared" si="39"/>
        <v>0.5751661972491664</v>
      </c>
      <c r="U170" s="1201">
        <f t="shared" si="39"/>
        <v>25.882478876212485</v>
      </c>
      <c r="V170" s="1201">
        <f t="shared" si="39"/>
        <v>0</v>
      </c>
      <c r="W170" s="1202">
        <f t="shared" si="39"/>
        <v>1.5529487325727491</v>
      </c>
    </row>
    <row r="171" spans="1:23">
      <c r="A171" s="123">
        <f>'Input data'!A139</f>
        <v>2039</v>
      </c>
      <c r="B171" s="1210">
        <f>'Recycling - Case 2'!AI119</f>
        <v>6437.6604656145792</v>
      </c>
      <c r="C171" s="1211">
        <f t="shared" si="46"/>
        <v>0.1</v>
      </c>
      <c r="D171" s="1211">
        <f t="shared" si="46"/>
        <v>0.9</v>
      </c>
      <c r="E171" s="53">
        <v>0</v>
      </c>
      <c r="F171" s="53">
        <v>0</v>
      </c>
      <c r="G171" s="776">
        <f t="shared" si="41"/>
        <v>0.51501283724916636</v>
      </c>
      <c r="H171" s="519">
        <f t="shared" si="42"/>
        <v>23.175577676212484</v>
      </c>
      <c r="I171" s="53"/>
      <c r="J171" s="776">
        <f t="shared" si="43"/>
        <v>1.3905346605727491</v>
      </c>
      <c r="K171" s="1212">
        <f>'Recycling - Case 2'!Z159</f>
        <v>751.91700000000026</v>
      </c>
      <c r="L171" s="1211">
        <f t="shared" si="47"/>
        <v>0.1</v>
      </c>
      <c r="M171" s="1211">
        <f t="shared" si="47"/>
        <v>0.9</v>
      </c>
      <c r="N171" s="53">
        <f t="shared" si="48"/>
        <v>0</v>
      </c>
      <c r="O171" s="53">
        <f t="shared" si="48"/>
        <v>0</v>
      </c>
      <c r="P171" s="776">
        <f t="shared" si="45"/>
        <v>6.0153360000000038E-2</v>
      </c>
      <c r="Q171" s="519">
        <f t="shared" si="37"/>
        <v>2.7069012000000012</v>
      </c>
      <c r="R171" s="53"/>
      <c r="S171" s="1213">
        <f t="shared" si="38"/>
        <v>0.16241407200000005</v>
      </c>
      <c r="T171" s="1200">
        <f t="shared" si="39"/>
        <v>0.5751661972491664</v>
      </c>
      <c r="U171" s="1201">
        <f t="shared" si="39"/>
        <v>25.882478876212485</v>
      </c>
      <c r="V171" s="1201">
        <f t="shared" si="39"/>
        <v>0</v>
      </c>
      <c r="W171" s="1202">
        <f t="shared" si="39"/>
        <v>1.5529487325727491</v>
      </c>
    </row>
    <row r="172" spans="1:23">
      <c r="A172" s="123">
        <f>'Input data'!A140</f>
        <v>2040</v>
      </c>
      <c r="B172" s="1210">
        <f>'Recycling - Case 2'!AI120</f>
        <v>6437.6604656145792</v>
      </c>
      <c r="C172" s="1211">
        <f t="shared" ref="C172:D182" si="49">C171</f>
        <v>0.1</v>
      </c>
      <c r="D172" s="1211">
        <f t="shared" si="49"/>
        <v>0.9</v>
      </c>
      <c r="E172" s="53">
        <v>0</v>
      </c>
      <c r="F172" s="53">
        <v>0</v>
      </c>
      <c r="G172" s="776">
        <f t="shared" si="41"/>
        <v>0.51501283724916636</v>
      </c>
      <c r="H172" s="519">
        <f t="shared" si="42"/>
        <v>23.175577676212484</v>
      </c>
      <c r="I172" s="53"/>
      <c r="J172" s="776">
        <f t="shared" si="43"/>
        <v>1.3905346605727491</v>
      </c>
      <c r="K172" s="1212">
        <f>'Recycling - Case 2'!Z160</f>
        <v>751.91700000000026</v>
      </c>
      <c r="L172" s="1211">
        <f t="shared" ref="L172:M182" si="50">L171</f>
        <v>0.1</v>
      </c>
      <c r="M172" s="1211">
        <f t="shared" si="50"/>
        <v>0.9</v>
      </c>
      <c r="N172" s="53">
        <f t="shared" si="48"/>
        <v>0</v>
      </c>
      <c r="O172" s="53">
        <f t="shared" si="48"/>
        <v>0</v>
      </c>
      <c r="P172" s="776">
        <f t="shared" si="45"/>
        <v>6.0153360000000038E-2</v>
      </c>
      <c r="Q172" s="519">
        <f t="shared" si="37"/>
        <v>2.7069012000000012</v>
      </c>
      <c r="R172" s="53"/>
      <c r="S172" s="1213">
        <f t="shared" si="38"/>
        <v>0.16241407200000005</v>
      </c>
      <c r="T172" s="1200">
        <f t="shared" si="39"/>
        <v>0.5751661972491664</v>
      </c>
      <c r="U172" s="1201">
        <f t="shared" si="39"/>
        <v>25.882478876212485</v>
      </c>
      <c r="V172" s="1201">
        <f t="shared" si="39"/>
        <v>0</v>
      </c>
      <c r="W172" s="1202">
        <f t="shared" si="39"/>
        <v>1.5529487325727491</v>
      </c>
    </row>
    <row r="173" spans="1:23">
      <c r="A173" s="123">
        <f>'Input data'!A141</f>
        <v>2041</v>
      </c>
      <c r="B173" s="1210">
        <f>'Recycling - Case 2'!AI121</f>
        <v>6437.6604656145792</v>
      </c>
      <c r="C173" s="1211">
        <f t="shared" si="49"/>
        <v>0.1</v>
      </c>
      <c r="D173" s="1211">
        <f t="shared" si="49"/>
        <v>0.9</v>
      </c>
      <c r="E173" s="53">
        <v>0</v>
      </c>
      <c r="F173" s="53">
        <v>0</v>
      </c>
      <c r="G173" s="776">
        <f t="shared" si="41"/>
        <v>0.51501283724916636</v>
      </c>
      <c r="H173" s="519">
        <f t="shared" si="42"/>
        <v>23.175577676212484</v>
      </c>
      <c r="I173" s="53"/>
      <c r="J173" s="776">
        <f t="shared" si="43"/>
        <v>1.3905346605727491</v>
      </c>
      <c r="K173" s="1212">
        <f>'Recycling - Case 2'!Z161</f>
        <v>751.91700000000026</v>
      </c>
      <c r="L173" s="1211">
        <f t="shared" si="50"/>
        <v>0.1</v>
      </c>
      <c r="M173" s="1211">
        <f t="shared" si="50"/>
        <v>0.9</v>
      </c>
      <c r="N173" s="53">
        <f t="shared" si="48"/>
        <v>0</v>
      </c>
      <c r="O173" s="53">
        <f t="shared" si="48"/>
        <v>0</v>
      </c>
      <c r="P173" s="776">
        <f t="shared" si="45"/>
        <v>6.0153360000000038E-2</v>
      </c>
      <c r="Q173" s="519">
        <f t="shared" si="37"/>
        <v>2.7069012000000012</v>
      </c>
      <c r="R173" s="53"/>
      <c r="S173" s="1213">
        <f t="shared" si="38"/>
        <v>0.16241407200000005</v>
      </c>
      <c r="T173" s="1200">
        <f t="shared" si="39"/>
        <v>0.5751661972491664</v>
      </c>
      <c r="U173" s="1201">
        <f t="shared" si="39"/>
        <v>25.882478876212485</v>
      </c>
      <c r="V173" s="1201">
        <f t="shared" si="39"/>
        <v>0</v>
      </c>
      <c r="W173" s="1202">
        <f t="shared" si="39"/>
        <v>1.5529487325727491</v>
      </c>
    </row>
    <row r="174" spans="1:23">
      <c r="A174" s="123">
        <f>'Input data'!A142</f>
        <v>2042</v>
      </c>
      <c r="B174" s="1210">
        <f>'Recycling - Case 2'!AI122</f>
        <v>6437.6604656145792</v>
      </c>
      <c r="C174" s="1211">
        <f t="shared" si="49"/>
        <v>0.1</v>
      </c>
      <c r="D174" s="1211">
        <f t="shared" si="49"/>
        <v>0.9</v>
      </c>
      <c r="E174" s="53">
        <v>0</v>
      </c>
      <c r="F174" s="53">
        <v>0</v>
      </c>
      <c r="G174" s="776">
        <f t="shared" si="41"/>
        <v>0.51501283724916636</v>
      </c>
      <c r="H174" s="519">
        <f t="shared" si="42"/>
        <v>23.175577676212484</v>
      </c>
      <c r="I174" s="53"/>
      <c r="J174" s="776">
        <f t="shared" si="43"/>
        <v>1.3905346605727491</v>
      </c>
      <c r="K174" s="1212">
        <f>'Recycling - Case 2'!Z162</f>
        <v>751.91700000000026</v>
      </c>
      <c r="L174" s="1211">
        <f t="shared" si="50"/>
        <v>0.1</v>
      </c>
      <c r="M174" s="1211">
        <f t="shared" si="50"/>
        <v>0.9</v>
      </c>
      <c r="N174" s="53">
        <f t="shared" si="48"/>
        <v>0</v>
      </c>
      <c r="O174" s="53">
        <f t="shared" si="48"/>
        <v>0</v>
      </c>
      <c r="P174" s="776">
        <f t="shared" si="45"/>
        <v>6.0153360000000038E-2</v>
      </c>
      <c r="Q174" s="519">
        <f t="shared" si="37"/>
        <v>2.7069012000000012</v>
      </c>
      <c r="R174" s="53"/>
      <c r="S174" s="1213">
        <f t="shared" si="38"/>
        <v>0.16241407200000005</v>
      </c>
      <c r="T174" s="1200">
        <f t="shared" si="39"/>
        <v>0.5751661972491664</v>
      </c>
      <c r="U174" s="1201">
        <f t="shared" si="39"/>
        <v>25.882478876212485</v>
      </c>
      <c r="V174" s="1201">
        <f t="shared" si="39"/>
        <v>0</v>
      </c>
      <c r="W174" s="1202">
        <f t="shared" si="39"/>
        <v>1.5529487325727491</v>
      </c>
    </row>
    <row r="175" spans="1:23">
      <c r="A175" s="123">
        <f>'Input data'!A143</f>
        <v>2043</v>
      </c>
      <c r="B175" s="1210">
        <f>'Recycling - Case 2'!AI123</f>
        <v>6437.6604656145792</v>
      </c>
      <c r="C175" s="1211">
        <f t="shared" si="49"/>
        <v>0.1</v>
      </c>
      <c r="D175" s="1211">
        <f t="shared" si="49"/>
        <v>0.9</v>
      </c>
      <c r="E175" s="53">
        <v>0</v>
      </c>
      <c r="F175" s="53">
        <v>0</v>
      </c>
      <c r="G175" s="776">
        <f t="shared" si="41"/>
        <v>0.51501283724916636</v>
      </c>
      <c r="H175" s="519">
        <f t="shared" si="42"/>
        <v>23.175577676212484</v>
      </c>
      <c r="I175" s="53"/>
      <c r="J175" s="776">
        <f t="shared" si="43"/>
        <v>1.3905346605727491</v>
      </c>
      <c r="K175" s="1212">
        <f>'Recycling - Case 2'!Z163</f>
        <v>751.91700000000026</v>
      </c>
      <c r="L175" s="1211">
        <f t="shared" si="50"/>
        <v>0.1</v>
      </c>
      <c r="M175" s="1211">
        <f t="shared" si="50"/>
        <v>0.9</v>
      </c>
      <c r="N175" s="53">
        <f t="shared" si="48"/>
        <v>0</v>
      </c>
      <c r="O175" s="53">
        <f t="shared" si="48"/>
        <v>0</v>
      </c>
      <c r="P175" s="776">
        <f t="shared" si="45"/>
        <v>6.0153360000000038E-2</v>
      </c>
      <c r="Q175" s="519">
        <f t="shared" si="37"/>
        <v>2.7069012000000012</v>
      </c>
      <c r="R175" s="53"/>
      <c r="S175" s="1213">
        <f t="shared" si="38"/>
        <v>0.16241407200000005</v>
      </c>
      <c r="T175" s="1200">
        <f t="shared" si="39"/>
        <v>0.5751661972491664</v>
      </c>
      <c r="U175" s="1201">
        <f t="shared" si="39"/>
        <v>25.882478876212485</v>
      </c>
      <c r="V175" s="1201">
        <f t="shared" si="39"/>
        <v>0</v>
      </c>
      <c r="W175" s="1202">
        <f t="shared" si="39"/>
        <v>1.5529487325727491</v>
      </c>
    </row>
    <row r="176" spans="1:23">
      <c r="A176" s="123">
        <f>'Input data'!A144</f>
        <v>2044</v>
      </c>
      <c r="B176" s="1210">
        <f>'Recycling - Case 2'!AI124</f>
        <v>6437.6604656145792</v>
      </c>
      <c r="C176" s="1211">
        <f t="shared" si="49"/>
        <v>0.1</v>
      </c>
      <c r="D176" s="1211">
        <f t="shared" si="49"/>
        <v>0.9</v>
      </c>
      <c r="E176" s="53">
        <v>0</v>
      </c>
      <c r="F176" s="53">
        <v>0</v>
      </c>
      <c r="G176" s="776">
        <f t="shared" si="41"/>
        <v>0.51501283724916636</v>
      </c>
      <c r="H176" s="519">
        <f t="shared" si="42"/>
        <v>23.175577676212484</v>
      </c>
      <c r="I176" s="53"/>
      <c r="J176" s="776">
        <f t="shared" si="43"/>
        <v>1.3905346605727491</v>
      </c>
      <c r="K176" s="1212">
        <f>'Recycling - Case 2'!Z164</f>
        <v>751.91700000000026</v>
      </c>
      <c r="L176" s="1211">
        <f t="shared" si="50"/>
        <v>0.1</v>
      </c>
      <c r="M176" s="1211">
        <f t="shared" si="50"/>
        <v>0.9</v>
      </c>
      <c r="N176" s="53">
        <f t="shared" si="48"/>
        <v>0</v>
      </c>
      <c r="O176" s="53">
        <f t="shared" si="48"/>
        <v>0</v>
      </c>
      <c r="P176" s="776">
        <f t="shared" si="45"/>
        <v>6.0153360000000038E-2</v>
      </c>
      <c r="Q176" s="519">
        <f t="shared" si="37"/>
        <v>2.7069012000000012</v>
      </c>
      <c r="R176" s="53"/>
      <c r="S176" s="1213">
        <f t="shared" si="38"/>
        <v>0.16241407200000005</v>
      </c>
      <c r="T176" s="1200">
        <f t="shared" si="39"/>
        <v>0.5751661972491664</v>
      </c>
      <c r="U176" s="1201">
        <f t="shared" si="39"/>
        <v>25.882478876212485</v>
      </c>
      <c r="V176" s="1201">
        <f t="shared" si="39"/>
        <v>0</v>
      </c>
      <c r="W176" s="1202">
        <f t="shared" si="39"/>
        <v>1.5529487325727491</v>
      </c>
    </row>
    <row r="177" spans="1:23">
      <c r="A177" s="123">
        <f>'Input data'!A145</f>
        <v>2045</v>
      </c>
      <c r="B177" s="1210">
        <f>'Recycling - Case 2'!AI125</f>
        <v>6437.6604656145792</v>
      </c>
      <c r="C177" s="1211">
        <f t="shared" si="49"/>
        <v>0.1</v>
      </c>
      <c r="D177" s="1211">
        <f t="shared" si="49"/>
        <v>0.9</v>
      </c>
      <c r="E177" s="53">
        <v>0</v>
      </c>
      <c r="F177" s="53">
        <v>0</v>
      </c>
      <c r="G177" s="776">
        <f t="shared" si="41"/>
        <v>0.51501283724916636</v>
      </c>
      <c r="H177" s="519">
        <f t="shared" si="42"/>
        <v>23.175577676212484</v>
      </c>
      <c r="I177" s="53"/>
      <c r="J177" s="776">
        <f t="shared" si="43"/>
        <v>1.3905346605727491</v>
      </c>
      <c r="K177" s="1212">
        <f>'Recycling - Case 2'!Z165</f>
        <v>751.91700000000026</v>
      </c>
      <c r="L177" s="1211">
        <f t="shared" si="50"/>
        <v>0.1</v>
      </c>
      <c r="M177" s="1211">
        <f t="shared" si="50"/>
        <v>0.9</v>
      </c>
      <c r="N177" s="53">
        <f t="shared" si="48"/>
        <v>0</v>
      </c>
      <c r="O177" s="53">
        <f t="shared" si="48"/>
        <v>0</v>
      </c>
      <c r="P177" s="776">
        <f t="shared" si="45"/>
        <v>6.0153360000000038E-2</v>
      </c>
      <c r="Q177" s="519">
        <f t="shared" si="37"/>
        <v>2.7069012000000012</v>
      </c>
      <c r="R177" s="53"/>
      <c r="S177" s="1213">
        <f t="shared" si="38"/>
        <v>0.16241407200000005</v>
      </c>
      <c r="T177" s="1200">
        <f t="shared" si="39"/>
        <v>0.5751661972491664</v>
      </c>
      <c r="U177" s="1201">
        <f t="shared" si="39"/>
        <v>25.882478876212485</v>
      </c>
      <c r="V177" s="1201">
        <f t="shared" si="39"/>
        <v>0</v>
      </c>
      <c r="W177" s="1202">
        <f t="shared" si="39"/>
        <v>1.5529487325727491</v>
      </c>
    </row>
    <row r="178" spans="1:23">
      <c r="A178" s="123">
        <f>'Input data'!A146</f>
        <v>2046</v>
      </c>
      <c r="B178" s="1210">
        <f>'Recycling - Case 2'!AI126</f>
        <v>6437.6604656145792</v>
      </c>
      <c r="C178" s="1211">
        <f t="shared" si="49"/>
        <v>0.1</v>
      </c>
      <c r="D178" s="1211">
        <f t="shared" si="49"/>
        <v>0.9</v>
      </c>
      <c r="E178" s="53">
        <v>0</v>
      </c>
      <c r="F178" s="53">
        <v>0</v>
      </c>
      <c r="G178" s="776">
        <f t="shared" si="41"/>
        <v>0.51501283724916636</v>
      </c>
      <c r="H178" s="519">
        <f t="shared" si="42"/>
        <v>23.175577676212484</v>
      </c>
      <c r="I178" s="53"/>
      <c r="J178" s="776">
        <f t="shared" si="43"/>
        <v>1.3905346605727491</v>
      </c>
      <c r="K178" s="1212">
        <f>'Recycling - Case 2'!Z166</f>
        <v>751.91700000000026</v>
      </c>
      <c r="L178" s="1211">
        <f t="shared" si="50"/>
        <v>0.1</v>
      </c>
      <c r="M178" s="1211">
        <f t="shared" si="50"/>
        <v>0.9</v>
      </c>
      <c r="N178" s="53">
        <f t="shared" si="48"/>
        <v>0</v>
      </c>
      <c r="O178" s="53">
        <f t="shared" si="48"/>
        <v>0</v>
      </c>
      <c r="P178" s="776">
        <f t="shared" si="45"/>
        <v>6.0153360000000038E-2</v>
      </c>
      <c r="Q178" s="519">
        <f t="shared" si="37"/>
        <v>2.7069012000000012</v>
      </c>
      <c r="R178" s="53"/>
      <c r="S178" s="1213">
        <f t="shared" si="38"/>
        <v>0.16241407200000005</v>
      </c>
      <c r="T178" s="1200">
        <f t="shared" si="39"/>
        <v>0.5751661972491664</v>
      </c>
      <c r="U178" s="1201">
        <f t="shared" si="39"/>
        <v>25.882478876212485</v>
      </c>
      <c r="V178" s="1201">
        <f t="shared" si="39"/>
        <v>0</v>
      </c>
      <c r="W178" s="1202">
        <f t="shared" si="39"/>
        <v>1.5529487325727491</v>
      </c>
    </row>
    <row r="179" spans="1:23">
      <c r="A179" s="123">
        <f>'Input data'!A147</f>
        <v>2047</v>
      </c>
      <c r="B179" s="1210">
        <f>'Recycling - Case 2'!AI127</f>
        <v>6437.6604656145792</v>
      </c>
      <c r="C179" s="1211">
        <f t="shared" si="49"/>
        <v>0.1</v>
      </c>
      <c r="D179" s="1211">
        <f t="shared" si="49"/>
        <v>0.9</v>
      </c>
      <c r="E179" s="53">
        <v>0</v>
      </c>
      <c r="F179" s="53">
        <v>0</v>
      </c>
      <c r="G179" s="776">
        <f t="shared" si="41"/>
        <v>0.51501283724916636</v>
      </c>
      <c r="H179" s="519">
        <f t="shared" si="42"/>
        <v>23.175577676212484</v>
      </c>
      <c r="I179" s="53"/>
      <c r="J179" s="776">
        <f t="shared" si="43"/>
        <v>1.3905346605727491</v>
      </c>
      <c r="K179" s="1212">
        <f>'Recycling - Case 2'!Z167</f>
        <v>751.91700000000026</v>
      </c>
      <c r="L179" s="1211">
        <f t="shared" si="50"/>
        <v>0.1</v>
      </c>
      <c r="M179" s="1211">
        <f t="shared" si="50"/>
        <v>0.9</v>
      </c>
      <c r="N179" s="53">
        <f t="shared" si="48"/>
        <v>0</v>
      </c>
      <c r="O179" s="53">
        <f t="shared" si="48"/>
        <v>0</v>
      </c>
      <c r="P179" s="776">
        <f t="shared" si="45"/>
        <v>6.0153360000000038E-2</v>
      </c>
      <c r="Q179" s="519">
        <f t="shared" si="37"/>
        <v>2.7069012000000012</v>
      </c>
      <c r="R179" s="53"/>
      <c r="S179" s="1213">
        <f t="shared" si="38"/>
        <v>0.16241407200000005</v>
      </c>
      <c r="T179" s="1200">
        <f t="shared" si="39"/>
        <v>0.5751661972491664</v>
      </c>
      <c r="U179" s="1201">
        <f t="shared" si="39"/>
        <v>25.882478876212485</v>
      </c>
      <c r="V179" s="1201">
        <f t="shared" si="39"/>
        <v>0</v>
      </c>
      <c r="W179" s="1202">
        <f t="shared" si="39"/>
        <v>1.5529487325727491</v>
      </c>
    </row>
    <row r="180" spans="1:23">
      <c r="A180" s="123">
        <f>'Input data'!A148</f>
        <v>2048</v>
      </c>
      <c r="B180" s="1210">
        <f>'Recycling - Case 2'!AI128</f>
        <v>6437.6604656145792</v>
      </c>
      <c r="C180" s="1211">
        <f t="shared" si="49"/>
        <v>0.1</v>
      </c>
      <c r="D180" s="1211">
        <f t="shared" si="49"/>
        <v>0.9</v>
      </c>
      <c r="E180" s="53">
        <v>0</v>
      </c>
      <c r="F180" s="53">
        <v>0</v>
      </c>
      <c r="G180" s="776">
        <f t="shared" si="41"/>
        <v>0.51501283724916636</v>
      </c>
      <c r="H180" s="519">
        <f t="shared" si="42"/>
        <v>23.175577676212484</v>
      </c>
      <c r="I180" s="53"/>
      <c r="J180" s="776">
        <f t="shared" si="43"/>
        <v>1.3905346605727491</v>
      </c>
      <c r="K180" s="1212">
        <f>'Recycling - Case 2'!Z168</f>
        <v>751.91700000000026</v>
      </c>
      <c r="L180" s="1211">
        <f t="shared" si="50"/>
        <v>0.1</v>
      </c>
      <c r="M180" s="1211">
        <f t="shared" si="50"/>
        <v>0.9</v>
      </c>
      <c r="N180" s="53">
        <f t="shared" si="48"/>
        <v>0</v>
      </c>
      <c r="O180" s="53">
        <f t="shared" si="48"/>
        <v>0</v>
      </c>
      <c r="P180" s="776">
        <f t="shared" si="45"/>
        <v>6.0153360000000038E-2</v>
      </c>
      <c r="Q180" s="519">
        <f t="shared" si="37"/>
        <v>2.7069012000000012</v>
      </c>
      <c r="R180" s="53"/>
      <c r="S180" s="1213">
        <f t="shared" si="38"/>
        <v>0.16241407200000005</v>
      </c>
      <c r="T180" s="1200">
        <f t="shared" si="39"/>
        <v>0.5751661972491664</v>
      </c>
      <c r="U180" s="1201">
        <f t="shared" si="39"/>
        <v>25.882478876212485</v>
      </c>
      <c r="V180" s="1201">
        <f t="shared" si="39"/>
        <v>0</v>
      </c>
      <c r="W180" s="1202">
        <f t="shared" si="39"/>
        <v>1.5529487325727491</v>
      </c>
    </row>
    <row r="181" spans="1:23">
      <c r="A181" s="123">
        <f>'Input data'!A149</f>
        <v>2049</v>
      </c>
      <c r="B181" s="1210">
        <f>'Recycling - Case 2'!AI129</f>
        <v>6437.6604656145792</v>
      </c>
      <c r="C181" s="1211">
        <f t="shared" si="49"/>
        <v>0.1</v>
      </c>
      <c r="D181" s="1211">
        <f t="shared" si="49"/>
        <v>0.9</v>
      </c>
      <c r="E181" s="53">
        <v>0</v>
      </c>
      <c r="F181" s="53">
        <v>0</v>
      </c>
      <c r="G181" s="776">
        <f t="shared" si="41"/>
        <v>0.51501283724916636</v>
      </c>
      <c r="H181" s="519">
        <f t="shared" si="42"/>
        <v>23.175577676212484</v>
      </c>
      <c r="I181" s="53"/>
      <c r="J181" s="776">
        <f t="shared" si="43"/>
        <v>1.3905346605727491</v>
      </c>
      <c r="K181" s="1212">
        <f>'Recycling - Case 2'!Z169</f>
        <v>751.91700000000026</v>
      </c>
      <c r="L181" s="1211">
        <f t="shared" si="50"/>
        <v>0.1</v>
      </c>
      <c r="M181" s="1211">
        <f t="shared" si="50"/>
        <v>0.9</v>
      </c>
      <c r="N181" s="53">
        <f t="shared" si="48"/>
        <v>0</v>
      </c>
      <c r="O181" s="53">
        <f t="shared" si="48"/>
        <v>0</v>
      </c>
      <c r="P181" s="776">
        <f t="shared" si="45"/>
        <v>6.0153360000000038E-2</v>
      </c>
      <c r="Q181" s="519">
        <f t="shared" si="37"/>
        <v>2.7069012000000012</v>
      </c>
      <c r="R181" s="53"/>
      <c r="S181" s="1213">
        <f t="shared" si="38"/>
        <v>0.16241407200000005</v>
      </c>
      <c r="T181" s="1200">
        <f t="shared" si="39"/>
        <v>0.5751661972491664</v>
      </c>
      <c r="U181" s="1201">
        <f t="shared" si="39"/>
        <v>25.882478876212485</v>
      </c>
      <c r="V181" s="1201">
        <f t="shared" si="39"/>
        <v>0</v>
      </c>
      <c r="W181" s="1202">
        <f t="shared" si="39"/>
        <v>1.5529487325727491</v>
      </c>
    </row>
    <row r="182" spans="1:23" ht="15.75" thickBot="1">
      <c r="A182" s="123">
        <f>'Input data'!A150</f>
        <v>2050</v>
      </c>
      <c r="B182" s="1210">
        <f>'Recycling - Case 2'!AI130</f>
        <v>6437.6604656145792</v>
      </c>
      <c r="C182" s="578">
        <f t="shared" si="49"/>
        <v>0.1</v>
      </c>
      <c r="D182" s="578">
        <f t="shared" si="49"/>
        <v>0.9</v>
      </c>
      <c r="E182" s="1214">
        <v>0</v>
      </c>
      <c r="F182" s="1214">
        <v>0</v>
      </c>
      <c r="G182" s="1215">
        <f t="shared" si="41"/>
        <v>0.51501283724916636</v>
      </c>
      <c r="H182" s="1146">
        <f t="shared" si="42"/>
        <v>23.175577676212484</v>
      </c>
      <c r="I182" s="1214"/>
      <c r="J182" s="1215">
        <f t="shared" si="43"/>
        <v>1.3905346605727491</v>
      </c>
      <c r="K182" s="1212">
        <f>'Recycling - Case 2'!Z170</f>
        <v>751.91700000000026</v>
      </c>
      <c r="L182" s="578">
        <f t="shared" si="50"/>
        <v>0.1</v>
      </c>
      <c r="M182" s="578">
        <f t="shared" si="50"/>
        <v>0.9</v>
      </c>
      <c r="N182" s="1214">
        <f t="shared" si="48"/>
        <v>0</v>
      </c>
      <c r="O182" s="1214">
        <f t="shared" si="48"/>
        <v>0</v>
      </c>
      <c r="P182" s="1215">
        <f t="shared" si="45"/>
        <v>6.0153360000000038E-2</v>
      </c>
      <c r="Q182" s="1146">
        <f t="shared" si="37"/>
        <v>2.7069012000000012</v>
      </c>
      <c r="R182" s="1214"/>
      <c r="S182" s="1216">
        <f t="shared" si="38"/>
        <v>0.16241407200000005</v>
      </c>
      <c r="T182" s="1217">
        <f t="shared" si="39"/>
        <v>0.5751661972491664</v>
      </c>
      <c r="U182" s="1218">
        <f t="shared" si="39"/>
        <v>25.882478876212485</v>
      </c>
      <c r="V182" s="1218">
        <f t="shared" si="39"/>
        <v>0</v>
      </c>
      <c r="W182" s="1219">
        <f t="shared" si="39"/>
        <v>1.5529487325727491</v>
      </c>
    </row>
    <row r="183" spans="1:23">
      <c r="A183" s="1204" t="s">
        <v>649</v>
      </c>
      <c r="B183" s="1205"/>
      <c r="C183" s="1220"/>
      <c r="D183" s="1220"/>
      <c r="E183" s="1221"/>
      <c r="F183" s="1221"/>
      <c r="G183" s="1222"/>
      <c r="H183" s="1223"/>
      <c r="I183" s="1224"/>
      <c r="J183" s="1222"/>
      <c r="K183" s="1225"/>
      <c r="L183" s="1220"/>
      <c r="M183" s="1220"/>
      <c r="N183" s="1221"/>
      <c r="O183" s="1221"/>
      <c r="P183" s="1222"/>
      <c r="Q183" s="1223"/>
      <c r="R183" s="1221"/>
      <c r="S183" s="1226"/>
      <c r="T183" s="1196"/>
      <c r="U183" s="1197"/>
      <c r="V183" s="1197"/>
      <c r="W183" s="1198"/>
    </row>
    <row r="184" spans="1:23">
      <c r="A184" s="123">
        <f>'Input data'!A118</f>
        <v>2018</v>
      </c>
      <c r="B184" s="1210">
        <f>'Recycling - Case 2'!AI98</f>
        <v>3707.5235423427162</v>
      </c>
      <c r="C184" s="1211">
        <f>($C$188-$C$80)/($A$188-$A$80)+C80</f>
        <v>6.0000000000000005E-2</v>
      </c>
      <c r="D184" s="1211">
        <f>1-C184</f>
        <v>0.94</v>
      </c>
      <c r="E184" s="53">
        <v>0</v>
      </c>
      <c r="F184" s="53">
        <v>0</v>
      </c>
      <c r="G184" s="776">
        <f t="shared" ref="G184:G216" si="51">C184*$D$5*B184/1000-E184</f>
        <v>0.1779611300324504</v>
      </c>
      <c r="H184" s="519">
        <f t="shared" ref="H184:H216" si="52">D184*$D$4*B184/1000-F184</f>
        <v>13.940288519208613</v>
      </c>
      <c r="I184" s="53"/>
      <c r="J184" s="776">
        <f t="shared" ref="J184:J216" si="53">D184*$D$7*B184/1000</f>
        <v>0.83641731115251661</v>
      </c>
      <c r="K184" s="1212">
        <f>'Recycling - Case 3'!Z138</f>
        <v>1793.8246078249765</v>
      </c>
      <c r="L184" s="1211">
        <f>($L$188-$L$80)/($A$188-$A$80)+L80</f>
        <v>0.1</v>
      </c>
      <c r="M184" s="1211">
        <f>1-L184</f>
        <v>0.9</v>
      </c>
      <c r="N184" s="53">
        <f>N148</f>
        <v>0</v>
      </c>
      <c r="O184" s="53">
        <f>O148</f>
        <v>0</v>
      </c>
      <c r="P184" s="776">
        <f t="shared" ref="P184:P216" si="54">L184*$D$5*K184/1000-N184</f>
        <v>0.14350596862599815</v>
      </c>
      <c r="Q184" s="519">
        <f t="shared" ref="Q184:Q216" si="55">M184*$D$4*K184/1000-O184</f>
        <v>6.4577685881699152</v>
      </c>
      <c r="R184" s="53"/>
      <c r="S184" s="1213">
        <f t="shared" ref="S184:S216" si="56">M184*$D$7*K184/1000</f>
        <v>0.38746611529019492</v>
      </c>
      <c r="T184" s="1200">
        <f t="shared" ref="T184:W216" si="57">G184+P184</f>
        <v>0.32146709865844858</v>
      </c>
      <c r="U184" s="1201">
        <f t="shared" si="57"/>
        <v>20.398057107378527</v>
      </c>
      <c r="V184" s="1201">
        <f t="shared" si="57"/>
        <v>0</v>
      </c>
      <c r="W184" s="1202">
        <f t="shared" si="57"/>
        <v>1.2238834264427116</v>
      </c>
    </row>
    <row r="185" spans="1:23">
      <c r="A185" s="123">
        <f>'Input data'!A119</f>
        <v>2019</v>
      </c>
      <c r="B185" s="1210">
        <f>'Recycling - Case 2'!AI99</f>
        <v>4010.8720893729233</v>
      </c>
      <c r="C185" s="1211">
        <f>($C$188-$C$80)/($A$188-$A$80)+C184</f>
        <v>7.0000000000000007E-2</v>
      </c>
      <c r="D185" s="1211">
        <f t="shared" ref="D185:D216" si="58">1-C185</f>
        <v>0.92999999999999994</v>
      </c>
      <c r="E185" s="53">
        <v>0</v>
      </c>
      <c r="F185" s="53">
        <v>0</v>
      </c>
      <c r="G185" s="776">
        <f t="shared" si="51"/>
        <v>0.22460883700488374</v>
      </c>
      <c r="H185" s="519">
        <f t="shared" si="52"/>
        <v>14.920444172467274</v>
      </c>
      <c r="I185" s="53"/>
      <c r="J185" s="776">
        <f t="shared" si="53"/>
        <v>0.89522665034803639</v>
      </c>
      <c r="K185" s="1212">
        <f>'Recycling - Case 3'!Z139</f>
        <v>1878.6693594882986</v>
      </c>
      <c r="L185" s="1211">
        <f>($L$188-$L$80)/($A$188-$A$80)+L184</f>
        <v>0.1</v>
      </c>
      <c r="M185" s="1211">
        <f t="shared" ref="M185:M216" si="59">1-L185</f>
        <v>0.9</v>
      </c>
      <c r="N185" s="53">
        <f t="shared" ref="N185:O200" si="60">N183</f>
        <v>0</v>
      </c>
      <c r="O185" s="53">
        <f t="shared" si="60"/>
        <v>0</v>
      </c>
      <c r="P185" s="776">
        <f t="shared" si="54"/>
        <v>0.15029354875906392</v>
      </c>
      <c r="Q185" s="519">
        <f t="shared" si="55"/>
        <v>6.763209694157875</v>
      </c>
      <c r="R185" s="53"/>
      <c r="S185" s="1213">
        <f t="shared" si="56"/>
        <v>0.40579258164947246</v>
      </c>
      <c r="T185" s="1200">
        <f t="shared" si="57"/>
        <v>0.37490238576394763</v>
      </c>
      <c r="U185" s="1201">
        <f t="shared" si="57"/>
        <v>21.68365386662515</v>
      </c>
      <c r="V185" s="1201">
        <f t="shared" si="57"/>
        <v>0</v>
      </c>
      <c r="W185" s="1202">
        <f t="shared" si="57"/>
        <v>1.3010192319975089</v>
      </c>
    </row>
    <row r="186" spans="1:23">
      <c r="A186" s="123">
        <f>'Input data'!A120</f>
        <v>2020</v>
      </c>
      <c r="B186" s="1210">
        <f>'Recycling - Case 2'!AI100</f>
        <v>4617.5691834333375</v>
      </c>
      <c r="C186" s="1211">
        <f t="shared" ref="C186:C187" si="61">($C$188-$C$80)/($A$188-$A$80)+C185</f>
        <v>0.08</v>
      </c>
      <c r="D186" s="1211">
        <f t="shared" si="58"/>
        <v>0.92</v>
      </c>
      <c r="E186" s="53">
        <v>0</v>
      </c>
      <c r="F186" s="53">
        <v>0</v>
      </c>
      <c r="G186" s="776">
        <f t="shared" si="51"/>
        <v>0.29552442773973359</v>
      </c>
      <c r="H186" s="519">
        <f t="shared" si="52"/>
        <v>16.992654595034679</v>
      </c>
      <c r="I186" s="53"/>
      <c r="J186" s="776">
        <f t="shared" si="53"/>
        <v>1.0195592757020808</v>
      </c>
      <c r="K186" s="1212">
        <f>'Recycling - Case 3'!Z140</f>
        <v>1907.190171140033</v>
      </c>
      <c r="L186" s="1211">
        <f t="shared" ref="L186:L187" si="62">($L$188-$L$80)/($A$188-$A$80)+L185</f>
        <v>0.1</v>
      </c>
      <c r="M186" s="1211">
        <f t="shared" si="59"/>
        <v>0.9</v>
      </c>
      <c r="N186" s="53">
        <f t="shared" si="60"/>
        <v>0</v>
      </c>
      <c r="O186" s="53">
        <f t="shared" si="60"/>
        <v>0</v>
      </c>
      <c r="P186" s="776">
        <f t="shared" si="54"/>
        <v>0.15257521369120267</v>
      </c>
      <c r="Q186" s="519">
        <f t="shared" si="55"/>
        <v>6.8658846161041192</v>
      </c>
      <c r="R186" s="53"/>
      <c r="S186" s="1213">
        <f t="shared" si="56"/>
        <v>0.41195307696624711</v>
      </c>
      <c r="T186" s="1200">
        <f t="shared" si="57"/>
        <v>0.44809964143093628</v>
      </c>
      <c r="U186" s="1201">
        <f t="shared" si="57"/>
        <v>23.858539211138797</v>
      </c>
      <c r="V186" s="1201">
        <f t="shared" si="57"/>
        <v>0</v>
      </c>
      <c r="W186" s="1202">
        <f t="shared" si="57"/>
        <v>1.431512352668328</v>
      </c>
    </row>
    <row r="187" spans="1:23">
      <c r="A187" s="123">
        <f>'Input data'!A121</f>
        <v>2021</v>
      </c>
      <c r="B187" s="1210">
        <f>'Recycling - Case 2'!AI101</f>
        <v>5830.9633715541659</v>
      </c>
      <c r="C187" s="1211">
        <f t="shared" si="61"/>
        <v>0.09</v>
      </c>
      <c r="D187" s="1211">
        <f t="shared" si="58"/>
        <v>0.91</v>
      </c>
      <c r="E187" s="53">
        <v>0</v>
      </c>
      <c r="F187" s="53">
        <v>0</v>
      </c>
      <c r="G187" s="776">
        <f t="shared" si="51"/>
        <v>0.41982936275189991</v>
      </c>
      <c r="H187" s="519">
        <f t="shared" si="52"/>
        <v>21.224706672457163</v>
      </c>
      <c r="I187" s="53"/>
      <c r="J187" s="776">
        <f t="shared" si="53"/>
        <v>1.2734824003474299</v>
      </c>
      <c r="K187" s="1212">
        <f>'Recycling - Case 3'!Z141</f>
        <v>2248.0613311541611</v>
      </c>
      <c r="L187" s="1211">
        <f t="shared" si="62"/>
        <v>0.1</v>
      </c>
      <c r="M187" s="1211">
        <f t="shared" si="59"/>
        <v>0.9</v>
      </c>
      <c r="N187" s="53">
        <f t="shared" si="60"/>
        <v>0</v>
      </c>
      <c r="O187" s="53">
        <f t="shared" si="60"/>
        <v>0</v>
      </c>
      <c r="P187" s="776">
        <f t="shared" si="54"/>
        <v>0.17984490649233292</v>
      </c>
      <c r="Q187" s="519">
        <f t="shared" si="55"/>
        <v>8.0930207921549808</v>
      </c>
      <c r="R187" s="53"/>
      <c r="S187" s="1213">
        <f t="shared" si="56"/>
        <v>0.48558124752929877</v>
      </c>
      <c r="T187" s="1200">
        <f t="shared" si="57"/>
        <v>0.59967426924423284</v>
      </c>
      <c r="U187" s="1201">
        <f t="shared" si="57"/>
        <v>29.317727464612144</v>
      </c>
      <c r="V187" s="1201">
        <f t="shared" si="57"/>
        <v>0</v>
      </c>
      <c r="W187" s="1202">
        <f t="shared" si="57"/>
        <v>1.7590636478767285</v>
      </c>
    </row>
    <row r="188" spans="1:23">
      <c r="A188" s="123">
        <f>'Input data'!A122</f>
        <v>2022</v>
      </c>
      <c r="B188" s="1210">
        <f>'Recycling - Case 2'!AI102</f>
        <v>6437.6604656145792</v>
      </c>
      <c r="C188" s="1211">
        <f>'Recycling - Case 2'!E31</f>
        <v>0.1</v>
      </c>
      <c r="D188" s="1211">
        <f t="shared" si="58"/>
        <v>0.9</v>
      </c>
      <c r="E188" s="53">
        <v>0</v>
      </c>
      <c r="F188" s="53">
        <v>0</v>
      </c>
      <c r="G188" s="776">
        <f t="shared" si="51"/>
        <v>0.51501283724916636</v>
      </c>
      <c r="H188" s="519">
        <f t="shared" si="52"/>
        <v>23.175577676212484</v>
      </c>
      <c r="I188" s="53"/>
      <c r="J188" s="776">
        <f t="shared" si="53"/>
        <v>1.3905346605727491</v>
      </c>
      <c r="K188" s="1212">
        <f>'Recycling - Case 3'!Z142</f>
        <v>2435.3308526974706</v>
      </c>
      <c r="L188" s="1211">
        <f>'Recycling - Case 2'!E31</f>
        <v>0.1</v>
      </c>
      <c r="M188" s="1211">
        <f t="shared" si="59"/>
        <v>0.9</v>
      </c>
      <c r="N188" s="53">
        <f t="shared" si="60"/>
        <v>0</v>
      </c>
      <c r="O188" s="53">
        <f t="shared" si="60"/>
        <v>0</v>
      </c>
      <c r="P188" s="776">
        <f t="shared" si="54"/>
        <v>0.19482646821579769</v>
      </c>
      <c r="Q188" s="519">
        <f t="shared" si="55"/>
        <v>8.7671910697108935</v>
      </c>
      <c r="R188" s="53"/>
      <c r="S188" s="1213">
        <f t="shared" si="56"/>
        <v>0.52603146418265367</v>
      </c>
      <c r="T188" s="1200">
        <f t="shared" si="57"/>
        <v>0.7098393054649641</v>
      </c>
      <c r="U188" s="1201">
        <f t="shared" si="57"/>
        <v>31.942768745923377</v>
      </c>
      <c r="V188" s="1201">
        <f t="shared" si="57"/>
        <v>0</v>
      </c>
      <c r="W188" s="1202">
        <f t="shared" si="57"/>
        <v>1.9165661247554029</v>
      </c>
    </row>
    <row r="189" spans="1:23">
      <c r="A189" s="123">
        <f>'Input data'!A123</f>
        <v>2023</v>
      </c>
      <c r="B189" s="1210">
        <f>'Recycling - Case 2'!AI103</f>
        <v>6437.6604656145792</v>
      </c>
      <c r="C189" s="1211">
        <f>C188</f>
        <v>0.1</v>
      </c>
      <c r="D189" s="1211">
        <f t="shared" si="58"/>
        <v>0.9</v>
      </c>
      <c r="E189" s="53">
        <v>0</v>
      </c>
      <c r="F189" s="53">
        <v>0</v>
      </c>
      <c r="G189" s="776">
        <f t="shared" si="51"/>
        <v>0.51501283724916636</v>
      </c>
      <c r="H189" s="519">
        <f t="shared" si="52"/>
        <v>23.175577676212484</v>
      </c>
      <c r="I189" s="53"/>
      <c r="J189" s="776">
        <f t="shared" si="53"/>
        <v>1.3905346605727491</v>
      </c>
      <c r="K189" s="1212">
        <f>'Recycling - Case 3'!Z143</f>
        <v>2472.3423999006995</v>
      </c>
      <c r="L189" s="1211">
        <f>L188</f>
        <v>0.1</v>
      </c>
      <c r="M189" s="1211">
        <f t="shared" si="59"/>
        <v>0.9</v>
      </c>
      <c r="N189" s="53">
        <f t="shared" si="60"/>
        <v>0</v>
      </c>
      <c r="O189" s="53">
        <f t="shared" si="60"/>
        <v>0</v>
      </c>
      <c r="P189" s="776">
        <f t="shared" si="54"/>
        <v>0.197787391992056</v>
      </c>
      <c r="Q189" s="519">
        <f t="shared" si="55"/>
        <v>8.9004326396425189</v>
      </c>
      <c r="R189" s="53"/>
      <c r="S189" s="1213">
        <f t="shared" si="56"/>
        <v>0.53402595837855105</v>
      </c>
      <c r="T189" s="1200">
        <f t="shared" si="57"/>
        <v>0.71280022924122233</v>
      </c>
      <c r="U189" s="1201">
        <f t="shared" si="57"/>
        <v>32.076010315855001</v>
      </c>
      <c r="V189" s="1201">
        <f t="shared" si="57"/>
        <v>0</v>
      </c>
      <c r="W189" s="1202">
        <f t="shared" si="57"/>
        <v>1.9245606189513</v>
      </c>
    </row>
    <row r="190" spans="1:23">
      <c r="A190" s="123">
        <f>'Input data'!A124</f>
        <v>2024</v>
      </c>
      <c r="B190" s="1210">
        <f>'Recycling - Case 2'!AI104</f>
        <v>6437.6604656145792</v>
      </c>
      <c r="C190" s="1211">
        <f t="shared" ref="C190:C216" si="63">C189</f>
        <v>0.1</v>
      </c>
      <c r="D190" s="1211">
        <f t="shared" si="58"/>
        <v>0.9</v>
      </c>
      <c r="E190" s="53">
        <v>0</v>
      </c>
      <c r="F190" s="53">
        <v>0</v>
      </c>
      <c r="G190" s="776">
        <f t="shared" si="51"/>
        <v>0.51501283724916636</v>
      </c>
      <c r="H190" s="519">
        <f t="shared" si="52"/>
        <v>23.175577676212484</v>
      </c>
      <c r="I190" s="53"/>
      <c r="J190" s="776">
        <f t="shared" si="53"/>
        <v>1.3905346605727491</v>
      </c>
      <c r="K190" s="1212">
        <f>'Recycling - Case 3'!Z144</f>
        <v>2515.2748004049222</v>
      </c>
      <c r="L190" s="1211">
        <f t="shared" ref="L190:L216" si="64">L189</f>
        <v>0.1</v>
      </c>
      <c r="M190" s="1211">
        <f t="shared" si="59"/>
        <v>0.9</v>
      </c>
      <c r="N190" s="53">
        <f t="shared" si="60"/>
        <v>0</v>
      </c>
      <c r="O190" s="53">
        <f t="shared" si="60"/>
        <v>0</v>
      </c>
      <c r="P190" s="776">
        <f t="shared" si="54"/>
        <v>0.2012219840323938</v>
      </c>
      <c r="Q190" s="519">
        <f t="shared" si="55"/>
        <v>9.0549892814577202</v>
      </c>
      <c r="R190" s="53"/>
      <c r="S190" s="1213">
        <f t="shared" si="56"/>
        <v>0.54329935688746323</v>
      </c>
      <c r="T190" s="1200">
        <f t="shared" si="57"/>
        <v>0.71623482128156013</v>
      </c>
      <c r="U190" s="1201">
        <f t="shared" si="57"/>
        <v>32.230566957670206</v>
      </c>
      <c r="V190" s="1201">
        <f t="shared" si="57"/>
        <v>0</v>
      </c>
      <c r="W190" s="1202">
        <f t="shared" si="57"/>
        <v>1.9338340174602124</v>
      </c>
    </row>
    <row r="191" spans="1:23">
      <c r="A191" s="123">
        <f>'Input data'!A125</f>
        <v>2025</v>
      </c>
      <c r="B191" s="1210">
        <f>'Recycling - Case 2'!AI105</f>
        <v>6437.6604656145792</v>
      </c>
      <c r="C191" s="1211">
        <f t="shared" si="63"/>
        <v>0.1</v>
      </c>
      <c r="D191" s="1211">
        <f t="shared" si="58"/>
        <v>0.9</v>
      </c>
      <c r="E191" s="53">
        <v>0</v>
      </c>
      <c r="F191" s="53">
        <v>0</v>
      </c>
      <c r="G191" s="776">
        <f t="shared" si="51"/>
        <v>0.51501283724916636</v>
      </c>
      <c r="H191" s="519">
        <f t="shared" si="52"/>
        <v>23.175577676212484</v>
      </c>
      <c r="I191" s="53"/>
      <c r="J191" s="776">
        <f t="shared" si="53"/>
        <v>1.3905346605727491</v>
      </c>
      <c r="K191" s="1212">
        <f>'Recycling - Case 3'!Z145</f>
        <v>2558.4947071487691</v>
      </c>
      <c r="L191" s="1211">
        <f t="shared" si="64"/>
        <v>0.1</v>
      </c>
      <c r="M191" s="1211">
        <f t="shared" si="59"/>
        <v>0.9</v>
      </c>
      <c r="N191" s="53">
        <f t="shared" si="60"/>
        <v>0</v>
      </c>
      <c r="O191" s="53">
        <f t="shared" si="60"/>
        <v>0</v>
      </c>
      <c r="P191" s="776">
        <f t="shared" si="54"/>
        <v>0.20467957657190158</v>
      </c>
      <c r="Q191" s="519">
        <f t="shared" si="55"/>
        <v>9.2105809457355683</v>
      </c>
      <c r="R191" s="53"/>
      <c r="S191" s="1213">
        <f t="shared" si="56"/>
        <v>0.55263485674413415</v>
      </c>
      <c r="T191" s="1200">
        <f t="shared" si="57"/>
        <v>0.71969241382106797</v>
      </c>
      <c r="U191" s="1201">
        <f t="shared" si="57"/>
        <v>32.386158621948056</v>
      </c>
      <c r="V191" s="1201">
        <f t="shared" si="57"/>
        <v>0</v>
      </c>
      <c r="W191" s="1202">
        <f t="shared" si="57"/>
        <v>1.9431695173168833</v>
      </c>
    </row>
    <row r="192" spans="1:23">
      <c r="A192" s="123">
        <f>'Input data'!A126</f>
        <v>2026</v>
      </c>
      <c r="B192" s="1210">
        <f>'Recycling - Case 2'!AI106</f>
        <v>6437.6604656145792</v>
      </c>
      <c r="C192" s="1211">
        <f t="shared" si="63"/>
        <v>0.1</v>
      </c>
      <c r="D192" s="1211">
        <f t="shared" si="58"/>
        <v>0.9</v>
      </c>
      <c r="E192" s="53">
        <v>0</v>
      </c>
      <c r="F192" s="53">
        <v>0</v>
      </c>
      <c r="G192" s="776">
        <f t="shared" si="51"/>
        <v>0.51501283724916636</v>
      </c>
      <c r="H192" s="519">
        <f t="shared" si="52"/>
        <v>23.175577676212484</v>
      </c>
      <c r="I192" s="53"/>
      <c r="J192" s="776">
        <f t="shared" si="53"/>
        <v>1.3905346605727491</v>
      </c>
      <c r="K192" s="1212">
        <f>'Recycling - Case 3'!Z146</f>
        <v>2602.8603334669356</v>
      </c>
      <c r="L192" s="1211">
        <f t="shared" si="64"/>
        <v>0.1</v>
      </c>
      <c r="M192" s="1211">
        <f t="shared" si="59"/>
        <v>0.9</v>
      </c>
      <c r="N192" s="53">
        <f t="shared" si="60"/>
        <v>0</v>
      </c>
      <c r="O192" s="53">
        <f t="shared" si="60"/>
        <v>0</v>
      </c>
      <c r="P192" s="776">
        <f t="shared" si="54"/>
        <v>0.20822882667735487</v>
      </c>
      <c r="Q192" s="519">
        <f t="shared" si="55"/>
        <v>9.3702972004809695</v>
      </c>
      <c r="R192" s="53"/>
      <c r="S192" s="1213">
        <f t="shared" si="56"/>
        <v>0.56221783202885811</v>
      </c>
      <c r="T192" s="1200">
        <f t="shared" si="57"/>
        <v>0.72324166392652123</v>
      </c>
      <c r="U192" s="1201">
        <f t="shared" si="57"/>
        <v>32.545874876693453</v>
      </c>
      <c r="V192" s="1201">
        <f t="shared" si="57"/>
        <v>0</v>
      </c>
      <c r="W192" s="1202">
        <f t="shared" si="57"/>
        <v>1.9527524926016073</v>
      </c>
    </row>
    <row r="193" spans="1:23">
      <c r="A193" s="123">
        <f>'Input data'!A127</f>
        <v>2027</v>
      </c>
      <c r="B193" s="1210">
        <f>'Recycling - Case 2'!AI107</f>
        <v>6437.6604656145792</v>
      </c>
      <c r="C193" s="1211">
        <f t="shared" si="63"/>
        <v>0.1</v>
      </c>
      <c r="D193" s="1211">
        <f t="shared" si="58"/>
        <v>0.9</v>
      </c>
      <c r="E193" s="53">
        <v>0</v>
      </c>
      <c r="F193" s="53">
        <v>0</v>
      </c>
      <c r="G193" s="776">
        <f t="shared" si="51"/>
        <v>0.51501283724916636</v>
      </c>
      <c r="H193" s="519">
        <f t="shared" si="52"/>
        <v>23.175577676212484</v>
      </c>
      <c r="I193" s="53"/>
      <c r="J193" s="776">
        <f t="shared" si="53"/>
        <v>1.3905346605727491</v>
      </c>
      <c r="K193" s="1212">
        <f>'Recycling - Case 3'!Z147</f>
        <v>2646.1731704518984</v>
      </c>
      <c r="L193" s="1211">
        <f t="shared" si="64"/>
        <v>0.1</v>
      </c>
      <c r="M193" s="1211">
        <f t="shared" si="59"/>
        <v>0.9</v>
      </c>
      <c r="N193" s="53">
        <f t="shared" si="60"/>
        <v>0</v>
      </c>
      <c r="O193" s="53">
        <f t="shared" si="60"/>
        <v>0</v>
      </c>
      <c r="P193" s="776">
        <f t="shared" si="54"/>
        <v>0.21169385363615192</v>
      </c>
      <c r="Q193" s="519">
        <f t="shared" si="55"/>
        <v>9.526223413626834</v>
      </c>
      <c r="R193" s="53"/>
      <c r="S193" s="1213">
        <f t="shared" si="56"/>
        <v>0.57157340481760999</v>
      </c>
      <c r="T193" s="1200">
        <f t="shared" si="57"/>
        <v>0.72670669088531825</v>
      </c>
      <c r="U193" s="1201">
        <f t="shared" si="57"/>
        <v>32.701801089839321</v>
      </c>
      <c r="V193" s="1201">
        <f t="shared" si="57"/>
        <v>0</v>
      </c>
      <c r="W193" s="1202">
        <f t="shared" si="57"/>
        <v>1.9621080653903591</v>
      </c>
    </row>
    <row r="194" spans="1:23">
      <c r="A194" s="123">
        <f>'Input data'!A128</f>
        <v>2028</v>
      </c>
      <c r="B194" s="1210">
        <f>'Recycling - Case 2'!AI108</f>
        <v>6437.6604656145792</v>
      </c>
      <c r="C194" s="1211">
        <f t="shared" si="63"/>
        <v>0.1</v>
      </c>
      <c r="D194" s="1211">
        <f t="shared" si="58"/>
        <v>0.9</v>
      </c>
      <c r="E194" s="53">
        <v>0</v>
      </c>
      <c r="F194" s="53">
        <v>0</v>
      </c>
      <c r="G194" s="776">
        <f t="shared" si="51"/>
        <v>0.51501283724916636</v>
      </c>
      <c r="H194" s="519">
        <f t="shared" si="52"/>
        <v>23.175577676212484</v>
      </c>
      <c r="I194" s="53"/>
      <c r="J194" s="776">
        <f t="shared" si="53"/>
        <v>1.3905346605727491</v>
      </c>
      <c r="K194" s="1212">
        <f>'Recycling - Case 3'!Z148</f>
        <v>2691.530631344991</v>
      </c>
      <c r="L194" s="1211">
        <f t="shared" si="64"/>
        <v>0.1</v>
      </c>
      <c r="M194" s="1211">
        <f t="shared" si="59"/>
        <v>0.9</v>
      </c>
      <c r="N194" s="53">
        <f t="shared" si="60"/>
        <v>0</v>
      </c>
      <c r="O194" s="53">
        <f t="shared" si="60"/>
        <v>0</v>
      </c>
      <c r="P194" s="776">
        <f t="shared" si="54"/>
        <v>0.21532245050759932</v>
      </c>
      <c r="Q194" s="519">
        <f t="shared" si="55"/>
        <v>9.689510272841968</v>
      </c>
      <c r="R194" s="53"/>
      <c r="S194" s="1213">
        <f t="shared" si="56"/>
        <v>0.58137061637051801</v>
      </c>
      <c r="T194" s="1200">
        <f t="shared" si="57"/>
        <v>0.73033528775676571</v>
      </c>
      <c r="U194" s="1201">
        <f t="shared" si="57"/>
        <v>32.865087949054455</v>
      </c>
      <c r="V194" s="1201">
        <f t="shared" si="57"/>
        <v>0</v>
      </c>
      <c r="W194" s="1202">
        <f t="shared" si="57"/>
        <v>1.971905276943267</v>
      </c>
    </row>
    <row r="195" spans="1:23">
      <c r="A195" s="123">
        <f>'Input data'!A129</f>
        <v>2029</v>
      </c>
      <c r="B195" s="1210">
        <f>'Recycling - Case 2'!AI109</f>
        <v>6437.6604656145792</v>
      </c>
      <c r="C195" s="1211">
        <f t="shared" si="63"/>
        <v>0.1</v>
      </c>
      <c r="D195" s="1211">
        <f t="shared" si="58"/>
        <v>0.9</v>
      </c>
      <c r="E195" s="53">
        <v>0</v>
      </c>
      <c r="F195" s="53">
        <v>0</v>
      </c>
      <c r="G195" s="776">
        <f t="shared" si="51"/>
        <v>0.51501283724916636</v>
      </c>
      <c r="H195" s="519">
        <f t="shared" si="52"/>
        <v>23.175577676212484</v>
      </c>
      <c r="I195" s="53"/>
      <c r="J195" s="776">
        <f t="shared" si="53"/>
        <v>1.3905346605727491</v>
      </c>
      <c r="K195" s="1212">
        <f>'Recycling - Case 3'!Z149</f>
        <v>2734.9387524288591</v>
      </c>
      <c r="L195" s="1211">
        <f t="shared" si="64"/>
        <v>0.1</v>
      </c>
      <c r="M195" s="1211">
        <f t="shared" si="59"/>
        <v>0.9</v>
      </c>
      <c r="N195" s="53">
        <f t="shared" si="60"/>
        <v>0</v>
      </c>
      <c r="O195" s="53">
        <f t="shared" si="60"/>
        <v>0</v>
      </c>
      <c r="P195" s="776">
        <f t="shared" si="54"/>
        <v>0.21879510019430876</v>
      </c>
      <c r="Q195" s="519">
        <f t="shared" si="55"/>
        <v>9.8457795087438935</v>
      </c>
      <c r="R195" s="53"/>
      <c r="S195" s="1213">
        <f t="shared" si="56"/>
        <v>0.59074677052463354</v>
      </c>
      <c r="T195" s="1200">
        <f t="shared" si="57"/>
        <v>0.73380793744347517</v>
      </c>
      <c r="U195" s="1201">
        <f t="shared" si="57"/>
        <v>33.021357184956379</v>
      </c>
      <c r="V195" s="1201">
        <f t="shared" si="57"/>
        <v>0</v>
      </c>
      <c r="W195" s="1202">
        <f t="shared" si="57"/>
        <v>1.9812814310973828</v>
      </c>
    </row>
    <row r="196" spans="1:23">
      <c r="A196" s="123">
        <f>'Input data'!A130</f>
        <v>2030</v>
      </c>
      <c r="B196" s="1210">
        <f>'Recycling - Case 2'!AI110</f>
        <v>6437.6604656145792</v>
      </c>
      <c r="C196" s="1211">
        <f t="shared" si="63"/>
        <v>0.1</v>
      </c>
      <c r="D196" s="1211">
        <f t="shared" si="58"/>
        <v>0.9</v>
      </c>
      <c r="E196" s="53">
        <v>0</v>
      </c>
      <c r="F196" s="53">
        <v>0</v>
      </c>
      <c r="G196" s="776">
        <f t="shared" si="51"/>
        <v>0.51501283724916636</v>
      </c>
      <c r="H196" s="519">
        <f t="shared" si="52"/>
        <v>23.175577676212484</v>
      </c>
      <c r="I196" s="53"/>
      <c r="J196" s="776">
        <f t="shared" si="53"/>
        <v>1.3905346605727491</v>
      </c>
      <c r="K196" s="1212">
        <f>'Recycling - Case 3'!Z150</f>
        <v>2779.6537556460157</v>
      </c>
      <c r="L196" s="1211">
        <f t="shared" si="64"/>
        <v>0.1</v>
      </c>
      <c r="M196" s="1211">
        <f t="shared" si="59"/>
        <v>0.9</v>
      </c>
      <c r="N196" s="53">
        <f t="shared" si="60"/>
        <v>0</v>
      </c>
      <c r="O196" s="53">
        <f t="shared" si="60"/>
        <v>0</v>
      </c>
      <c r="P196" s="776">
        <f t="shared" si="54"/>
        <v>0.2223723004516813</v>
      </c>
      <c r="Q196" s="519">
        <f t="shared" si="55"/>
        <v>10.006753520325658</v>
      </c>
      <c r="R196" s="53"/>
      <c r="S196" s="1213">
        <f t="shared" si="56"/>
        <v>0.60040521121953938</v>
      </c>
      <c r="T196" s="1200">
        <f t="shared" si="57"/>
        <v>0.73738513770084768</v>
      </c>
      <c r="U196" s="1201">
        <f t="shared" si="57"/>
        <v>33.182331196538144</v>
      </c>
      <c r="V196" s="1201">
        <f t="shared" si="57"/>
        <v>0</v>
      </c>
      <c r="W196" s="1202">
        <f t="shared" si="57"/>
        <v>1.9909398717922886</v>
      </c>
    </row>
    <row r="197" spans="1:23">
      <c r="A197" s="123">
        <f>'Input data'!A131</f>
        <v>2031</v>
      </c>
      <c r="B197" s="1210">
        <f>'Recycling - Case 2'!AI111</f>
        <v>6437.6604656145792</v>
      </c>
      <c r="C197" s="1211">
        <f t="shared" si="63"/>
        <v>0.1</v>
      </c>
      <c r="D197" s="1211">
        <f t="shared" si="58"/>
        <v>0.9</v>
      </c>
      <c r="E197" s="53">
        <v>0</v>
      </c>
      <c r="F197" s="53">
        <v>0</v>
      </c>
      <c r="G197" s="776">
        <f t="shared" si="51"/>
        <v>0.51501283724916636</v>
      </c>
      <c r="H197" s="519">
        <f t="shared" si="52"/>
        <v>23.175577676212484</v>
      </c>
      <c r="I197" s="53"/>
      <c r="J197" s="776">
        <f t="shared" si="53"/>
        <v>1.3905346605727491</v>
      </c>
      <c r="K197" s="1212">
        <f>'Recycling - Case 3'!Z151</f>
        <v>2832.1304900599107</v>
      </c>
      <c r="L197" s="1211">
        <f t="shared" si="64"/>
        <v>0.1</v>
      </c>
      <c r="M197" s="1211">
        <f t="shared" si="59"/>
        <v>0.9</v>
      </c>
      <c r="N197" s="53">
        <f t="shared" si="60"/>
        <v>0</v>
      </c>
      <c r="O197" s="53">
        <f t="shared" si="60"/>
        <v>0</v>
      </c>
      <c r="P197" s="776">
        <f t="shared" si="54"/>
        <v>0.22657043920479292</v>
      </c>
      <c r="Q197" s="519">
        <f t="shared" si="55"/>
        <v>10.19566976421568</v>
      </c>
      <c r="R197" s="53"/>
      <c r="S197" s="1213">
        <f t="shared" si="56"/>
        <v>0.61174018585294077</v>
      </c>
      <c r="T197" s="1200">
        <f t="shared" si="57"/>
        <v>0.74158327645395927</v>
      </c>
      <c r="U197" s="1201">
        <f t="shared" si="57"/>
        <v>33.371247440428164</v>
      </c>
      <c r="V197" s="1201">
        <f t="shared" si="57"/>
        <v>0</v>
      </c>
      <c r="W197" s="1202">
        <f t="shared" si="57"/>
        <v>2.0022748464256899</v>
      </c>
    </row>
    <row r="198" spans="1:23">
      <c r="A198" s="123">
        <f>'Input data'!A132</f>
        <v>2032</v>
      </c>
      <c r="B198" s="1210">
        <f>'Recycling - Case 2'!AI112</f>
        <v>6437.6604656145792</v>
      </c>
      <c r="C198" s="1211">
        <f t="shared" si="63"/>
        <v>0.1</v>
      </c>
      <c r="D198" s="1211">
        <f t="shared" si="58"/>
        <v>0.9</v>
      </c>
      <c r="E198" s="53">
        <v>0</v>
      </c>
      <c r="F198" s="53">
        <v>0</v>
      </c>
      <c r="G198" s="776">
        <f t="shared" si="51"/>
        <v>0.51501283724916636</v>
      </c>
      <c r="H198" s="519">
        <f t="shared" si="52"/>
        <v>23.175577676212484</v>
      </c>
      <c r="I198" s="53"/>
      <c r="J198" s="776">
        <f t="shared" si="53"/>
        <v>1.3905346605727491</v>
      </c>
      <c r="K198" s="1212">
        <f>'Recycling - Case 3'!Z152</f>
        <v>2888.549661721353</v>
      </c>
      <c r="L198" s="1211">
        <f t="shared" si="64"/>
        <v>0.1</v>
      </c>
      <c r="M198" s="1211">
        <f t="shared" si="59"/>
        <v>0.9</v>
      </c>
      <c r="N198" s="53">
        <f t="shared" si="60"/>
        <v>0</v>
      </c>
      <c r="O198" s="53">
        <f t="shared" si="60"/>
        <v>0</v>
      </c>
      <c r="P198" s="776">
        <f t="shared" si="54"/>
        <v>0.2310839729377083</v>
      </c>
      <c r="Q198" s="519">
        <f t="shared" si="55"/>
        <v>10.398778782196871</v>
      </c>
      <c r="R198" s="53"/>
      <c r="S198" s="1213">
        <f t="shared" si="56"/>
        <v>0.62392672693181228</v>
      </c>
      <c r="T198" s="1200">
        <f t="shared" si="57"/>
        <v>0.74609681018687468</v>
      </c>
      <c r="U198" s="1201">
        <f t="shared" si="57"/>
        <v>33.574356458409355</v>
      </c>
      <c r="V198" s="1201">
        <f t="shared" si="57"/>
        <v>0</v>
      </c>
      <c r="W198" s="1202">
        <f t="shared" si="57"/>
        <v>2.0144613875045616</v>
      </c>
    </row>
    <row r="199" spans="1:23">
      <c r="A199" s="123">
        <f>'Input data'!A133</f>
        <v>2033</v>
      </c>
      <c r="B199" s="1210">
        <f>'Recycling - Case 2'!AI113</f>
        <v>6437.6604656145792</v>
      </c>
      <c r="C199" s="1211">
        <f t="shared" si="63"/>
        <v>0.1</v>
      </c>
      <c r="D199" s="1211">
        <f t="shared" si="58"/>
        <v>0.9</v>
      </c>
      <c r="E199" s="53">
        <v>0</v>
      </c>
      <c r="F199" s="53">
        <v>0</v>
      </c>
      <c r="G199" s="776">
        <f t="shared" si="51"/>
        <v>0.51501283724916636</v>
      </c>
      <c r="H199" s="519">
        <f t="shared" si="52"/>
        <v>23.175577676212484</v>
      </c>
      <c r="I199" s="53"/>
      <c r="J199" s="776">
        <f t="shared" si="53"/>
        <v>1.3905346605727491</v>
      </c>
      <c r="K199" s="1212">
        <f>'Recycling - Case 3'!Z153</f>
        <v>2946.8761945712818</v>
      </c>
      <c r="L199" s="1211">
        <f t="shared" si="64"/>
        <v>0.1</v>
      </c>
      <c r="M199" s="1211">
        <f t="shared" si="59"/>
        <v>0.9</v>
      </c>
      <c r="N199" s="53">
        <f t="shared" si="60"/>
        <v>0</v>
      </c>
      <c r="O199" s="53">
        <f t="shared" si="60"/>
        <v>0</v>
      </c>
      <c r="P199" s="776">
        <f t="shared" si="54"/>
        <v>0.23575009556570259</v>
      </c>
      <c r="Q199" s="519">
        <f t="shared" si="55"/>
        <v>10.608754300456614</v>
      </c>
      <c r="R199" s="53"/>
      <c r="S199" s="1213">
        <f t="shared" si="56"/>
        <v>0.63652525802739679</v>
      </c>
      <c r="T199" s="1200">
        <f t="shared" si="57"/>
        <v>0.75076293281486894</v>
      </c>
      <c r="U199" s="1201">
        <f t="shared" si="57"/>
        <v>33.784331976669094</v>
      </c>
      <c r="V199" s="1201">
        <f t="shared" si="57"/>
        <v>0</v>
      </c>
      <c r="W199" s="1202">
        <f t="shared" si="57"/>
        <v>2.0270599186001457</v>
      </c>
    </row>
    <row r="200" spans="1:23">
      <c r="A200" s="123">
        <f>'Input data'!A134</f>
        <v>2034</v>
      </c>
      <c r="B200" s="1210">
        <f>'Recycling - Case 2'!AI114</f>
        <v>6437.6604656145792</v>
      </c>
      <c r="C200" s="1211">
        <f t="shared" si="63"/>
        <v>0.1</v>
      </c>
      <c r="D200" s="1211">
        <f t="shared" si="58"/>
        <v>0.9</v>
      </c>
      <c r="E200" s="53">
        <v>0</v>
      </c>
      <c r="F200" s="53">
        <v>0</v>
      </c>
      <c r="G200" s="776">
        <f t="shared" si="51"/>
        <v>0.51501283724916636</v>
      </c>
      <c r="H200" s="519">
        <f t="shared" si="52"/>
        <v>23.175577676212484</v>
      </c>
      <c r="I200" s="53"/>
      <c r="J200" s="776">
        <f t="shared" si="53"/>
        <v>1.3905346605727491</v>
      </c>
      <c r="K200" s="1212">
        <f>'Recycling - Case 3'!Z154</f>
        <v>2959.9785922623614</v>
      </c>
      <c r="L200" s="1211">
        <f t="shared" si="64"/>
        <v>0.1</v>
      </c>
      <c r="M200" s="1211">
        <f t="shared" si="59"/>
        <v>0.9</v>
      </c>
      <c r="N200" s="53">
        <f t="shared" si="60"/>
        <v>0</v>
      </c>
      <c r="O200" s="53">
        <f t="shared" si="60"/>
        <v>0</v>
      </c>
      <c r="P200" s="776">
        <f t="shared" si="54"/>
        <v>0.23679828738098896</v>
      </c>
      <c r="Q200" s="519">
        <f t="shared" si="55"/>
        <v>10.655922932144502</v>
      </c>
      <c r="R200" s="53"/>
      <c r="S200" s="1213">
        <f t="shared" si="56"/>
        <v>0.63935537592866998</v>
      </c>
      <c r="T200" s="1200">
        <f t="shared" si="57"/>
        <v>0.75181112463015531</v>
      </c>
      <c r="U200" s="1201">
        <f t="shared" si="57"/>
        <v>33.83150060835699</v>
      </c>
      <c r="V200" s="1201">
        <f t="shared" si="57"/>
        <v>0</v>
      </c>
      <c r="W200" s="1202">
        <f t="shared" si="57"/>
        <v>2.0298900365014192</v>
      </c>
    </row>
    <row r="201" spans="1:23">
      <c r="A201" s="123">
        <f>'Input data'!A135</f>
        <v>2035</v>
      </c>
      <c r="B201" s="1210">
        <f>'Recycling - Case 2'!AI115</f>
        <v>6437.6604656145792</v>
      </c>
      <c r="C201" s="1211">
        <f t="shared" si="63"/>
        <v>0.1</v>
      </c>
      <c r="D201" s="1211">
        <f t="shared" si="58"/>
        <v>0.9</v>
      </c>
      <c r="E201" s="53">
        <v>0</v>
      </c>
      <c r="F201" s="53">
        <v>0</v>
      </c>
      <c r="G201" s="776">
        <f t="shared" si="51"/>
        <v>0.51501283724916636</v>
      </c>
      <c r="H201" s="519">
        <f t="shared" si="52"/>
        <v>23.175577676212484</v>
      </c>
      <c r="I201" s="53"/>
      <c r="J201" s="776">
        <f t="shared" si="53"/>
        <v>1.3905346605727491</v>
      </c>
      <c r="K201" s="1212">
        <f>'Recycling - Case 3'!Z155</f>
        <v>751.91700000000026</v>
      </c>
      <c r="L201" s="1211">
        <f t="shared" si="64"/>
        <v>0.1</v>
      </c>
      <c r="M201" s="1211">
        <f t="shared" si="59"/>
        <v>0.9</v>
      </c>
      <c r="N201" s="53">
        <f t="shared" ref="N201:O216" si="65">N199</f>
        <v>0</v>
      </c>
      <c r="O201" s="53">
        <f t="shared" si="65"/>
        <v>0</v>
      </c>
      <c r="P201" s="776">
        <f t="shared" si="54"/>
        <v>6.0153360000000038E-2</v>
      </c>
      <c r="Q201" s="519">
        <f t="shared" si="55"/>
        <v>2.7069012000000012</v>
      </c>
      <c r="R201" s="53"/>
      <c r="S201" s="1213">
        <f t="shared" si="56"/>
        <v>0.16241407200000005</v>
      </c>
      <c r="T201" s="1200">
        <f t="shared" si="57"/>
        <v>0.5751661972491664</v>
      </c>
      <c r="U201" s="1201">
        <f t="shared" si="57"/>
        <v>25.882478876212485</v>
      </c>
      <c r="V201" s="1201">
        <f t="shared" si="57"/>
        <v>0</v>
      </c>
      <c r="W201" s="1202">
        <f t="shared" si="57"/>
        <v>1.5529487325727491</v>
      </c>
    </row>
    <row r="202" spans="1:23">
      <c r="A202" s="123">
        <f>'Input data'!A136</f>
        <v>2036</v>
      </c>
      <c r="B202" s="1210">
        <f>'Recycling - Case 2'!AI116</f>
        <v>6437.6604656145792</v>
      </c>
      <c r="C202" s="1211">
        <f t="shared" si="63"/>
        <v>0.1</v>
      </c>
      <c r="D202" s="1211">
        <f t="shared" si="58"/>
        <v>0.9</v>
      </c>
      <c r="E202" s="53">
        <v>0</v>
      </c>
      <c r="F202" s="53">
        <v>0</v>
      </c>
      <c r="G202" s="776">
        <f t="shared" si="51"/>
        <v>0.51501283724916636</v>
      </c>
      <c r="H202" s="519">
        <f t="shared" si="52"/>
        <v>23.175577676212484</v>
      </c>
      <c r="I202" s="53"/>
      <c r="J202" s="776">
        <f t="shared" si="53"/>
        <v>1.3905346605727491</v>
      </c>
      <c r="K202" s="1212">
        <f>'Recycling - Case 3'!Z156</f>
        <v>751.91700000000026</v>
      </c>
      <c r="L202" s="1211">
        <f t="shared" si="64"/>
        <v>0.1</v>
      </c>
      <c r="M202" s="1211">
        <f t="shared" si="59"/>
        <v>0.9</v>
      </c>
      <c r="N202" s="53">
        <f t="shared" si="65"/>
        <v>0</v>
      </c>
      <c r="O202" s="53">
        <f t="shared" si="65"/>
        <v>0</v>
      </c>
      <c r="P202" s="776">
        <f t="shared" si="54"/>
        <v>6.0153360000000038E-2</v>
      </c>
      <c r="Q202" s="519">
        <f t="shared" si="55"/>
        <v>2.7069012000000012</v>
      </c>
      <c r="R202" s="53"/>
      <c r="S202" s="1213">
        <f t="shared" si="56"/>
        <v>0.16241407200000005</v>
      </c>
      <c r="T202" s="1200">
        <f t="shared" si="57"/>
        <v>0.5751661972491664</v>
      </c>
      <c r="U202" s="1201">
        <f t="shared" si="57"/>
        <v>25.882478876212485</v>
      </c>
      <c r="V202" s="1201">
        <f t="shared" si="57"/>
        <v>0</v>
      </c>
      <c r="W202" s="1202">
        <f t="shared" si="57"/>
        <v>1.5529487325727491</v>
      </c>
    </row>
    <row r="203" spans="1:23">
      <c r="A203" s="123">
        <f>'Input data'!A137</f>
        <v>2037</v>
      </c>
      <c r="B203" s="1210">
        <f>'Recycling - Case 2'!AI117</f>
        <v>6437.6604656145792</v>
      </c>
      <c r="C203" s="1211">
        <f t="shared" si="63"/>
        <v>0.1</v>
      </c>
      <c r="D203" s="1211">
        <f t="shared" si="58"/>
        <v>0.9</v>
      </c>
      <c r="E203" s="53">
        <v>0</v>
      </c>
      <c r="F203" s="53">
        <v>0</v>
      </c>
      <c r="G203" s="776">
        <f t="shared" si="51"/>
        <v>0.51501283724916636</v>
      </c>
      <c r="H203" s="519">
        <f t="shared" si="52"/>
        <v>23.175577676212484</v>
      </c>
      <c r="I203" s="53"/>
      <c r="J203" s="776">
        <f t="shared" si="53"/>
        <v>1.3905346605727491</v>
      </c>
      <c r="K203" s="1212">
        <f>'Recycling - Case 3'!Z157</f>
        <v>751.91700000000026</v>
      </c>
      <c r="L203" s="1211">
        <f t="shared" si="64"/>
        <v>0.1</v>
      </c>
      <c r="M203" s="1211">
        <f t="shared" si="59"/>
        <v>0.9</v>
      </c>
      <c r="N203" s="53">
        <f t="shared" si="65"/>
        <v>0</v>
      </c>
      <c r="O203" s="53">
        <f t="shared" si="65"/>
        <v>0</v>
      </c>
      <c r="P203" s="776">
        <f t="shared" si="54"/>
        <v>6.0153360000000038E-2</v>
      </c>
      <c r="Q203" s="519">
        <f t="shared" si="55"/>
        <v>2.7069012000000012</v>
      </c>
      <c r="R203" s="53"/>
      <c r="S203" s="1213">
        <f t="shared" si="56"/>
        <v>0.16241407200000005</v>
      </c>
      <c r="T203" s="1200">
        <f t="shared" si="57"/>
        <v>0.5751661972491664</v>
      </c>
      <c r="U203" s="1201">
        <f t="shared" si="57"/>
        <v>25.882478876212485</v>
      </c>
      <c r="V203" s="1201">
        <f t="shared" si="57"/>
        <v>0</v>
      </c>
      <c r="W203" s="1202">
        <f t="shared" si="57"/>
        <v>1.5529487325727491</v>
      </c>
    </row>
    <row r="204" spans="1:23">
      <c r="A204" s="123">
        <f>'Input data'!A138</f>
        <v>2038</v>
      </c>
      <c r="B204" s="1210">
        <f>'Recycling - Case 2'!AI118</f>
        <v>6437.6604656145792</v>
      </c>
      <c r="C204" s="1211">
        <f t="shared" si="63"/>
        <v>0.1</v>
      </c>
      <c r="D204" s="1211">
        <f t="shared" si="58"/>
        <v>0.9</v>
      </c>
      <c r="E204" s="53">
        <v>0</v>
      </c>
      <c r="F204" s="53">
        <v>0</v>
      </c>
      <c r="G204" s="776">
        <f t="shared" si="51"/>
        <v>0.51501283724916636</v>
      </c>
      <c r="H204" s="519">
        <f t="shared" si="52"/>
        <v>23.175577676212484</v>
      </c>
      <c r="I204" s="53"/>
      <c r="J204" s="776">
        <f t="shared" si="53"/>
        <v>1.3905346605727491</v>
      </c>
      <c r="K204" s="1212">
        <f>'Recycling - Case 3'!Z158</f>
        <v>751.91700000000026</v>
      </c>
      <c r="L204" s="1211">
        <f t="shared" si="64"/>
        <v>0.1</v>
      </c>
      <c r="M204" s="1211">
        <f t="shared" si="59"/>
        <v>0.9</v>
      </c>
      <c r="N204" s="53">
        <f t="shared" si="65"/>
        <v>0</v>
      </c>
      <c r="O204" s="53">
        <f t="shared" si="65"/>
        <v>0</v>
      </c>
      <c r="P204" s="776">
        <f t="shared" si="54"/>
        <v>6.0153360000000038E-2</v>
      </c>
      <c r="Q204" s="519">
        <f t="shared" si="55"/>
        <v>2.7069012000000012</v>
      </c>
      <c r="R204" s="53"/>
      <c r="S204" s="1213">
        <f t="shared" si="56"/>
        <v>0.16241407200000005</v>
      </c>
      <c r="T204" s="1200">
        <f t="shared" si="57"/>
        <v>0.5751661972491664</v>
      </c>
      <c r="U204" s="1201">
        <f t="shared" si="57"/>
        <v>25.882478876212485</v>
      </c>
      <c r="V204" s="1201">
        <f t="shared" si="57"/>
        <v>0</v>
      </c>
      <c r="W204" s="1202">
        <f t="shared" si="57"/>
        <v>1.5529487325727491</v>
      </c>
    </row>
    <row r="205" spans="1:23">
      <c r="A205" s="123">
        <f>'Input data'!A139</f>
        <v>2039</v>
      </c>
      <c r="B205" s="1210">
        <f>'Recycling - Case 2'!AI119</f>
        <v>6437.6604656145792</v>
      </c>
      <c r="C205" s="1211">
        <f t="shared" si="63"/>
        <v>0.1</v>
      </c>
      <c r="D205" s="1211">
        <f t="shared" si="58"/>
        <v>0.9</v>
      </c>
      <c r="E205" s="53">
        <v>0</v>
      </c>
      <c r="F205" s="53">
        <v>0</v>
      </c>
      <c r="G205" s="776">
        <f t="shared" si="51"/>
        <v>0.51501283724916636</v>
      </c>
      <c r="H205" s="519">
        <f t="shared" si="52"/>
        <v>23.175577676212484</v>
      </c>
      <c r="I205" s="53"/>
      <c r="J205" s="776">
        <f t="shared" si="53"/>
        <v>1.3905346605727491</v>
      </c>
      <c r="K205" s="1212">
        <f>'Recycling - Case 3'!Z159</f>
        <v>751.91700000000026</v>
      </c>
      <c r="L205" s="1211">
        <f t="shared" si="64"/>
        <v>0.1</v>
      </c>
      <c r="M205" s="1211">
        <f t="shared" si="59"/>
        <v>0.9</v>
      </c>
      <c r="N205" s="53">
        <f t="shared" si="65"/>
        <v>0</v>
      </c>
      <c r="O205" s="53">
        <f t="shared" si="65"/>
        <v>0</v>
      </c>
      <c r="P205" s="776">
        <f t="shared" si="54"/>
        <v>6.0153360000000038E-2</v>
      </c>
      <c r="Q205" s="519">
        <f t="shared" si="55"/>
        <v>2.7069012000000012</v>
      </c>
      <c r="R205" s="53"/>
      <c r="S205" s="1213">
        <f t="shared" si="56"/>
        <v>0.16241407200000005</v>
      </c>
      <c r="T205" s="1200">
        <f t="shared" si="57"/>
        <v>0.5751661972491664</v>
      </c>
      <c r="U205" s="1201">
        <f t="shared" si="57"/>
        <v>25.882478876212485</v>
      </c>
      <c r="V205" s="1201">
        <f t="shared" si="57"/>
        <v>0</v>
      </c>
      <c r="W205" s="1202">
        <f t="shared" si="57"/>
        <v>1.5529487325727491</v>
      </c>
    </row>
    <row r="206" spans="1:23">
      <c r="A206" s="123">
        <f>'Input data'!A140</f>
        <v>2040</v>
      </c>
      <c r="B206" s="1210">
        <f>'Recycling - Case 2'!AI120</f>
        <v>6437.6604656145792</v>
      </c>
      <c r="C206" s="1211">
        <f t="shared" si="63"/>
        <v>0.1</v>
      </c>
      <c r="D206" s="1211">
        <f t="shared" si="58"/>
        <v>0.9</v>
      </c>
      <c r="E206" s="53">
        <v>0</v>
      </c>
      <c r="F206" s="53">
        <v>0</v>
      </c>
      <c r="G206" s="776">
        <f t="shared" si="51"/>
        <v>0.51501283724916636</v>
      </c>
      <c r="H206" s="519">
        <f t="shared" si="52"/>
        <v>23.175577676212484</v>
      </c>
      <c r="I206" s="53"/>
      <c r="J206" s="776">
        <f t="shared" si="53"/>
        <v>1.3905346605727491</v>
      </c>
      <c r="K206" s="1212">
        <f>'Recycling - Case 3'!Z160</f>
        <v>751.91700000000026</v>
      </c>
      <c r="L206" s="1211">
        <f t="shared" si="64"/>
        <v>0.1</v>
      </c>
      <c r="M206" s="1211">
        <f t="shared" si="59"/>
        <v>0.9</v>
      </c>
      <c r="N206" s="53">
        <f t="shared" si="65"/>
        <v>0</v>
      </c>
      <c r="O206" s="53">
        <f t="shared" si="65"/>
        <v>0</v>
      </c>
      <c r="P206" s="776">
        <f t="shared" si="54"/>
        <v>6.0153360000000038E-2</v>
      </c>
      <c r="Q206" s="519">
        <f t="shared" si="55"/>
        <v>2.7069012000000012</v>
      </c>
      <c r="R206" s="53"/>
      <c r="S206" s="1213">
        <f t="shared" si="56"/>
        <v>0.16241407200000005</v>
      </c>
      <c r="T206" s="1200">
        <f t="shared" si="57"/>
        <v>0.5751661972491664</v>
      </c>
      <c r="U206" s="1201">
        <f t="shared" si="57"/>
        <v>25.882478876212485</v>
      </c>
      <c r="V206" s="1201">
        <f t="shared" si="57"/>
        <v>0</v>
      </c>
      <c r="W206" s="1202">
        <f t="shared" si="57"/>
        <v>1.5529487325727491</v>
      </c>
    </row>
    <row r="207" spans="1:23">
      <c r="A207" s="123">
        <f>'Input data'!A141</f>
        <v>2041</v>
      </c>
      <c r="B207" s="1210">
        <f>'Recycling - Case 2'!AI121</f>
        <v>6437.6604656145792</v>
      </c>
      <c r="C207" s="1211">
        <f t="shared" si="63"/>
        <v>0.1</v>
      </c>
      <c r="D207" s="1211">
        <f t="shared" si="58"/>
        <v>0.9</v>
      </c>
      <c r="E207" s="53">
        <v>0</v>
      </c>
      <c r="F207" s="53">
        <v>0</v>
      </c>
      <c r="G207" s="776">
        <f t="shared" si="51"/>
        <v>0.51501283724916636</v>
      </c>
      <c r="H207" s="519">
        <f t="shared" si="52"/>
        <v>23.175577676212484</v>
      </c>
      <c r="I207" s="53"/>
      <c r="J207" s="776">
        <f t="shared" si="53"/>
        <v>1.3905346605727491</v>
      </c>
      <c r="K207" s="1212">
        <f>'Recycling - Case 3'!Z161</f>
        <v>751.91700000000026</v>
      </c>
      <c r="L207" s="1211">
        <f t="shared" si="64"/>
        <v>0.1</v>
      </c>
      <c r="M207" s="1211">
        <f t="shared" si="59"/>
        <v>0.9</v>
      </c>
      <c r="N207" s="53">
        <f t="shared" si="65"/>
        <v>0</v>
      </c>
      <c r="O207" s="53">
        <f t="shared" si="65"/>
        <v>0</v>
      </c>
      <c r="P207" s="776">
        <f t="shared" si="54"/>
        <v>6.0153360000000038E-2</v>
      </c>
      <c r="Q207" s="519">
        <f t="shared" si="55"/>
        <v>2.7069012000000012</v>
      </c>
      <c r="R207" s="53"/>
      <c r="S207" s="1213">
        <f t="shared" si="56"/>
        <v>0.16241407200000005</v>
      </c>
      <c r="T207" s="1200">
        <f t="shared" si="57"/>
        <v>0.5751661972491664</v>
      </c>
      <c r="U207" s="1201">
        <f t="shared" si="57"/>
        <v>25.882478876212485</v>
      </c>
      <c r="V207" s="1201">
        <f t="shared" si="57"/>
        <v>0</v>
      </c>
      <c r="W207" s="1202">
        <f t="shared" si="57"/>
        <v>1.5529487325727491</v>
      </c>
    </row>
    <row r="208" spans="1:23">
      <c r="A208" s="123">
        <f>'Input data'!A142</f>
        <v>2042</v>
      </c>
      <c r="B208" s="1210">
        <f>'Recycling - Case 2'!AI122</f>
        <v>6437.6604656145792</v>
      </c>
      <c r="C208" s="1211">
        <f t="shared" si="63"/>
        <v>0.1</v>
      </c>
      <c r="D208" s="1211">
        <f t="shared" si="58"/>
        <v>0.9</v>
      </c>
      <c r="E208" s="53">
        <v>0</v>
      </c>
      <c r="F208" s="53">
        <v>0</v>
      </c>
      <c r="G208" s="776">
        <f t="shared" si="51"/>
        <v>0.51501283724916636</v>
      </c>
      <c r="H208" s="519">
        <f t="shared" si="52"/>
        <v>23.175577676212484</v>
      </c>
      <c r="I208" s="53"/>
      <c r="J208" s="776">
        <f t="shared" si="53"/>
        <v>1.3905346605727491</v>
      </c>
      <c r="K208" s="1212">
        <f>'Recycling - Case 3'!Z162</f>
        <v>751.91700000000026</v>
      </c>
      <c r="L208" s="1211">
        <f t="shared" si="64"/>
        <v>0.1</v>
      </c>
      <c r="M208" s="1211">
        <f t="shared" si="59"/>
        <v>0.9</v>
      </c>
      <c r="N208" s="53">
        <f t="shared" si="65"/>
        <v>0</v>
      </c>
      <c r="O208" s="53">
        <f t="shared" si="65"/>
        <v>0</v>
      </c>
      <c r="P208" s="776">
        <f t="shared" si="54"/>
        <v>6.0153360000000038E-2</v>
      </c>
      <c r="Q208" s="519">
        <f t="shared" si="55"/>
        <v>2.7069012000000012</v>
      </c>
      <c r="R208" s="53"/>
      <c r="S208" s="1213">
        <f t="shared" si="56"/>
        <v>0.16241407200000005</v>
      </c>
      <c r="T208" s="1200">
        <f t="shared" si="57"/>
        <v>0.5751661972491664</v>
      </c>
      <c r="U208" s="1201">
        <f t="shared" si="57"/>
        <v>25.882478876212485</v>
      </c>
      <c r="V208" s="1201">
        <f t="shared" si="57"/>
        <v>0</v>
      </c>
      <c r="W208" s="1202">
        <f t="shared" si="57"/>
        <v>1.5529487325727491</v>
      </c>
    </row>
    <row r="209" spans="1:23">
      <c r="A209" s="123">
        <f>'Input data'!A143</f>
        <v>2043</v>
      </c>
      <c r="B209" s="1210">
        <f>'Recycling - Case 2'!AI123</f>
        <v>6437.6604656145792</v>
      </c>
      <c r="C209" s="1211">
        <f t="shared" si="63"/>
        <v>0.1</v>
      </c>
      <c r="D209" s="1211">
        <f t="shared" si="58"/>
        <v>0.9</v>
      </c>
      <c r="E209" s="53">
        <v>0</v>
      </c>
      <c r="F209" s="53">
        <v>0</v>
      </c>
      <c r="G209" s="776">
        <f t="shared" si="51"/>
        <v>0.51501283724916636</v>
      </c>
      <c r="H209" s="519">
        <f t="shared" si="52"/>
        <v>23.175577676212484</v>
      </c>
      <c r="I209" s="53"/>
      <c r="J209" s="776">
        <f t="shared" si="53"/>
        <v>1.3905346605727491</v>
      </c>
      <c r="K209" s="1212">
        <f>'Recycling - Case 3'!Z163</f>
        <v>751.91700000000026</v>
      </c>
      <c r="L209" s="1211">
        <f t="shared" si="64"/>
        <v>0.1</v>
      </c>
      <c r="M209" s="1211">
        <f t="shared" si="59"/>
        <v>0.9</v>
      </c>
      <c r="N209" s="53">
        <f t="shared" si="65"/>
        <v>0</v>
      </c>
      <c r="O209" s="53">
        <f t="shared" si="65"/>
        <v>0</v>
      </c>
      <c r="P209" s="776">
        <f t="shared" si="54"/>
        <v>6.0153360000000038E-2</v>
      </c>
      <c r="Q209" s="519">
        <f t="shared" si="55"/>
        <v>2.7069012000000012</v>
      </c>
      <c r="R209" s="53"/>
      <c r="S209" s="1213">
        <f t="shared" si="56"/>
        <v>0.16241407200000005</v>
      </c>
      <c r="T209" s="1200">
        <f t="shared" si="57"/>
        <v>0.5751661972491664</v>
      </c>
      <c r="U209" s="1201">
        <f t="shared" si="57"/>
        <v>25.882478876212485</v>
      </c>
      <c r="V209" s="1201">
        <f t="shared" si="57"/>
        <v>0</v>
      </c>
      <c r="W209" s="1202">
        <f t="shared" si="57"/>
        <v>1.5529487325727491</v>
      </c>
    </row>
    <row r="210" spans="1:23">
      <c r="A210" s="123">
        <f>'Input data'!A144</f>
        <v>2044</v>
      </c>
      <c r="B210" s="1210">
        <f>'Recycling - Case 2'!AI124</f>
        <v>6437.6604656145792</v>
      </c>
      <c r="C210" s="1211">
        <f t="shared" si="63"/>
        <v>0.1</v>
      </c>
      <c r="D210" s="1211">
        <f t="shared" si="58"/>
        <v>0.9</v>
      </c>
      <c r="E210" s="53">
        <v>0</v>
      </c>
      <c r="F210" s="53">
        <v>0</v>
      </c>
      <c r="G210" s="776">
        <f t="shared" si="51"/>
        <v>0.51501283724916636</v>
      </c>
      <c r="H210" s="519">
        <f t="shared" si="52"/>
        <v>23.175577676212484</v>
      </c>
      <c r="I210" s="53"/>
      <c r="J210" s="776">
        <f t="shared" si="53"/>
        <v>1.3905346605727491</v>
      </c>
      <c r="K210" s="1212">
        <f>'Recycling - Case 3'!Z164</f>
        <v>751.91700000000026</v>
      </c>
      <c r="L210" s="1211">
        <f t="shared" si="64"/>
        <v>0.1</v>
      </c>
      <c r="M210" s="1211">
        <f t="shared" si="59"/>
        <v>0.9</v>
      </c>
      <c r="N210" s="53">
        <f t="shared" si="65"/>
        <v>0</v>
      </c>
      <c r="O210" s="53">
        <f t="shared" si="65"/>
        <v>0</v>
      </c>
      <c r="P210" s="776">
        <f t="shared" si="54"/>
        <v>6.0153360000000038E-2</v>
      </c>
      <c r="Q210" s="519">
        <f t="shared" si="55"/>
        <v>2.7069012000000012</v>
      </c>
      <c r="R210" s="53"/>
      <c r="S210" s="1213">
        <f t="shared" si="56"/>
        <v>0.16241407200000005</v>
      </c>
      <c r="T210" s="1200">
        <f t="shared" si="57"/>
        <v>0.5751661972491664</v>
      </c>
      <c r="U210" s="1201">
        <f t="shared" si="57"/>
        <v>25.882478876212485</v>
      </c>
      <c r="V210" s="1201">
        <f t="shared" si="57"/>
        <v>0</v>
      </c>
      <c r="W210" s="1202">
        <f t="shared" si="57"/>
        <v>1.5529487325727491</v>
      </c>
    </row>
    <row r="211" spans="1:23">
      <c r="A211" s="123">
        <f>'Input data'!A145</f>
        <v>2045</v>
      </c>
      <c r="B211" s="1210">
        <f>'Recycling - Case 2'!AI125</f>
        <v>6437.6604656145792</v>
      </c>
      <c r="C211" s="1211">
        <f t="shared" si="63"/>
        <v>0.1</v>
      </c>
      <c r="D211" s="1211">
        <f t="shared" si="58"/>
        <v>0.9</v>
      </c>
      <c r="E211" s="53">
        <v>0</v>
      </c>
      <c r="F211" s="53">
        <v>0</v>
      </c>
      <c r="G211" s="776">
        <f t="shared" si="51"/>
        <v>0.51501283724916636</v>
      </c>
      <c r="H211" s="519">
        <f t="shared" si="52"/>
        <v>23.175577676212484</v>
      </c>
      <c r="I211" s="53"/>
      <c r="J211" s="776">
        <f t="shared" si="53"/>
        <v>1.3905346605727491</v>
      </c>
      <c r="K211" s="1212">
        <f>'Recycling - Case 3'!Z165</f>
        <v>751.91700000000026</v>
      </c>
      <c r="L211" s="1211">
        <f t="shared" si="64"/>
        <v>0.1</v>
      </c>
      <c r="M211" s="1211">
        <f t="shared" si="59"/>
        <v>0.9</v>
      </c>
      <c r="N211" s="53">
        <f t="shared" si="65"/>
        <v>0</v>
      </c>
      <c r="O211" s="53">
        <f t="shared" si="65"/>
        <v>0</v>
      </c>
      <c r="P211" s="776">
        <f t="shared" si="54"/>
        <v>6.0153360000000038E-2</v>
      </c>
      <c r="Q211" s="519">
        <f t="shared" si="55"/>
        <v>2.7069012000000012</v>
      </c>
      <c r="R211" s="53"/>
      <c r="S211" s="1213">
        <f t="shared" si="56"/>
        <v>0.16241407200000005</v>
      </c>
      <c r="T211" s="1200">
        <f t="shared" si="57"/>
        <v>0.5751661972491664</v>
      </c>
      <c r="U211" s="1201">
        <f t="shared" si="57"/>
        <v>25.882478876212485</v>
      </c>
      <c r="V211" s="1201">
        <f t="shared" si="57"/>
        <v>0</v>
      </c>
      <c r="W211" s="1202">
        <f t="shared" si="57"/>
        <v>1.5529487325727491</v>
      </c>
    </row>
    <row r="212" spans="1:23">
      <c r="A212" s="123">
        <f>'Input data'!A146</f>
        <v>2046</v>
      </c>
      <c r="B212" s="1210">
        <f>'Recycling - Case 2'!AI126</f>
        <v>6437.6604656145792</v>
      </c>
      <c r="C212" s="1211">
        <f t="shared" si="63"/>
        <v>0.1</v>
      </c>
      <c r="D212" s="1211">
        <f t="shared" si="58"/>
        <v>0.9</v>
      </c>
      <c r="E212" s="53">
        <v>0</v>
      </c>
      <c r="F212" s="53">
        <v>0</v>
      </c>
      <c r="G212" s="776">
        <f t="shared" si="51"/>
        <v>0.51501283724916636</v>
      </c>
      <c r="H212" s="519">
        <f t="shared" si="52"/>
        <v>23.175577676212484</v>
      </c>
      <c r="I212" s="53"/>
      <c r="J212" s="776">
        <f t="shared" si="53"/>
        <v>1.3905346605727491</v>
      </c>
      <c r="K212" s="1212">
        <f>'Recycling - Case 3'!Z166</f>
        <v>751.91700000000026</v>
      </c>
      <c r="L212" s="1211">
        <f t="shared" si="64"/>
        <v>0.1</v>
      </c>
      <c r="M212" s="1211">
        <f t="shared" si="59"/>
        <v>0.9</v>
      </c>
      <c r="N212" s="53">
        <f t="shared" si="65"/>
        <v>0</v>
      </c>
      <c r="O212" s="53">
        <f t="shared" si="65"/>
        <v>0</v>
      </c>
      <c r="P212" s="776">
        <f t="shared" si="54"/>
        <v>6.0153360000000038E-2</v>
      </c>
      <c r="Q212" s="519">
        <f t="shared" si="55"/>
        <v>2.7069012000000012</v>
      </c>
      <c r="R212" s="53"/>
      <c r="S212" s="1213">
        <f t="shared" si="56"/>
        <v>0.16241407200000005</v>
      </c>
      <c r="T212" s="1200">
        <f t="shared" si="57"/>
        <v>0.5751661972491664</v>
      </c>
      <c r="U212" s="1201">
        <f t="shared" si="57"/>
        <v>25.882478876212485</v>
      </c>
      <c r="V212" s="1201">
        <f t="shared" si="57"/>
        <v>0</v>
      </c>
      <c r="W212" s="1202">
        <f t="shared" si="57"/>
        <v>1.5529487325727491</v>
      </c>
    </row>
    <row r="213" spans="1:23">
      <c r="A213" s="123">
        <f>'Input data'!A147</f>
        <v>2047</v>
      </c>
      <c r="B213" s="1210">
        <f>'Recycling - Case 2'!AI127</f>
        <v>6437.6604656145792</v>
      </c>
      <c r="C213" s="1211">
        <f t="shared" si="63"/>
        <v>0.1</v>
      </c>
      <c r="D213" s="1211">
        <f t="shared" si="58"/>
        <v>0.9</v>
      </c>
      <c r="E213" s="53">
        <v>0</v>
      </c>
      <c r="F213" s="53">
        <v>0</v>
      </c>
      <c r="G213" s="776">
        <f t="shared" si="51"/>
        <v>0.51501283724916636</v>
      </c>
      <c r="H213" s="519">
        <f t="shared" si="52"/>
        <v>23.175577676212484</v>
      </c>
      <c r="I213" s="53"/>
      <c r="J213" s="776">
        <f t="shared" si="53"/>
        <v>1.3905346605727491</v>
      </c>
      <c r="K213" s="1212">
        <f>'Recycling - Case 3'!Z167</f>
        <v>751.91700000000026</v>
      </c>
      <c r="L213" s="1211">
        <f t="shared" si="64"/>
        <v>0.1</v>
      </c>
      <c r="M213" s="1211">
        <f t="shared" si="59"/>
        <v>0.9</v>
      </c>
      <c r="N213" s="53">
        <f t="shared" si="65"/>
        <v>0</v>
      </c>
      <c r="O213" s="53">
        <f t="shared" si="65"/>
        <v>0</v>
      </c>
      <c r="P213" s="776">
        <f t="shared" si="54"/>
        <v>6.0153360000000038E-2</v>
      </c>
      <c r="Q213" s="519">
        <f t="shared" si="55"/>
        <v>2.7069012000000012</v>
      </c>
      <c r="R213" s="53"/>
      <c r="S213" s="1213">
        <f t="shared" si="56"/>
        <v>0.16241407200000005</v>
      </c>
      <c r="T213" s="1200">
        <f t="shared" si="57"/>
        <v>0.5751661972491664</v>
      </c>
      <c r="U213" s="1201">
        <f t="shared" si="57"/>
        <v>25.882478876212485</v>
      </c>
      <c r="V213" s="1201">
        <f t="shared" si="57"/>
        <v>0</v>
      </c>
      <c r="W213" s="1202">
        <f t="shared" si="57"/>
        <v>1.5529487325727491</v>
      </c>
    </row>
    <row r="214" spans="1:23">
      <c r="A214" s="123">
        <f>'Input data'!A148</f>
        <v>2048</v>
      </c>
      <c r="B214" s="1210">
        <f>'Recycling - Case 2'!AI128</f>
        <v>6437.6604656145792</v>
      </c>
      <c r="C214" s="1211">
        <f t="shared" si="63"/>
        <v>0.1</v>
      </c>
      <c r="D214" s="1211">
        <f t="shared" si="58"/>
        <v>0.9</v>
      </c>
      <c r="E214" s="53">
        <v>0</v>
      </c>
      <c r="F214" s="53">
        <v>0</v>
      </c>
      <c r="G214" s="776">
        <f t="shared" si="51"/>
        <v>0.51501283724916636</v>
      </c>
      <c r="H214" s="519">
        <f t="shared" si="52"/>
        <v>23.175577676212484</v>
      </c>
      <c r="I214" s="53"/>
      <c r="J214" s="776">
        <f t="shared" si="53"/>
        <v>1.3905346605727491</v>
      </c>
      <c r="K214" s="1212">
        <f>'Recycling - Case 3'!Z168</f>
        <v>751.91700000000026</v>
      </c>
      <c r="L214" s="1211">
        <f t="shared" si="64"/>
        <v>0.1</v>
      </c>
      <c r="M214" s="1211">
        <f t="shared" si="59"/>
        <v>0.9</v>
      </c>
      <c r="N214" s="53">
        <f t="shared" si="65"/>
        <v>0</v>
      </c>
      <c r="O214" s="53">
        <f t="shared" si="65"/>
        <v>0</v>
      </c>
      <c r="P214" s="776">
        <f t="shared" si="54"/>
        <v>6.0153360000000038E-2</v>
      </c>
      <c r="Q214" s="519">
        <f t="shared" si="55"/>
        <v>2.7069012000000012</v>
      </c>
      <c r="R214" s="53"/>
      <c r="S214" s="1213">
        <f t="shared" si="56"/>
        <v>0.16241407200000005</v>
      </c>
      <c r="T214" s="1200">
        <f t="shared" si="57"/>
        <v>0.5751661972491664</v>
      </c>
      <c r="U214" s="1201">
        <f t="shared" si="57"/>
        <v>25.882478876212485</v>
      </c>
      <c r="V214" s="1201">
        <f t="shared" si="57"/>
        <v>0</v>
      </c>
      <c r="W214" s="1202">
        <f t="shared" si="57"/>
        <v>1.5529487325727491</v>
      </c>
    </row>
    <row r="215" spans="1:23">
      <c r="A215" s="123">
        <f>'Input data'!A149</f>
        <v>2049</v>
      </c>
      <c r="B215" s="1210">
        <f>'Recycling - Case 2'!AI129</f>
        <v>6437.6604656145792</v>
      </c>
      <c r="C215" s="1211">
        <f t="shared" si="63"/>
        <v>0.1</v>
      </c>
      <c r="D215" s="1211">
        <f t="shared" si="58"/>
        <v>0.9</v>
      </c>
      <c r="E215" s="53">
        <v>0</v>
      </c>
      <c r="F215" s="53">
        <v>0</v>
      </c>
      <c r="G215" s="776">
        <f t="shared" si="51"/>
        <v>0.51501283724916636</v>
      </c>
      <c r="H215" s="519">
        <f t="shared" si="52"/>
        <v>23.175577676212484</v>
      </c>
      <c r="I215" s="53"/>
      <c r="J215" s="776">
        <f t="shared" si="53"/>
        <v>1.3905346605727491</v>
      </c>
      <c r="K215" s="1212">
        <f>'Recycling - Case 3'!Z169</f>
        <v>751.91700000000026</v>
      </c>
      <c r="L215" s="1211">
        <f t="shared" si="64"/>
        <v>0.1</v>
      </c>
      <c r="M215" s="1211">
        <f t="shared" si="59"/>
        <v>0.9</v>
      </c>
      <c r="N215" s="53">
        <f t="shared" si="65"/>
        <v>0</v>
      </c>
      <c r="O215" s="53">
        <f t="shared" si="65"/>
        <v>0</v>
      </c>
      <c r="P215" s="776">
        <f t="shared" si="54"/>
        <v>6.0153360000000038E-2</v>
      </c>
      <c r="Q215" s="519">
        <f t="shared" si="55"/>
        <v>2.7069012000000012</v>
      </c>
      <c r="R215" s="53"/>
      <c r="S215" s="1213">
        <f t="shared" si="56"/>
        <v>0.16241407200000005</v>
      </c>
      <c r="T215" s="1200">
        <f t="shared" si="57"/>
        <v>0.5751661972491664</v>
      </c>
      <c r="U215" s="1201">
        <f t="shared" si="57"/>
        <v>25.882478876212485</v>
      </c>
      <c r="V215" s="1201">
        <f t="shared" si="57"/>
        <v>0</v>
      </c>
      <c r="W215" s="1202">
        <f t="shared" si="57"/>
        <v>1.5529487325727491</v>
      </c>
    </row>
    <row r="216" spans="1:23" ht="15.75" thickBot="1">
      <c r="A216" s="123">
        <f>'Input data'!A150</f>
        <v>2050</v>
      </c>
      <c r="B216" s="1210">
        <f>'Recycling - Case 2'!AI130</f>
        <v>6437.6604656145792</v>
      </c>
      <c r="C216" s="578">
        <f t="shared" si="63"/>
        <v>0.1</v>
      </c>
      <c r="D216" s="578">
        <f t="shared" si="58"/>
        <v>0.9</v>
      </c>
      <c r="E216" s="1214">
        <v>0</v>
      </c>
      <c r="F216" s="1214">
        <v>0</v>
      </c>
      <c r="G216" s="1215">
        <f t="shared" si="51"/>
        <v>0.51501283724916636</v>
      </c>
      <c r="H216" s="1146">
        <f t="shared" si="52"/>
        <v>23.175577676212484</v>
      </c>
      <c r="I216" s="1214"/>
      <c r="J216" s="1215">
        <f t="shared" si="53"/>
        <v>1.3905346605727491</v>
      </c>
      <c r="K216" s="1212">
        <f>'Recycling - Case 3'!Z170</f>
        <v>751.91700000000026</v>
      </c>
      <c r="L216" s="578">
        <f t="shared" si="64"/>
        <v>0.1</v>
      </c>
      <c r="M216" s="578">
        <f t="shared" si="59"/>
        <v>0.9</v>
      </c>
      <c r="N216" s="1214">
        <f t="shared" si="65"/>
        <v>0</v>
      </c>
      <c r="O216" s="1214">
        <f t="shared" si="65"/>
        <v>0</v>
      </c>
      <c r="P216" s="1215">
        <f t="shared" si="54"/>
        <v>6.0153360000000038E-2</v>
      </c>
      <c r="Q216" s="1146">
        <f t="shared" si="55"/>
        <v>2.7069012000000012</v>
      </c>
      <c r="R216" s="1214"/>
      <c r="S216" s="1216">
        <f t="shared" si="56"/>
        <v>0.16241407200000005</v>
      </c>
      <c r="T216" s="1217">
        <f t="shared" si="57"/>
        <v>0.5751661972491664</v>
      </c>
      <c r="U216" s="1218">
        <f t="shared" si="57"/>
        <v>25.882478876212485</v>
      </c>
      <c r="V216" s="1218">
        <f t="shared" si="57"/>
        <v>0</v>
      </c>
      <c r="W216" s="1219">
        <f t="shared" si="57"/>
        <v>1.5529487325727491</v>
      </c>
    </row>
    <row r="217" spans="1:23">
      <c r="A217" s="1204" t="s">
        <v>659</v>
      </c>
      <c r="B217" s="1205"/>
      <c r="C217" s="1220"/>
      <c r="D217" s="1220"/>
      <c r="E217" s="1221"/>
      <c r="F217" s="1221"/>
      <c r="G217" s="1222"/>
      <c r="H217" s="1223"/>
      <c r="I217" s="1224"/>
      <c r="J217" s="1222"/>
      <c r="K217" s="1225"/>
      <c r="L217" s="1220"/>
      <c r="M217" s="1220"/>
      <c r="N217" s="1221"/>
      <c r="O217" s="1221"/>
      <c r="P217" s="1222"/>
      <c r="Q217" s="1223"/>
      <c r="R217" s="1221"/>
      <c r="S217" s="1226"/>
      <c r="T217" s="1196"/>
      <c r="U217" s="1197"/>
      <c r="V217" s="1197"/>
      <c r="W217" s="1198"/>
    </row>
    <row r="218" spans="1:23">
      <c r="A218" s="123">
        <f>'Input data'!A118</f>
        <v>2018</v>
      </c>
      <c r="B218" s="1210">
        <f>'Recycling - Case 3'!AI98</f>
        <v>3707.5235423427162</v>
      </c>
      <c r="C218" s="1211">
        <f>($C$222-$C$80)/($A$222-$A$80)+C80</f>
        <v>0.14000000000000001</v>
      </c>
      <c r="D218" s="1211">
        <f>1-C218</f>
        <v>0.86</v>
      </c>
      <c r="E218" s="53">
        <v>0</v>
      </c>
      <c r="F218" s="53">
        <v>0</v>
      </c>
      <c r="G218" s="776">
        <f>C218*$D$5*B218/1000-E218</f>
        <v>0.41524263674238426</v>
      </c>
      <c r="H218" s="519">
        <f>D218*$D$4*B218/1000-F218</f>
        <v>12.753880985658943</v>
      </c>
      <c r="I218" s="53"/>
      <c r="J218" s="776">
        <f>D218*$D$7*B218/1000</f>
        <v>0.76523285913953654</v>
      </c>
      <c r="K218" s="1212">
        <f>'Recycling - Case 3'!Z138</f>
        <v>1793.8246078249765</v>
      </c>
      <c r="L218" s="1211">
        <f>($L$222-$L$80)/($A$222-$A$80)+L80</f>
        <v>0.18</v>
      </c>
      <c r="M218" s="1211">
        <f>($M$222-$M$80)/($A$222-$A$80)+M80</f>
        <v>0.82000000000000006</v>
      </c>
      <c r="N218" s="53">
        <f t="shared" ref="N218:O233" si="66">N80</f>
        <v>0</v>
      </c>
      <c r="O218" s="53">
        <f t="shared" si="66"/>
        <v>0</v>
      </c>
      <c r="P218" s="776">
        <f t="shared" ref="P218:P250" si="67">L218*$D$5*K218/1000-N218</f>
        <v>0.25831074352679662</v>
      </c>
      <c r="Q218" s="519">
        <f t="shared" ref="Q218:Q250" si="68">M218*$D$4*K218/1000-O218</f>
        <v>5.8837447136659229</v>
      </c>
      <c r="R218" s="53"/>
      <c r="S218" s="1213">
        <f t="shared" ref="S218:S250" si="69">M218*$D$7*K218/1000</f>
        <v>0.35302468281995536</v>
      </c>
      <c r="T218" s="1200">
        <f t="shared" ref="T218:W250" si="70">G218+P218</f>
        <v>0.67355338026918088</v>
      </c>
      <c r="U218" s="1201">
        <f t="shared" si="70"/>
        <v>18.637625699324865</v>
      </c>
      <c r="V218" s="1201">
        <f t="shared" si="70"/>
        <v>0</v>
      </c>
      <c r="W218" s="1202">
        <f t="shared" si="70"/>
        <v>1.1182575419594918</v>
      </c>
    </row>
    <row r="219" spans="1:23">
      <c r="A219" s="123">
        <f>'Input data'!A119</f>
        <v>2019</v>
      </c>
      <c r="B219" s="1210">
        <f>'Recycling - Case 3'!AI99</f>
        <v>4010.8720893729233</v>
      </c>
      <c r="C219" s="1211">
        <f>($C$222-$C$80)/($A$222-$A$80)+C218</f>
        <v>0.23</v>
      </c>
      <c r="D219" s="1211">
        <f t="shared" ref="D219:D221" si="71">1-C219</f>
        <v>0.77</v>
      </c>
      <c r="E219" s="53">
        <v>0</v>
      </c>
      <c r="F219" s="53">
        <v>0</v>
      </c>
      <c r="G219" s="776">
        <f t="shared" ref="G219:G250" si="72">C219*$D$5*B219/1000-E219</f>
        <v>0.73800046444461798</v>
      </c>
      <c r="H219" s="519">
        <f t="shared" ref="H219:H250" si="73">D219*$D$4*B219/1000-F219</f>
        <v>12.353486035268604</v>
      </c>
      <c r="I219" s="53"/>
      <c r="J219" s="776">
        <f t="shared" ref="J219:J250" si="74">D219*$D$7*B219/1000</f>
        <v>0.7412091621161162</v>
      </c>
      <c r="K219" s="1212">
        <f>'Recycling - Case 3'!Z139</f>
        <v>1878.6693594882986</v>
      </c>
      <c r="L219" s="1211">
        <f>($L$222-$L$80)/($A$222-$A$80)+L218</f>
        <v>0.26</v>
      </c>
      <c r="M219" s="1211">
        <f>($M$222-$M$80)/($A$222-$A$80)+M218</f>
        <v>0.7400000000000001</v>
      </c>
      <c r="N219" s="53">
        <f t="shared" si="66"/>
        <v>0</v>
      </c>
      <c r="O219" s="53">
        <f t="shared" si="66"/>
        <v>0</v>
      </c>
      <c r="P219" s="776">
        <f t="shared" si="67"/>
        <v>0.39076322677356612</v>
      </c>
      <c r="Q219" s="519">
        <f t="shared" si="68"/>
        <v>5.5608613040853641</v>
      </c>
      <c r="R219" s="53"/>
      <c r="S219" s="1213">
        <f t="shared" si="69"/>
        <v>0.33365167824512182</v>
      </c>
      <c r="T219" s="1200">
        <f t="shared" si="70"/>
        <v>1.1287636912181842</v>
      </c>
      <c r="U219" s="1201">
        <f t="shared" si="70"/>
        <v>17.914347339353967</v>
      </c>
      <c r="V219" s="1201">
        <f t="shared" si="70"/>
        <v>0</v>
      </c>
      <c r="W219" s="1202">
        <f t="shared" si="70"/>
        <v>1.0748608403612381</v>
      </c>
    </row>
    <row r="220" spans="1:23">
      <c r="A220" s="123">
        <f>'Input data'!A120</f>
        <v>2020</v>
      </c>
      <c r="B220" s="1210">
        <f>'Recycling - Case 3'!AI100</f>
        <v>4617.5691834333375</v>
      </c>
      <c r="C220" s="1211">
        <f>($C$222-$C$80)/($A$222-$A$80)+C219</f>
        <v>0.32</v>
      </c>
      <c r="D220" s="1211">
        <f t="shared" si="71"/>
        <v>0.67999999999999994</v>
      </c>
      <c r="E220" s="53">
        <v>0</v>
      </c>
      <c r="F220" s="53">
        <v>0</v>
      </c>
      <c r="G220" s="776">
        <f t="shared" si="72"/>
        <v>1.1820977109589343</v>
      </c>
      <c r="H220" s="519">
        <f t="shared" si="73"/>
        <v>12.559788178938678</v>
      </c>
      <c r="I220" s="53"/>
      <c r="J220" s="776">
        <f t="shared" si="74"/>
        <v>0.75358729073632058</v>
      </c>
      <c r="K220" s="1212">
        <f>'Recycling - Case 3'!Z140</f>
        <v>1907.190171140033</v>
      </c>
      <c r="L220" s="1211">
        <f>($L$222-$L$80)/($A$222-$A$80)+L219</f>
        <v>0.34</v>
      </c>
      <c r="M220" s="1211">
        <f>($M$222-$M$80)/($A$222-$A$80)+M219</f>
        <v>0.66000000000000014</v>
      </c>
      <c r="N220" s="53">
        <f t="shared" si="66"/>
        <v>0</v>
      </c>
      <c r="O220" s="53">
        <f t="shared" si="66"/>
        <v>0</v>
      </c>
      <c r="P220" s="776">
        <f t="shared" si="67"/>
        <v>0.51875572655008895</v>
      </c>
      <c r="Q220" s="519">
        <f t="shared" si="68"/>
        <v>5.0349820518096884</v>
      </c>
      <c r="R220" s="53"/>
      <c r="S220" s="1213">
        <f t="shared" si="69"/>
        <v>0.30209892310858127</v>
      </c>
      <c r="T220" s="1200">
        <f t="shared" si="70"/>
        <v>1.7008534375090232</v>
      </c>
      <c r="U220" s="1201">
        <f t="shared" si="70"/>
        <v>17.594770230748367</v>
      </c>
      <c r="V220" s="1201">
        <f t="shared" si="70"/>
        <v>0</v>
      </c>
      <c r="W220" s="1202">
        <f t="shared" si="70"/>
        <v>1.0556862138449019</v>
      </c>
    </row>
    <row r="221" spans="1:23">
      <c r="A221" s="123">
        <f>'Input data'!A121</f>
        <v>2021</v>
      </c>
      <c r="B221" s="1210">
        <f>'Recycling - Case 3'!AI101</f>
        <v>5830.9633715541659</v>
      </c>
      <c r="C221" s="1211">
        <f>($C$222-$C$80)/($A$222-$A$80)+C220</f>
        <v>0.41000000000000003</v>
      </c>
      <c r="D221" s="1211">
        <f t="shared" si="71"/>
        <v>0.59</v>
      </c>
      <c r="E221" s="53">
        <v>0</v>
      </c>
      <c r="F221" s="53">
        <v>0</v>
      </c>
      <c r="G221" s="776">
        <f t="shared" si="72"/>
        <v>1.9125559858697667</v>
      </c>
      <c r="H221" s="519">
        <f t="shared" si="73"/>
        <v>13.76107355686783</v>
      </c>
      <c r="I221" s="53"/>
      <c r="J221" s="776">
        <f t="shared" si="74"/>
        <v>0.82566441341206975</v>
      </c>
      <c r="K221" s="1212">
        <f>'Recycling - Case 3'!Z141</f>
        <v>2248.0613311541611</v>
      </c>
      <c r="L221" s="1211">
        <f>($L$222-$L$80)/($A$222-$A$80)+L220</f>
        <v>0.42000000000000004</v>
      </c>
      <c r="M221" s="1211">
        <f>($M$222-$M$80)/($A$222-$A$80)+M220</f>
        <v>0.58000000000000018</v>
      </c>
      <c r="N221" s="53">
        <f t="shared" si="66"/>
        <v>0</v>
      </c>
      <c r="O221" s="53">
        <f t="shared" si="66"/>
        <v>0</v>
      </c>
      <c r="P221" s="776">
        <f t="shared" si="67"/>
        <v>0.75534860726779818</v>
      </c>
      <c r="Q221" s="519">
        <f t="shared" si="68"/>
        <v>5.2155022882776558</v>
      </c>
      <c r="R221" s="53"/>
      <c r="S221" s="1213">
        <f t="shared" si="69"/>
        <v>0.31293013729665931</v>
      </c>
      <c r="T221" s="1200">
        <f t="shared" si="70"/>
        <v>2.6679045931375649</v>
      </c>
      <c r="U221" s="1201">
        <f t="shared" si="70"/>
        <v>18.976575845145486</v>
      </c>
      <c r="V221" s="1201">
        <f t="shared" si="70"/>
        <v>0</v>
      </c>
      <c r="W221" s="1202">
        <f t="shared" si="70"/>
        <v>1.1385945507087292</v>
      </c>
    </row>
    <row r="222" spans="1:23">
      <c r="A222" s="123">
        <f>'Input data'!A122</f>
        <v>2022</v>
      </c>
      <c r="B222" s="1210">
        <f>'Recycling - Case 3'!AI102</f>
        <v>6437.6604656145792</v>
      </c>
      <c r="C222" s="1211">
        <f>'Recycling - Case 3'!G31</f>
        <v>0.5</v>
      </c>
      <c r="D222" s="1211">
        <f>'Recycling - Case 3'!H31</f>
        <v>0.5</v>
      </c>
      <c r="E222" s="53">
        <v>0</v>
      </c>
      <c r="F222" s="53">
        <v>0</v>
      </c>
      <c r="G222" s="776">
        <f t="shared" si="72"/>
        <v>2.5750641862458319</v>
      </c>
      <c r="H222" s="519">
        <f t="shared" si="73"/>
        <v>12.875320931229158</v>
      </c>
      <c r="I222" s="53"/>
      <c r="J222" s="776">
        <f t="shared" si="74"/>
        <v>0.77251925587374948</v>
      </c>
      <c r="K222" s="1212">
        <f>'Recycling - Case 3'!Z142</f>
        <v>2435.3308526974706</v>
      </c>
      <c r="L222" s="1211">
        <f>'Recycling - Case 3'!G31</f>
        <v>0.5</v>
      </c>
      <c r="M222" s="1211">
        <f>'Recycling - Case 3'!H31</f>
        <v>0.5</v>
      </c>
      <c r="N222" s="53">
        <f t="shared" si="66"/>
        <v>0</v>
      </c>
      <c r="O222" s="53">
        <f t="shared" si="66"/>
        <v>0</v>
      </c>
      <c r="P222" s="776">
        <f t="shared" si="67"/>
        <v>0.97413234107898827</v>
      </c>
      <c r="Q222" s="519">
        <f t="shared" si="68"/>
        <v>4.8706617053949408</v>
      </c>
      <c r="R222" s="53"/>
      <c r="S222" s="1213">
        <f t="shared" si="69"/>
        <v>0.29223970232369645</v>
      </c>
      <c r="T222" s="1200">
        <f t="shared" si="70"/>
        <v>3.54919652732482</v>
      </c>
      <c r="U222" s="1201">
        <f t="shared" si="70"/>
        <v>17.745982636624099</v>
      </c>
      <c r="V222" s="1201">
        <f t="shared" si="70"/>
        <v>0</v>
      </c>
      <c r="W222" s="1202">
        <f t="shared" si="70"/>
        <v>1.0647589581974459</v>
      </c>
    </row>
    <row r="223" spans="1:23">
      <c r="A223" s="123">
        <f>'Input data'!A123</f>
        <v>2023</v>
      </c>
      <c r="B223" s="1210">
        <f>'Recycling - Case 3'!AI103</f>
        <v>6437.6604656145792</v>
      </c>
      <c r="C223" s="1211">
        <f>C222</f>
        <v>0.5</v>
      </c>
      <c r="D223" s="1211">
        <f>D222</f>
        <v>0.5</v>
      </c>
      <c r="E223" s="53">
        <v>0</v>
      </c>
      <c r="F223" s="53">
        <v>0</v>
      </c>
      <c r="G223" s="776">
        <f t="shared" si="72"/>
        <v>2.5750641862458319</v>
      </c>
      <c r="H223" s="519">
        <f t="shared" si="73"/>
        <v>12.875320931229158</v>
      </c>
      <c r="I223" s="53"/>
      <c r="J223" s="776">
        <f t="shared" si="74"/>
        <v>0.77251925587374948</v>
      </c>
      <c r="K223" s="1212">
        <f>'Recycling - Case 3'!Z143</f>
        <v>2472.3423999006995</v>
      </c>
      <c r="L223" s="1211">
        <f>L222</f>
        <v>0.5</v>
      </c>
      <c r="M223" s="1211">
        <f>M222</f>
        <v>0.5</v>
      </c>
      <c r="N223" s="53">
        <f t="shared" si="66"/>
        <v>0</v>
      </c>
      <c r="O223" s="53">
        <f t="shared" si="66"/>
        <v>0</v>
      </c>
      <c r="P223" s="776">
        <f t="shared" si="67"/>
        <v>0.98893695996027986</v>
      </c>
      <c r="Q223" s="519">
        <f t="shared" si="68"/>
        <v>4.944684799801399</v>
      </c>
      <c r="R223" s="53"/>
      <c r="S223" s="1213">
        <f t="shared" si="69"/>
        <v>0.29668108798808396</v>
      </c>
      <c r="T223" s="1200">
        <f t="shared" si="70"/>
        <v>3.5640011462061119</v>
      </c>
      <c r="U223" s="1201">
        <f t="shared" si="70"/>
        <v>17.820005731030555</v>
      </c>
      <c r="V223" s="1201">
        <f t="shared" si="70"/>
        <v>0</v>
      </c>
      <c r="W223" s="1202">
        <f t="shared" si="70"/>
        <v>1.0692003438618334</v>
      </c>
    </row>
    <row r="224" spans="1:23">
      <c r="A224" s="123">
        <f>'Input data'!A124</f>
        <v>2024</v>
      </c>
      <c r="B224" s="1210">
        <f>'Recycling - Case 3'!AI104</f>
        <v>6437.6604656145792</v>
      </c>
      <c r="C224" s="1211">
        <f t="shared" ref="C224:D239" si="75">C223</f>
        <v>0.5</v>
      </c>
      <c r="D224" s="1211">
        <f t="shared" si="75"/>
        <v>0.5</v>
      </c>
      <c r="E224" s="53">
        <v>0</v>
      </c>
      <c r="F224" s="53">
        <v>0</v>
      </c>
      <c r="G224" s="776">
        <f t="shared" si="72"/>
        <v>2.5750641862458319</v>
      </c>
      <c r="H224" s="519">
        <f t="shared" si="73"/>
        <v>12.875320931229158</v>
      </c>
      <c r="I224" s="53"/>
      <c r="J224" s="776">
        <f t="shared" si="74"/>
        <v>0.77251925587374948</v>
      </c>
      <c r="K224" s="1212">
        <f>'Recycling - Case 3'!Z144</f>
        <v>2515.2748004049222</v>
      </c>
      <c r="L224" s="1211">
        <f t="shared" ref="L224:M239" si="76">L223</f>
        <v>0.5</v>
      </c>
      <c r="M224" s="1211">
        <f t="shared" si="76"/>
        <v>0.5</v>
      </c>
      <c r="N224" s="53">
        <f t="shared" si="66"/>
        <v>0</v>
      </c>
      <c r="O224" s="53">
        <f t="shared" si="66"/>
        <v>0</v>
      </c>
      <c r="P224" s="776">
        <f t="shared" si="67"/>
        <v>1.006109920161969</v>
      </c>
      <c r="Q224" s="519">
        <f t="shared" si="68"/>
        <v>5.0305496008098443</v>
      </c>
      <c r="R224" s="53"/>
      <c r="S224" s="1213">
        <f t="shared" si="69"/>
        <v>0.30183297604859066</v>
      </c>
      <c r="T224" s="1200">
        <f t="shared" si="70"/>
        <v>3.5811741064078007</v>
      </c>
      <c r="U224" s="1201">
        <f t="shared" si="70"/>
        <v>17.905870532039003</v>
      </c>
      <c r="V224" s="1201">
        <f t="shared" si="70"/>
        <v>0</v>
      </c>
      <c r="W224" s="1202">
        <f t="shared" si="70"/>
        <v>1.0743522319223402</v>
      </c>
    </row>
    <row r="225" spans="1:23">
      <c r="A225" s="123">
        <f>'Input data'!A125</f>
        <v>2025</v>
      </c>
      <c r="B225" s="1210">
        <f>'Recycling - Case 3'!AI105</f>
        <v>6437.6604656145792</v>
      </c>
      <c r="C225" s="1211">
        <f t="shared" si="75"/>
        <v>0.5</v>
      </c>
      <c r="D225" s="1211">
        <f t="shared" si="75"/>
        <v>0.5</v>
      </c>
      <c r="E225" s="53">
        <v>0</v>
      </c>
      <c r="F225" s="53">
        <v>0</v>
      </c>
      <c r="G225" s="776">
        <f t="shared" si="72"/>
        <v>2.5750641862458319</v>
      </c>
      <c r="H225" s="519">
        <f t="shared" si="73"/>
        <v>12.875320931229158</v>
      </c>
      <c r="I225" s="53"/>
      <c r="J225" s="776">
        <f t="shared" si="74"/>
        <v>0.77251925587374948</v>
      </c>
      <c r="K225" s="1212">
        <f>'Recycling - Case 3'!Z145</f>
        <v>2558.4947071487691</v>
      </c>
      <c r="L225" s="1211">
        <f t="shared" si="76"/>
        <v>0.5</v>
      </c>
      <c r="M225" s="1211">
        <f t="shared" si="76"/>
        <v>0.5</v>
      </c>
      <c r="N225" s="53">
        <f t="shared" si="66"/>
        <v>0</v>
      </c>
      <c r="O225" s="53">
        <f t="shared" si="66"/>
        <v>0</v>
      </c>
      <c r="P225" s="776">
        <f t="shared" si="67"/>
        <v>1.0233978828595076</v>
      </c>
      <c r="Q225" s="519">
        <f t="shared" si="68"/>
        <v>5.1169894142975378</v>
      </c>
      <c r="R225" s="53"/>
      <c r="S225" s="1213">
        <f t="shared" si="69"/>
        <v>0.30701936485785231</v>
      </c>
      <c r="T225" s="1200">
        <f t="shared" si="70"/>
        <v>3.5984620691053397</v>
      </c>
      <c r="U225" s="1201">
        <f t="shared" si="70"/>
        <v>17.992310345526697</v>
      </c>
      <c r="V225" s="1201">
        <f t="shared" si="70"/>
        <v>0</v>
      </c>
      <c r="W225" s="1202">
        <f t="shared" si="70"/>
        <v>1.0795386207316018</v>
      </c>
    </row>
    <row r="226" spans="1:23">
      <c r="A226" s="123">
        <f>'Input data'!A126</f>
        <v>2026</v>
      </c>
      <c r="B226" s="1210">
        <f>'Recycling - Case 3'!AI106</f>
        <v>6437.6604656145792</v>
      </c>
      <c r="C226" s="1211">
        <f t="shared" si="75"/>
        <v>0.5</v>
      </c>
      <c r="D226" s="1211">
        <f t="shared" si="75"/>
        <v>0.5</v>
      </c>
      <c r="E226" s="53">
        <v>0</v>
      </c>
      <c r="F226" s="53">
        <v>0</v>
      </c>
      <c r="G226" s="776">
        <f t="shared" si="72"/>
        <v>2.5750641862458319</v>
      </c>
      <c r="H226" s="519">
        <f t="shared" si="73"/>
        <v>12.875320931229158</v>
      </c>
      <c r="I226" s="53"/>
      <c r="J226" s="776">
        <f t="shared" si="74"/>
        <v>0.77251925587374948</v>
      </c>
      <c r="K226" s="1212">
        <f>'Recycling - Case 3'!Z146</f>
        <v>2602.8603334669356</v>
      </c>
      <c r="L226" s="1211">
        <f t="shared" si="76"/>
        <v>0.5</v>
      </c>
      <c r="M226" s="1211">
        <f t="shared" si="76"/>
        <v>0.5</v>
      </c>
      <c r="N226" s="53">
        <f t="shared" si="66"/>
        <v>0</v>
      </c>
      <c r="O226" s="53">
        <f t="shared" si="66"/>
        <v>0</v>
      </c>
      <c r="P226" s="776">
        <f t="shared" si="67"/>
        <v>1.0411441333867741</v>
      </c>
      <c r="Q226" s="519">
        <f t="shared" si="68"/>
        <v>5.2057206669338711</v>
      </c>
      <c r="R226" s="53"/>
      <c r="S226" s="1213">
        <f t="shared" si="69"/>
        <v>0.31234324001603225</v>
      </c>
      <c r="T226" s="1200">
        <f t="shared" si="70"/>
        <v>3.616208319632606</v>
      </c>
      <c r="U226" s="1201">
        <f t="shared" si="70"/>
        <v>18.081041598163029</v>
      </c>
      <c r="V226" s="1201">
        <f t="shared" si="70"/>
        <v>0</v>
      </c>
      <c r="W226" s="1202">
        <f t="shared" si="70"/>
        <v>1.0848624958897817</v>
      </c>
    </row>
    <row r="227" spans="1:23">
      <c r="A227" s="123">
        <f>'Input data'!A127</f>
        <v>2027</v>
      </c>
      <c r="B227" s="1210">
        <f>'Recycling - Case 3'!AI107</f>
        <v>6437.6604656145792</v>
      </c>
      <c r="C227" s="1211">
        <f t="shared" si="75"/>
        <v>0.5</v>
      </c>
      <c r="D227" s="1211">
        <f t="shared" si="75"/>
        <v>0.5</v>
      </c>
      <c r="E227" s="53">
        <v>0</v>
      </c>
      <c r="F227" s="53">
        <v>0</v>
      </c>
      <c r="G227" s="776">
        <f t="shared" si="72"/>
        <v>2.5750641862458319</v>
      </c>
      <c r="H227" s="519">
        <f t="shared" si="73"/>
        <v>12.875320931229158</v>
      </c>
      <c r="I227" s="53"/>
      <c r="J227" s="776">
        <f t="shared" si="74"/>
        <v>0.77251925587374948</v>
      </c>
      <c r="K227" s="1212">
        <f>'Recycling - Case 3'!Z147</f>
        <v>2646.1731704518984</v>
      </c>
      <c r="L227" s="1211">
        <f t="shared" si="76"/>
        <v>0.5</v>
      </c>
      <c r="M227" s="1211">
        <f t="shared" si="76"/>
        <v>0.5</v>
      </c>
      <c r="N227" s="53">
        <f t="shared" si="66"/>
        <v>0</v>
      </c>
      <c r="O227" s="53">
        <f t="shared" si="66"/>
        <v>0</v>
      </c>
      <c r="P227" s="776">
        <f t="shared" si="67"/>
        <v>1.0584692681807595</v>
      </c>
      <c r="Q227" s="519">
        <f t="shared" si="68"/>
        <v>5.292346340903797</v>
      </c>
      <c r="R227" s="53"/>
      <c r="S227" s="1213">
        <f t="shared" si="69"/>
        <v>0.31754078045422779</v>
      </c>
      <c r="T227" s="1200">
        <f t="shared" si="70"/>
        <v>3.6335334544265914</v>
      </c>
      <c r="U227" s="1201">
        <f t="shared" si="70"/>
        <v>18.167667272132956</v>
      </c>
      <c r="V227" s="1201">
        <f t="shared" si="70"/>
        <v>0</v>
      </c>
      <c r="W227" s="1202">
        <f t="shared" si="70"/>
        <v>1.0900600363279773</v>
      </c>
    </row>
    <row r="228" spans="1:23">
      <c r="A228" s="123">
        <f>'Input data'!A128</f>
        <v>2028</v>
      </c>
      <c r="B228" s="1210">
        <f>'Recycling - Case 3'!AI108</f>
        <v>6437.6604656145792</v>
      </c>
      <c r="C228" s="1211">
        <f t="shared" si="75"/>
        <v>0.5</v>
      </c>
      <c r="D228" s="1211">
        <f t="shared" si="75"/>
        <v>0.5</v>
      </c>
      <c r="E228" s="53">
        <v>0</v>
      </c>
      <c r="F228" s="53">
        <v>0</v>
      </c>
      <c r="G228" s="776">
        <f t="shared" si="72"/>
        <v>2.5750641862458319</v>
      </c>
      <c r="H228" s="519">
        <f t="shared" si="73"/>
        <v>12.875320931229158</v>
      </c>
      <c r="I228" s="53"/>
      <c r="J228" s="776">
        <f t="shared" si="74"/>
        <v>0.77251925587374948</v>
      </c>
      <c r="K228" s="1212">
        <f>'Recycling - Case 3'!Z148</f>
        <v>2691.530631344991</v>
      </c>
      <c r="L228" s="1211">
        <f t="shared" si="76"/>
        <v>0.5</v>
      </c>
      <c r="M228" s="1211">
        <f t="shared" si="76"/>
        <v>0.5</v>
      </c>
      <c r="N228" s="53">
        <f t="shared" si="66"/>
        <v>0</v>
      </c>
      <c r="O228" s="53">
        <f t="shared" si="66"/>
        <v>0</v>
      </c>
      <c r="P228" s="776">
        <f t="shared" si="67"/>
        <v>1.0766122525379964</v>
      </c>
      <c r="Q228" s="519">
        <f t="shared" si="68"/>
        <v>5.3830612626899823</v>
      </c>
      <c r="R228" s="53"/>
      <c r="S228" s="1213">
        <f t="shared" si="69"/>
        <v>0.32298367576139891</v>
      </c>
      <c r="T228" s="1200">
        <f t="shared" si="70"/>
        <v>3.6516764387838281</v>
      </c>
      <c r="U228" s="1201">
        <f t="shared" si="70"/>
        <v>18.25838219391914</v>
      </c>
      <c r="V228" s="1201">
        <f t="shared" si="70"/>
        <v>0</v>
      </c>
      <c r="W228" s="1202">
        <f t="shared" si="70"/>
        <v>1.0955029316351483</v>
      </c>
    </row>
    <row r="229" spans="1:23">
      <c r="A229" s="123">
        <f>'Input data'!A129</f>
        <v>2029</v>
      </c>
      <c r="B229" s="1210">
        <f>'Recycling - Case 3'!AI109</f>
        <v>6437.6604656145792</v>
      </c>
      <c r="C229" s="1211">
        <f t="shared" si="75"/>
        <v>0.5</v>
      </c>
      <c r="D229" s="1211">
        <f t="shared" si="75"/>
        <v>0.5</v>
      </c>
      <c r="E229" s="53">
        <v>0</v>
      </c>
      <c r="F229" s="53">
        <v>0</v>
      </c>
      <c r="G229" s="776">
        <f t="shared" si="72"/>
        <v>2.5750641862458319</v>
      </c>
      <c r="H229" s="519">
        <f t="shared" si="73"/>
        <v>12.875320931229158</v>
      </c>
      <c r="I229" s="53"/>
      <c r="J229" s="776">
        <f t="shared" si="74"/>
        <v>0.77251925587374948</v>
      </c>
      <c r="K229" s="1212">
        <f>'Recycling - Case 3'!Z149</f>
        <v>2734.9387524288591</v>
      </c>
      <c r="L229" s="1211">
        <f t="shared" si="76"/>
        <v>0.5</v>
      </c>
      <c r="M229" s="1211">
        <f t="shared" si="76"/>
        <v>0.5</v>
      </c>
      <c r="N229" s="53">
        <f t="shared" si="66"/>
        <v>0</v>
      </c>
      <c r="O229" s="53">
        <f t="shared" si="66"/>
        <v>0</v>
      </c>
      <c r="P229" s="776">
        <f t="shared" si="67"/>
        <v>1.0939755009715437</v>
      </c>
      <c r="Q229" s="519">
        <f t="shared" si="68"/>
        <v>5.4698775048577177</v>
      </c>
      <c r="R229" s="53"/>
      <c r="S229" s="1213">
        <f t="shared" si="69"/>
        <v>0.32819265029146305</v>
      </c>
      <c r="T229" s="1200">
        <f t="shared" si="70"/>
        <v>3.6690396872173756</v>
      </c>
      <c r="U229" s="1201">
        <f t="shared" si="70"/>
        <v>18.345198436086875</v>
      </c>
      <c r="V229" s="1201">
        <f t="shared" si="70"/>
        <v>0</v>
      </c>
      <c r="W229" s="1202">
        <f t="shared" si="70"/>
        <v>1.1007119061652126</v>
      </c>
    </row>
    <row r="230" spans="1:23">
      <c r="A230" s="123">
        <f>'Input data'!A130</f>
        <v>2030</v>
      </c>
      <c r="B230" s="1210">
        <f>'Recycling - Case 3'!AI110</f>
        <v>6437.6604656145792</v>
      </c>
      <c r="C230" s="1211">
        <f t="shared" si="75"/>
        <v>0.5</v>
      </c>
      <c r="D230" s="1211">
        <f t="shared" si="75"/>
        <v>0.5</v>
      </c>
      <c r="E230" s="53">
        <v>0</v>
      </c>
      <c r="F230" s="53">
        <v>0</v>
      </c>
      <c r="G230" s="776">
        <f t="shared" si="72"/>
        <v>2.5750641862458319</v>
      </c>
      <c r="H230" s="519">
        <f t="shared" si="73"/>
        <v>12.875320931229158</v>
      </c>
      <c r="I230" s="53"/>
      <c r="J230" s="776">
        <f t="shared" si="74"/>
        <v>0.77251925587374948</v>
      </c>
      <c r="K230" s="1212">
        <f>'Recycling - Case 3'!Z150</f>
        <v>2779.6537556460157</v>
      </c>
      <c r="L230" s="1211">
        <f t="shared" si="76"/>
        <v>0.5</v>
      </c>
      <c r="M230" s="1211">
        <f t="shared" si="76"/>
        <v>0.5</v>
      </c>
      <c r="N230" s="53">
        <f t="shared" si="66"/>
        <v>0</v>
      </c>
      <c r="O230" s="53">
        <f t="shared" si="66"/>
        <v>0</v>
      </c>
      <c r="P230" s="776">
        <f t="shared" si="67"/>
        <v>1.1118615022584062</v>
      </c>
      <c r="Q230" s="519">
        <f t="shared" si="68"/>
        <v>5.5593075112920314</v>
      </c>
      <c r="R230" s="53"/>
      <c r="S230" s="1213">
        <f t="shared" si="69"/>
        <v>0.33355845067752188</v>
      </c>
      <c r="T230" s="1200">
        <f t="shared" si="70"/>
        <v>3.6869256885042381</v>
      </c>
      <c r="U230" s="1201">
        <f t="shared" si="70"/>
        <v>18.434628442521188</v>
      </c>
      <c r="V230" s="1201">
        <f t="shared" si="70"/>
        <v>0</v>
      </c>
      <c r="W230" s="1202">
        <f t="shared" si="70"/>
        <v>1.1060777065512712</v>
      </c>
    </row>
    <row r="231" spans="1:23">
      <c r="A231" s="123">
        <f>'Input data'!A131</f>
        <v>2031</v>
      </c>
      <c r="B231" s="1210">
        <f>'Recycling - Case 3'!AI111</f>
        <v>6437.6604656145792</v>
      </c>
      <c r="C231" s="1211">
        <f t="shared" si="75"/>
        <v>0.5</v>
      </c>
      <c r="D231" s="1211">
        <f t="shared" si="75"/>
        <v>0.5</v>
      </c>
      <c r="E231" s="53">
        <v>0</v>
      </c>
      <c r="F231" s="53">
        <v>0</v>
      </c>
      <c r="G231" s="776">
        <f t="shared" si="72"/>
        <v>2.5750641862458319</v>
      </c>
      <c r="H231" s="519">
        <f t="shared" si="73"/>
        <v>12.875320931229158</v>
      </c>
      <c r="I231" s="53"/>
      <c r="J231" s="776">
        <f t="shared" si="74"/>
        <v>0.77251925587374948</v>
      </c>
      <c r="K231" s="1212">
        <f>'Recycling - Case 3'!Z151</f>
        <v>2832.1304900599107</v>
      </c>
      <c r="L231" s="1211">
        <f t="shared" si="76"/>
        <v>0.5</v>
      </c>
      <c r="M231" s="1211">
        <f t="shared" si="76"/>
        <v>0.5</v>
      </c>
      <c r="N231" s="53">
        <f t="shared" si="66"/>
        <v>0</v>
      </c>
      <c r="O231" s="53">
        <f t="shared" si="66"/>
        <v>0</v>
      </c>
      <c r="P231" s="776">
        <f t="shared" si="67"/>
        <v>1.1328521960239644</v>
      </c>
      <c r="Q231" s="519">
        <f t="shared" si="68"/>
        <v>5.6642609801198214</v>
      </c>
      <c r="R231" s="53"/>
      <c r="S231" s="1213">
        <f t="shared" si="69"/>
        <v>0.33985565880718926</v>
      </c>
      <c r="T231" s="1200">
        <f t="shared" si="70"/>
        <v>3.7079163822697963</v>
      </c>
      <c r="U231" s="1201">
        <f t="shared" si="70"/>
        <v>18.539581911348979</v>
      </c>
      <c r="V231" s="1201">
        <f t="shared" si="70"/>
        <v>0</v>
      </c>
      <c r="W231" s="1202">
        <f t="shared" si="70"/>
        <v>1.1123749146809387</v>
      </c>
    </row>
    <row r="232" spans="1:23">
      <c r="A232" s="123">
        <f>'Input data'!A132</f>
        <v>2032</v>
      </c>
      <c r="B232" s="1210">
        <f>'Recycling - Case 3'!AI112</f>
        <v>6437.6604656145792</v>
      </c>
      <c r="C232" s="1211">
        <f t="shared" si="75"/>
        <v>0.5</v>
      </c>
      <c r="D232" s="1211">
        <f t="shared" si="75"/>
        <v>0.5</v>
      </c>
      <c r="E232" s="53">
        <v>0</v>
      </c>
      <c r="F232" s="53">
        <v>0</v>
      </c>
      <c r="G232" s="776">
        <f t="shared" si="72"/>
        <v>2.5750641862458319</v>
      </c>
      <c r="H232" s="519">
        <f t="shared" si="73"/>
        <v>12.875320931229158</v>
      </c>
      <c r="I232" s="53"/>
      <c r="J232" s="776">
        <f t="shared" si="74"/>
        <v>0.77251925587374948</v>
      </c>
      <c r="K232" s="1212">
        <f>'Recycling - Case 3'!Z152</f>
        <v>2888.549661721353</v>
      </c>
      <c r="L232" s="1211">
        <f t="shared" si="76"/>
        <v>0.5</v>
      </c>
      <c r="M232" s="1211">
        <f t="shared" si="76"/>
        <v>0.5</v>
      </c>
      <c r="N232" s="53">
        <f t="shared" si="66"/>
        <v>0</v>
      </c>
      <c r="O232" s="53">
        <f t="shared" si="66"/>
        <v>0</v>
      </c>
      <c r="P232" s="776">
        <f t="shared" si="67"/>
        <v>1.1554198646885414</v>
      </c>
      <c r="Q232" s="519">
        <f t="shared" si="68"/>
        <v>5.7770993234427062</v>
      </c>
      <c r="R232" s="53"/>
      <c r="S232" s="1213">
        <f t="shared" si="69"/>
        <v>0.34662595940656232</v>
      </c>
      <c r="T232" s="1200">
        <f t="shared" si="70"/>
        <v>3.7304840509343733</v>
      </c>
      <c r="U232" s="1201">
        <f t="shared" si="70"/>
        <v>18.652420254671863</v>
      </c>
      <c r="V232" s="1201">
        <f t="shared" si="70"/>
        <v>0</v>
      </c>
      <c r="W232" s="1202">
        <f t="shared" si="70"/>
        <v>1.1191452152803119</v>
      </c>
    </row>
    <row r="233" spans="1:23">
      <c r="A233" s="123">
        <f>'Input data'!A133</f>
        <v>2033</v>
      </c>
      <c r="B233" s="1210">
        <f>'Recycling - Case 3'!AI113</f>
        <v>6437.6604656145792</v>
      </c>
      <c r="C233" s="1211">
        <f t="shared" si="75"/>
        <v>0.5</v>
      </c>
      <c r="D233" s="1211">
        <f t="shared" si="75"/>
        <v>0.5</v>
      </c>
      <c r="E233" s="53">
        <v>0</v>
      </c>
      <c r="F233" s="53">
        <v>0</v>
      </c>
      <c r="G233" s="776">
        <f t="shared" si="72"/>
        <v>2.5750641862458319</v>
      </c>
      <c r="H233" s="519">
        <f t="shared" si="73"/>
        <v>12.875320931229158</v>
      </c>
      <c r="I233" s="53"/>
      <c r="J233" s="776">
        <f t="shared" si="74"/>
        <v>0.77251925587374948</v>
      </c>
      <c r="K233" s="1212">
        <f>'Recycling - Case 3'!Z153</f>
        <v>2946.8761945712818</v>
      </c>
      <c r="L233" s="1211">
        <f t="shared" si="76"/>
        <v>0.5</v>
      </c>
      <c r="M233" s="1211">
        <f t="shared" si="76"/>
        <v>0.5</v>
      </c>
      <c r="N233" s="53">
        <f t="shared" si="66"/>
        <v>0</v>
      </c>
      <c r="O233" s="53">
        <f t="shared" si="66"/>
        <v>0</v>
      </c>
      <c r="P233" s="776">
        <f t="shared" si="67"/>
        <v>1.1787504778285127</v>
      </c>
      <c r="Q233" s="519">
        <f t="shared" si="68"/>
        <v>5.8937523891425636</v>
      </c>
      <c r="R233" s="53"/>
      <c r="S233" s="1213">
        <f t="shared" si="69"/>
        <v>0.35362514334855383</v>
      </c>
      <c r="T233" s="1200">
        <f t="shared" si="70"/>
        <v>3.7538146640743446</v>
      </c>
      <c r="U233" s="1201">
        <f t="shared" si="70"/>
        <v>18.769073320371721</v>
      </c>
      <c r="V233" s="1201">
        <f t="shared" si="70"/>
        <v>0</v>
      </c>
      <c r="W233" s="1202">
        <f t="shared" si="70"/>
        <v>1.1261443992223032</v>
      </c>
    </row>
    <row r="234" spans="1:23">
      <c r="A234" s="123">
        <f>'Input data'!A134</f>
        <v>2034</v>
      </c>
      <c r="B234" s="1210">
        <f>'Recycling - Case 3'!AI114</f>
        <v>6437.6604656145792</v>
      </c>
      <c r="C234" s="1211">
        <f t="shared" si="75"/>
        <v>0.5</v>
      </c>
      <c r="D234" s="1211">
        <f t="shared" si="75"/>
        <v>0.5</v>
      </c>
      <c r="E234" s="53">
        <v>0</v>
      </c>
      <c r="F234" s="53">
        <v>0</v>
      </c>
      <c r="G234" s="776">
        <f t="shared" si="72"/>
        <v>2.5750641862458319</v>
      </c>
      <c r="H234" s="519">
        <f t="shared" si="73"/>
        <v>12.875320931229158</v>
      </c>
      <c r="I234" s="53"/>
      <c r="J234" s="776">
        <f t="shared" si="74"/>
        <v>0.77251925587374948</v>
      </c>
      <c r="K234" s="1212">
        <f>'Recycling - Case 3'!Z154</f>
        <v>2959.9785922623614</v>
      </c>
      <c r="L234" s="1211">
        <f t="shared" si="76"/>
        <v>0.5</v>
      </c>
      <c r="M234" s="1211">
        <f t="shared" si="76"/>
        <v>0.5</v>
      </c>
      <c r="N234" s="53">
        <f t="shared" ref="N234:O249" si="77">N96</f>
        <v>0</v>
      </c>
      <c r="O234" s="53">
        <f t="shared" si="77"/>
        <v>0</v>
      </c>
      <c r="P234" s="776">
        <f t="shared" si="67"/>
        <v>1.1839914369049445</v>
      </c>
      <c r="Q234" s="519">
        <f t="shared" si="68"/>
        <v>5.9199571845247227</v>
      </c>
      <c r="R234" s="53"/>
      <c r="S234" s="1213">
        <f t="shared" si="69"/>
        <v>0.35519743107148338</v>
      </c>
      <c r="T234" s="1200">
        <f t="shared" si="70"/>
        <v>3.7590556231507763</v>
      </c>
      <c r="U234" s="1201">
        <f t="shared" si="70"/>
        <v>18.795278115753881</v>
      </c>
      <c r="V234" s="1201">
        <f t="shared" si="70"/>
        <v>0</v>
      </c>
      <c r="W234" s="1202">
        <f t="shared" si="70"/>
        <v>1.1277166869452329</v>
      </c>
    </row>
    <row r="235" spans="1:23">
      <c r="A235" s="123">
        <f>'Input data'!A135</f>
        <v>2035</v>
      </c>
      <c r="B235" s="1210">
        <f>'Recycling - Case 3'!AI115</f>
        <v>6437.6604656145792</v>
      </c>
      <c r="C235" s="1211">
        <f t="shared" si="75"/>
        <v>0.5</v>
      </c>
      <c r="D235" s="1211">
        <f t="shared" si="75"/>
        <v>0.5</v>
      </c>
      <c r="E235" s="53">
        <v>0</v>
      </c>
      <c r="F235" s="53">
        <v>0</v>
      </c>
      <c r="G235" s="776">
        <f t="shared" si="72"/>
        <v>2.5750641862458319</v>
      </c>
      <c r="H235" s="519">
        <f t="shared" si="73"/>
        <v>12.875320931229158</v>
      </c>
      <c r="I235" s="53"/>
      <c r="J235" s="776">
        <f t="shared" si="74"/>
        <v>0.77251925587374948</v>
      </c>
      <c r="K235" s="1212">
        <f>'Recycling - Case 3'!Z155</f>
        <v>751.91700000000026</v>
      </c>
      <c r="L235" s="1211">
        <f t="shared" si="76"/>
        <v>0.5</v>
      </c>
      <c r="M235" s="1211">
        <f t="shared" si="76"/>
        <v>0.5</v>
      </c>
      <c r="N235" s="53">
        <f t="shared" si="77"/>
        <v>0</v>
      </c>
      <c r="O235" s="53">
        <f t="shared" si="77"/>
        <v>0</v>
      </c>
      <c r="P235" s="776">
        <f t="shared" si="67"/>
        <v>0.30076680000000011</v>
      </c>
      <c r="Q235" s="519">
        <f t="shared" si="68"/>
        <v>1.5038340000000006</v>
      </c>
      <c r="R235" s="53"/>
      <c r="S235" s="1213">
        <f t="shared" si="69"/>
        <v>9.0230040000000025E-2</v>
      </c>
      <c r="T235" s="1200">
        <f t="shared" si="70"/>
        <v>2.8758309862458322</v>
      </c>
      <c r="U235" s="1201">
        <f t="shared" si="70"/>
        <v>14.379154931229159</v>
      </c>
      <c r="V235" s="1201">
        <f t="shared" si="70"/>
        <v>0</v>
      </c>
      <c r="W235" s="1202">
        <f t="shared" si="70"/>
        <v>0.86274929587374949</v>
      </c>
    </row>
    <row r="236" spans="1:23">
      <c r="A236" s="123">
        <f>'Input data'!A136</f>
        <v>2036</v>
      </c>
      <c r="B236" s="1210">
        <f>'Recycling - Case 3'!AI116</f>
        <v>6437.6604656145792</v>
      </c>
      <c r="C236" s="1211">
        <f t="shared" si="75"/>
        <v>0.5</v>
      </c>
      <c r="D236" s="1211">
        <f t="shared" si="75"/>
        <v>0.5</v>
      </c>
      <c r="E236" s="53">
        <v>0</v>
      </c>
      <c r="F236" s="53">
        <v>0</v>
      </c>
      <c r="G236" s="776">
        <f t="shared" si="72"/>
        <v>2.5750641862458319</v>
      </c>
      <c r="H236" s="519">
        <f t="shared" si="73"/>
        <v>12.875320931229158</v>
      </c>
      <c r="I236" s="53"/>
      <c r="J236" s="776">
        <f t="shared" si="74"/>
        <v>0.77251925587374948</v>
      </c>
      <c r="K236" s="1212">
        <f>'Recycling - Case 3'!Z156</f>
        <v>751.91700000000026</v>
      </c>
      <c r="L236" s="1211">
        <f t="shared" si="76"/>
        <v>0.5</v>
      </c>
      <c r="M236" s="1211">
        <f t="shared" si="76"/>
        <v>0.5</v>
      </c>
      <c r="N236" s="53">
        <f t="shared" si="77"/>
        <v>0</v>
      </c>
      <c r="O236" s="53">
        <f t="shared" si="77"/>
        <v>0</v>
      </c>
      <c r="P236" s="776">
        <f t="shared" si="67"/>
        <v>0.30076680000000011</v>
      </c>
      <c r="Q236" s="519">
        <f t="shared" si="68"/>
        <v>1.5038340000000006</v>
      </c>
      <c r="R236" s="53"/>
      <c r="S236" s="1213">
        <f t="shared" si="69"/>
        <v>9.0230040000000025E-2</v>
      </c>
      <c r="T236" s="1200">
        <f t="shared" si="70"/>
        <v>2.8758309862458322</v>
      </c>
      <c r="U236" s="1201">
        <f t="shared" si="70"/>
        <v>14.379154931229159</v>
      </c>
      <c r="V236" s="1201">
        <f t="shared" si="70"/>
        <v>0</v>
      </c>
      <c r="W236" s="1202">
        <f t="shared" si="70"/>
        <v>0.86274929587374949</v>
      </c>
    </row>
    <row r="237" spans="1:23">
      <c r="A237" s="123">
        <f>'Input data'!A137</f>
        <v>2037</v>
      </c>
      <c r="B237" s="1210">
        <f>'Recycling - Case 3'!AI117</f>
        <v>6437.6604656145792</v>
      </c>
      <c r="C237" s="1211">
        <f t="shared" si="75"/>
        <v>0.5</v>
      </c>
      <c r="D237" s="1211">
        <f t="shared" si="75"/>
        <v>0.5</v>
      </c>
      <c r="E237" s="53">
        <v>0</v>
      </c>
      <c r="F237" s="53">
        <v>0</v>
      </c>
      <c r="G237" s="776">
        <f t="shared" si="72"/>
        <v>2.5750641862458319</v>
      </c>
      <c r="H237" s="519">
        <f t="shared" si="73"/>
        <v>12.875320931229158</v>
      </c>
      <c r="I237" s="53"/>
      <c r="J237" s="776">
        <f t="shared" si="74"/>
        <v>0.77251925587374948</v>
      </c>
      <c r="K237" s="1212">
        <f>'Recycling - Case 3'!Z157</f>
        <v>751.91700000000026</v>
      </c>
      <c r="L237" s="1211">
        <f t="shared" si="76"/>
        <v>0.5</v>
      </c>
      <c r="M237" s="1211">
        <f t="shared" si="76"/>
        <v>0.5</v>
      </c>
      <c r="N237" s="53">
        <f t="shared" si="77"/>
        <v>0</v>
      </c>
      <c r="O237" s="53">
        <f t="shared" si="77"/>
        <v>0</v>
      </c>
      <c r="P237" s="776">
        <f t="shared" si="67"/>
        <v>0.30076680000000011</v>
      </c>
      <c r="Q237" s="519">
        <f t="shared" si="68"/>
        <v>1.5038340000000006</v>
      </c>
      <c r="R237" s="53"/>
      <c r="S237" s="1213">
        <f t="shared" si="69"/>
        <v>9.0230040000000025E-2</v>
      </c>
      <c r="T237" s="1200">
        <f t="shared" si="70"/>
        <v>2.8758309862458322</v>
      </c>
      <c r="U237" s="1201">
        <f t="shared" si="70"/>
        <v>14.379154931229159</v>
      </c>
      <c r="V237" s="1201">
        <f t="shared" si="70"/>
        <v>0</v>
      </c>
      <c r="W237" s="1202">
        <f t="shared" si="70"/>
        <v>0.86274929587374949</v>
      </c>
    </row>
    <row r="238" spans="1:23">
      <c r="A238" s="123">
        <f>'Input data'!A138</f>
        <v>2038</v>
      </c>
      <c r="B238" s="1210">
        <f>'Recycling - Case 3'!AI118</f>
        <v>6437.6604656145792</v>
      </c>
      <c r="C238" s="1211">
        <f t="shared" si="75"/>
        <v>0.5</v>
      </c>
      <c r="D238" s="1211">
        <f t="shared" si="75"/>
        <v>0.5</v>
      </c>
      <c r="E238" s="53">
        <v>0</v>
      </c>
      <c r="F238" s="53">
        <v>0</v>
      </c>
      <c r="G238" s="776">
        <f t="shared" si="72"/>
        <v>2.5750641862458319</v>
      </c>
      <c r="H238" s="519">
        <f t="shared" si="73"/>
        <v>12.875320931229158</v>
      </c>
      <c r="I238" s="53"/>
      <c r="J238" s="776">
        <f t="shared" si="74"/>
        <v>0.77251925587374948</v>
      </c>
      <c r="K238" s="1212">
        <f>'Recycling - Case 3'!Z158</f>
        <v>751.91700000000026</v>
      </c>
      <c r="L238" s="1211">
        <f t="shared" si="76"/>
        <v>0.5</v>
      </c>
      <c r="M238" s="1211">
        <f t="shared" si="76"/>
        <v>0.5</v>
      </c>
      <c r="N238" s="53">
        <f t="shared" si="77"/>
        <v>0</v>
      </c>
      <c r="O238" s="53">
        <f t="shared" si="77"/>
        <v>0</v>
      </c>
      <c r="P238" s="776">
        <f t="shared" si="67"/>
        <v>0.30076680000000011</v>
      </c>
      <c r="Q238" s="519">
        <f t="shared" si="68"/>
        <v>1.5038340000000006</v>
      </c>
      <c r="R238" s="53"/>
      <c r="S238" s="1213">
        <f t="shared" si="69"/>
        <v>9.0230040000000025E-2</v>
      </c>
      <c r="T238" s="1200">
        <f t="shared" si="70"/>
        <v>2.8758309862458322</v>
      </c>
      <c r="U238" s="1201">
        <f t="shared" si="70"/>
        <v>14.379154931229159</v>
      </c>
      <c r="V238" s="1201">
        <f t="shared" si="70"/>
        <v>0</v>
      </c>
      <c r="W238" s="1202">
        <f t="shared" si="70"/>
        <v>0.86274929587374949</v>
      </c>
    </row>
    <row r="239" spans="1:23">
      <c r="A239" s="123">
        <f>'Input data'!A139</f>
        <v>2039</v>
      </c>
      <c r="B239" s="1210">
        <f>'Recycling - Case 3'!AI119</f>
        <v>6437.6604656145792</v>
      </c>
      <c r="C239" s="1211">
        <f t="shared" si="75"/>
        <v>0.5</v>
      </c>
      <c r="D239" s="1211">
        <f t="shared" si="75"/>
        <v>0.5</v>
      </c>
      <c r="E239" s="53">
        <v>0</v>
      </c>
      <c r="F239" s="53">
        <v>0</v>
      </c>
      <c r="G239" s="776">
        <f t="shared" si="72"/>
        <v>2.5750641862458319</v>
      </c>
      <c r="H239" s="519">
        <f t="shared" si="73"/>
        <v>12.875320931229158</v>
      </c>
      <c r="I239" s="53"/>
      <c r="J239" s="776">
        <f t="shared" si="74"/>
        <v>0.77251925587374948</v>
      </c>
      <c r="K239" s="1212">
        <f>'Recycling - Case 3'!Z159</f>
        <v>751.91700000000026</v>
      </c>
      <c r="L239" s="1211">
        <f t="shared" si="76"/>
        <v>0.5</v>
      </c>
      <c r="M239" s="1211">
        <f t="shared" si="76"/>
        <v>0.5</v>
      </c>
      <c r="N239" s="53">
        <f t="shared" si="77"/>
        <v>0</v>
      </c>
      <c r="O239" s="53">
        <f t="shared" si="77"/>
        <v>0</v>
      </c>
      <c r="P239" s="776">
        <f t="shared" si="67"/>
        <v>0.30076680000000011</v>
      </c>
      <c r="Q239" s="519">
        <f t="shared" si="68"/>
        <v>1.5038340000000006</v>
      </c>
      <c r="R239" s="53"/>
      <c r="S239" s="1213">
        <f t="shared" si="69"/>
        <v>9.0230040000000025E-2</v>
      </c>
      <c r="T239" s="1200">
        <f t="shared" si="70"/>
        <v>2.8758309862458322</v>
      </c>
      <c r="U239" s="1201">
        <f t="shared" si="70"/>
        <v>14.379154931229159</v>
      </c>
      <c r="V239" s="1201">
        <f t="shared" si="70"/>
        <v>0</v>
      </c>
      <c r="W239" s="1202">
        <f t="shared" si="70"/>
        <v>0.86274929587374949</v>
      </c>
    </row>
    <row r="240" spans="1:23">
      <c r="A240" s="123">
        <f>'Input data'!A140</f>
        <v>2040</v>
      </c>
      <c r="B240" s="1210">
        <f>'Recycling - Case 3'!AI120</f>
        <v>6437.6604656145792</v>
      </c>
      <c r="C240" s="1211">
        <f t="shared" ref="C240:D250" si="78">C239</f>
        <v>0.5</v>
      </c>
      <c r="D240" s="1211">
        <f t="shared" si="78"/>
        <v>0.5</v>
      </c>
      <c r="E240" s="53">
        <v>0</v>
      </c>
      <c r="F240" s="53">
        <v>0</v>
      </c>
      <c r="G240" s="776">
        <f t="shared" si="72"/>
        <v>2.5750641862458319</v>
      </c>
      <c r="H240" s="519">
        <f t="shared" si="73"/>
        <v>12.875320931229158</v>
      </c>
      <c r="I240" s="53"/>
      <c r="J240" s="776">
        <f t="shared" si="74"/>
        <v>0.77251925587374948</v>
      </c>
      <c r="K240" s="1212">
        <f>'Recycling - Case 3'!Z160</f>
        <v>751.91700000000026</v>
      </c>
      <c r="L240" s="1211">
        <f t="shared" ref="L240:M250" si="79">L239</f>
        <v>0.5</v>
      </c>
      <c r="M240" s="1211">
        <f t="shared" si="79"/>
        <v>0.5</v>
      </c>
      <c r="N240" s="53">
        <f t="shared" si="77"/>
        <v>0</v>
      </c>
      <c r="O240" s="53">
        <f t="shared" si="77"/>
        <v>0</v>
      </c>
      <c r="P240" s="776">
        <f t="shared" si="67"/>
        <v>0.30076680000000011</v>
      </c>
      <c r="Q240" s="519">
        <f t="shared" si="68"/>
        <v>1.5038340000000006</v>
      </c>
      <c r="R240" s="53"/>
      <c r="S240" s="1213">
        <f t="shared" si="69"/>
        <v>9.0230040000000025E-2</v>
      </c>
      <c r="T240" s="1200">
        <f t="shared" si="70"/>
        <v>2.8758309862458322</v>
      </c>
      <c r="U240" s="1201">
        <f t="shared" si="70"/>
        <v>14.379154931229159</v>
      </c>
      <c r="V240" s="1201">
        <f t="shared" si="70"/>
        <v>0</v>
      </c>
      <c r="W240" s="1202">
        <f t="shared" si="70"/>
        <v>0.86274929587374949</v>
      </c>
    </row>
    <row r="241" spans="1:23">
      <c r="A241" s="123">
        <f>'Input data'!A141</f>
        <v>2041</v>
      </c>
      <c r="B241" s="1210">
        <f>'Recycling - Case 3'!AI121</f>
        <v>6437.6604656145792</v>
      </c>
      <c r="C241" s="1211">
        <f t="shared" si="78"/>
        <v>0.5</v>
      </c>
      <c r="D241" s="1211">
        <f t="shared" si="78"/>
        <v>0.5</v>
      </c>
      <c r="E241" s="53">
        <v>0</v>
      </c>
      <c r="F241" s="53">
        <v>0</v>
      </c>
      <c r="G241" s="776">
        <f t="shared" si="72"/>
        <v>2.5750641862458319</v>
      </c>
      <c r="H241" s="519">
        <f t="shared" si="73"/>
        <v>12.875320931229158</v>
      </c>
      <c r="I241" s="53"/>
      <c r="J241" s="776">
        <f t="shared" si="74"/>
        <v>0.77251925587374948</v>
      </c>
      <c r="K241" s="1212">
        <f>'Recycling - Case 3'!Z161</f>
        <v>751.91700000000026</v>
      </c>
      <c r="L241" s="1211">
        <f t="shared" si="79"/>
        <v>0.5</v>
      </c>
      <c r="M241" s="1211">
        <f t="shared" si="79"/>
        <v>0.5</v>
      </c>
      <c r="N241" s="53">
        <f t="shared" si="77"/>
        <v>0</v>
      </c>
      <c r="O241" s="53">
        <f t="shared" si="77"/>
        <v>0</v>
      </c>
      <c r="P241" s="776">
        <f t="shared" si="67"/>
        <v>0.30076680000000011</v>
      </c>
      <c r="Q241" s="519">
        <f t="shared" si="68"/>
        <v>1.5038340000000006</v>
      </c>
      <c r="R241" s="53"/>
      <c r="S241" s="1213">
        <f t="shared" si="69"/>
        <v>9.0230040000000025E-2</v>
      </c>
      <c r="T241" s="1200">
        <f t="shared" si="70"/>
        <v>2.8758309862458322</v>
      </c>
      <c r="U241" s="1201">
        <f t="shared" si="70"/>
        <v>14.379154931229159</v>
      </c>
      <c r="V241" s="1201">
        <f t="shared" si="70"/>
        <v>0</v>
      </c>
      <c r="W241" s="1202">
        <f t="shared" si="70"/>
        <v>0.86274929587374949</v>
      </c>
    </row>
    <row r="242" spans="1:23">
      <c r="A242" s="123">
        <f>'Input data'!A142</f>
        <v>2042</v>
      </c>
      <c r="B242" s="1210">
        <f>'Recycling - Case 3'!AI122</f>
        <v>6437.6604656145792</v>
      </c>
      <c r="C242" s="1211">
        <f t="shared" si="78"/>
        <v>0.5</v>
      </c>
      <c r="D242" s="1211">
        <f t="shared" si="78"/>
        <v>0.5</v>
      </c>
      <c r="E242" s="53">
        <v>0</v>
      </c>
      <c r="F242" s="53">
        <v>0</v>
      </c>
      <c r="G242" s="776">
        <f t="shared" si="72"/>
        <v>2.5750641862458319</v>
      </c>
      <c r="H242" s="519">
        <f t="shared" si="73"/>
        <v>12.875320931229158</v>
      </c>
      <c r="I242" s="53"/>
      <c r="J242" s="776">
        <f t="shared" si="74"/>
        <v>0.77251925587374948</v>
      </c>
      <c r="K242" s="1212">
        <f>'Recycling - Case 3'!Z162</f>
        <v>751.91700000000026</v>
      </c>
      <c r="L242" s="1211">
        <f t="shared" si="79"/>
        <v>0.5</v>
      </c>
      <c r="M242" s="1211">
        <f t="shared" si="79"/>
        <v>0.5</v>
      </c>
      <c r="N242" s="53">
        <f t="shared" si="77"/>
        <v>0</v>
      </c>
      <c r="O242" s="53">
        <f t="shared" si="77"/>
        <v>0</v>
      </c>
      <c r="P242" s="776">
        <f t="shared" si="67"/>
        <v>0.30076680000000011</v>
      </c>
      <c r="Q242" s="519">
        <f t="shared" si="68"/>
        <v>1.5038340000000006</v>
      </c>
      <c r="R242" s="53"/>
      <c r="S242" s="1213">
        <f t="shared" si="69"/>
        <v>9.0230040000000025E-2</v>
      </c>
      <c r="T242" s="1200">
        <f t="shared" si="70"/>
        <v>2.8758309862458322</v>
      </c>
      <c r="U242" s="1201">
        <f t="shared" si="70"/>
        <v>14.379154931229159</v>
      </c>
      <c r="V242" s="1201">
        <f t="shared" si="70"/>
        <v>0</v>
      </c>
      <c r="W242" s="1202">
        <f t="shared" si="70"/>
        <v>0.86274929587374949</v>
      </c>
    </row>
    <row r="243" spans="1:23">
      <c r="A243" s="123">
        <f>'Input data'!A143</f>
        <v>2043</v>
      </c>
      <c r="B243" s="1210">
        <f>'Recycling - Case 3'!AI123</f>
        <v>6437.6604656145792</v>
      </c>
      <c r="C243" s="1211">
        <f t="shared" si="78"/>
        <v>0.5</v>
      </c>
      <c r="D243" s="1211">
        <f t="shared" si="78"/>
        <v>0.5</v>
      </c>
      <c r="E243" s="53">
        <v>0</v>
      </c>
      <c r="F243" s="53">
        <v>0</v>
      </c>
      <c r="G243" s="776">
        <f t="shared" si="72"/>
        <v>2.5750641862458319</v>
      </c>
      <c r="H243" s="519">
        <f t="shared" si="73"/>
        <v>12.875320931229158</v>
      </c>
      <c r="I243" s="53"/>
      <c r="J243" s="776">
        <f t="shared" si="74"/>
        <v>0.77251925587374948</v>
      </c>
      <c r="K243" s="1212">
        <f>'Recycling - Case 3'!Z163</f>
        <v>751.91700000000026</v>
      </c>
      <c r="L243" s="1211">
        <f t="shared" si="79"/>
        <v>0.5</v>
      </c>
      <c r="M243" s="1211">
        <f t="shared" si="79"/>
        <v>0.5</v>
      </c>
      <c r="N243" s="53">
        <f t="shared" si="77"/>
        <v>0</v>
      </c>
      <c r="O243" s="53">
        <f t="shared" si="77"/>
        <v>0</v>
      </c>
      <c r="P243" s="776">
        <f t="shared" si="67"/>
        <v>0.30076680000000011</v>
      </c>
      <c r="Q243" s="519">
        <f t="shared" si="68"/>
        <v>1.5038340000000006</v>
      </c>
      <c r="R243" s="53"/>
      <c r="S243" s="1213">
        <f t="shared" si="69"/>
        <v>9.0230040000000025E-2</v>
      </c>
      <c r="T243" s="1200">
        <f t="shared" si="70"/>
        <v>2.8758309862458322</v>
      </c>
      <c r="U243" s="1201">
        <f t="shared" si="70"/>
        <v>14.379154931229159</v>
      </c>
      <c r="V243" s="1201">
        <f t="shared" si="70"/>
        <v>0</v>
      </c>
      <c r="W243" s="1202">
        <f t="shared" si="70"/>
        <v>0.86274929587374949</v>
      </c>
    </row>
    <row r="244" spans="1:23">
      <c r="A244" s="123">
        <f>'Input data'!A144</f>
        <v>2044</v>
      </c>
      <c r="B244" s="1210">
        <f>'Recycling - Case 3'!AI124</f>
        <v>6437.6604656145792</v>
      </c>
      <c r="C244" s="1211">
        <f t="shared" si="78"/>
        <v>0.5</v>
      </c>
      <c r="D244" s="1211">
        <f t="shared" si="78"/>
        <v>0.5</v>
      </c>
      <c r="E244" s="53">
        <v>0</v>
      </c>
      <c r="F244" s="53">
        <v>0</v>
      </c>
      <c r="G244" s="776">
        <f t="shared" si="72"/>
        <v>2.5750641862458319</v>
      </c>
      <c r="H244" s="519">
        <f t="shared" si="73"/>
        <v>12.875320931229158</v>
      </c>
      <c r="I244" s="53"/>
      <c r="J244" s="776">
        <f t="shared" si="74"/>
        <v>0.77251925587374948</v>
      </c>
      <c r="K244" s="1212">
        <f>'Recycling - Case 3'!Z164</f>
        <v>751.91700000000026</v>
      </c>
      <c r="L244" s="1211">
        <f t="shared" si="79"/>
        <v>0.5</v>
      </c>
      <c r="M244" s="1211">
        <f t="shared" si="79"/>
        <v>0.5</v>
      </c>
      <c r="N244" s="53">
        <f t="shared" si="77"/>
        <v>0</v>
      </c>
      <c r="O244" s="53">
        <f t="shared" si="77"/>
        <v>0</v>
      </c>
      <c r="P244" s="776">
        <f t="shared" si="67"/>
        <v>0.30076680000000011</v>
      </c>
      <c r="Q244" s="519">
        <f t="shared" si="68"/>
        <v>1.5038340000000006</v>
      </c>
      <c r="R244" s="53"/>
      <c r="S244" s="1213">
        <f t="shared" si="69"/>
        <v>9.0230040000000025E-2</v>
      </c>
      <c r="T244" s="1200">
        <f t="shared" si="70"/>
        <v>2.8758309862458322</v>
      </c>
      <c r="U244" s="1201">
        <f t="shared" si="70"/>
        <v>14.379154931229159</v>
      </c>
      <c r="V244" s="1201">
        <f t="shared" si="70"/>
        <v>0</v>
      </c>
      <c r="W244" s="1202">
        <f t="shared" si="70"/>
        <v>0.86274929587374949</v>
      </c>
    </row>
    <row r="245" spans="1:23">
      <c r="A245" s="123">
        <f>'Input data'!A145</f>
        <v>2045</v>
      </c>
      <c r="B245" s="1210">
        <f>'Recycling - Case 3'!AI125</f>
        <v>6437.6604656145792</v>
      </c>
      <c r="C245" s="1211">
        <f t="shared" si="78"/>
        <v>0.5</v>
      </c>
      <c r="D245" s="1211">
        <f t="shared" si="78"/>
        <v>0.5</v>
      </c>
      <c r="E245" s="53">
        <v>0</v>
      </c>
      <c r="F245" s="53">
        <v>0</v>
      </c>
      <c r="G245" s="776">
        <f t="shared" si="72"/>
        <v>2.5750641862458319</v>
      </c>
      <c r="H245" s="519">
        <f t="shared" si="73"/>
        <v>12.875320931229158</v>
      </c>
      <c r="I245" s="53"/>
      <c r="J245" s="776">
        <f t="shared" si="74"/>
        <v>0.77251925587374948</v>
      </c>
      <c r="K245" s="1212">
        <f>'Recycling - Case 3'!Z165</f>
        <v>751.91700000000026</v>
      </c>
      <c r="L245" s="1211">
        <f t="shared" si="79"/>
        <v>0.5</v>
      </c>
      <c r="M245" s="1211">
        <f t="shared" si="79"/>
        <v>0.5</v>
      </c>
      <c r="N245" s="53">
        <f t="shared" si="77"/>
        <v>0</v>
      </c>
      <c r="O245" s="53">
        <f t="shared" si="77"/>
        <v>0</v>
      </c>
      <c r="P245" s="776">
        <f t="shared" si="67"/>
        <v>0.30076680000000011</v>
      </c>
      <c r="Q245" s="519">
        <f t="shared" si="68"/>
        <v>1.5038340000000006</v>
      </c>
      <c r="R245" s="53"/>
      <c r="S245" s="1213">
        <f t="shared" si="69"/>
        <v>9.0230040000000025E-2</v>
      </c>
      <c r="T245" s="1200">
        <f t="shared" si="70"/>
        <v>2.8758309862458322</v>
      </c>
      <c r="U245" s="1201">
        <f t="shared" si="70"/>
        <v>14.379154931229159</v>
      </c>
      <c r="V245" s="1201">
        <f t="shared" si="70"/>
        <v>0</v>
      </c>
      <c r="W245" s="1202">
        <f t="shared" si="70"/>
        <v>0.86274929587374949</v>
      </c>
    </row>
    <row r="246" spans="1:23">
      <c r="A246" s="123">
        <f>'Input data'!A146</f>
        <v>2046</v>
      </c>
      <c r="B246" s="1210">
        <f>'Recycling - Case 3'!AI126</f>
        <v>6437.6604656145792</v>
      </c>
      <c r="C246" s="1211">
        <f t="shared" si="78"/>
        <v>0.5</v>
      </c>
      <c r="D246" s="1211">
        <f t="shared" si="78"/>
        <v>0.5</v>
      </c>
      <c r="E246" s="53">
        <v>0</v>
      </c>
      <c r="F246" s="53">
        <v>0</v>
      </c>
      <c r="G246" s="776">
        <f t="shared" si="72"/>
        <v>2.5750641862458319</v>
      </c>
      <c r="H246" s="519">
        <f t="shared" si="73"/>
        <v>12.875320931229158</v>
      </c>
      <c r="I246" s="53"/>
      <c r="J246" s="776">
        <f t="shared" si="74"/>
        <v>0.77251925587374948</v>
      </c>
      <c r="K246" s="1212">
        <f>'Recycling - Case 3'!Z166</f>
        <v>751.91700000000026</v>
      </c>
      <c r="L246" s="1211">
        <f t="shared" si="79"/>
        <v>0.5</v>
      </c>
      <c r="M246" s="1211">
        <f t="shared" si="79"/>
        <v>0.5</v>
      </c>
      <c r="N246" s="53">
        <f t="shared" si="77"/>
        <v>0</v>
      </c>
      <c r="O246" s="53">
        <f t="shared" si="77"/>
        <v>0</v>
      </c>
      <c r="P246" s="776">
        <f t="shared" si="67"/>
        <v>0.30076680000000011</v>
      </c>
      <c r="Q246" s="519">
        <f t="shared" si="68"/>
        <v>1.5038340000000006</v>
      </c>
      <c r="R246" s="53"/>
      <c r="S246" s="1213">
        <f t="shared" si="69"/>
        <v>9.0230040000000025E-2</v>
      </c>
      <c r="T246" s="1200">
        <f t="shared" si="70"/>
        <v>2.8758309862458322</v>
      </c>
      <c r="U246" s="1201">
        <f t="shared" si="70"/>
        <v>14.379154931229159</v>
      </c>
      <c r="V246" s="1201">
        <f t="shared" si="70"/>
        <v>0</v>
      </c>
      <c r="W246" s="1202">
        <f t="shared" si="70"/>
        <v>0.86274929587374949</v>
      </c>
    </row>
    <row r="247" spans="1:23">
      <c r="A247" s="123">
        <f>'Input data'!A147</f>
        <v>2047</v>
      </c>
      <c r="B247" s="1210">
        <f>'Recycling - Case 3'!AI127</f>
        <v>6437.6604656145792</v>
      </c>
      <c r="C247" s="1211">
        <f t="shared" si="78"/>
        <v>0.5</v>
      </c>
      <c r="D247" s="1211">
        <f t="shared" si="78"/>
        <v>0.5</v>
      </c>
      <c r="E247" s="53">
        <v>0</v>
      </c>
      <c r="F247" s="53">
        <v>0</v>
      </c>
      <c r="G247" s="776">
        <f t="shared" si="72"/>
        <v>2.5750641862458319</v>
      </c>
      <c r="H247" s="519">
        <f t="shared" si="73"/>
        <v>12.875320931229158</v>
      </c>
      <c r="I247" s="53"/>
      <c r="J247" s="776">
        <f t="shared" si="74"/>
        <v>0.77251925587374948</v>
      </c>
      <c r="K247" s="1212">
        <f>'Recycling - Case 3'!Z167</f>
        <v>751.91700000000026</v>
      </c>
      <c r="L247" s="1211">
        <f t="shared" si="79"/>
        <v>0.5</v>
      </c>
      <c r="M247" s="1211">
        <f t="shared" si="79"/>
        <v>0.5</v>
      </c>
      <c r="N247" s="53">
        <f t="shared" si="77"/>
        <v>0</v>
      </c>
      <c r="O247" s="53">
        <f t="shared" si="77"/>
        <v>0</v>
      </c>
      <c r="P247" s="776">
        <f t="shared" si="67"/>
        <v>0.30076680000000011</v>
      </c>
      <c r="Q247" s="519">
        <f t="shared" si="68"/>
        <v>1.5038340000000006</v>
      </c>
      <c r="R247" s="53"/>
      <c r="S247" s="1213">
        <f t="shared" si="69"/>
        <v>9.0230040000000025E-2</v>
      </c>
      <c r="T247" s="1200">
        <f t="shared" si="70"/>
        <v>2.8758309862458322</v>
      </c>
      <c r="U247" s="1201">
        <f t="shared" si="70"/>
        <v>14.379154931229159</v>
      </c>
      <c r="V247" s="1201">
        <f t="shared" si="70"/>
        <v>0</v>
      </c>
      <c r="W247" s="1202">
        <f t="shared" si="70"/>
        <v>0.86274929587374949</v>
      </c>
    </row>
    <row r="248" spans="1:23">
      <c r="A248" s="123">
        <f>'Input data'!A148</f>
        <v>2048</v>
      </c>
      <c r="B248" s="1210">
        <f>'Recycling - Case 3'!AI128</f>
        <v>6437.6604656145792</v>
      </c>
      <c r="C248" s="1211">
        <f t="shared" si="78"/>
        <v>0.5</v>
      </c>
      <c r="D248" s="1211">
        <f t="shared" si="78"/>
        <v>0.5</v>
      </c>
      <c r="E248" s="53">
        <v>0</v>
      </c>
      <c r="F248" s="53">
        <v>0</v>
      </c>
      <c r="G248" s="776">
        <f t="shared" si="72"/>
        <v>2.5750641862458319</v>
      </c>
      <c r="H248" s="519">
        <f t="shared" si="73"/>
        <v>12.875320931229158</v>
      </c>
      <c r="I248" s="53"/>
      <c r="J248" s="776">
        <f t="shared" si="74"/>
        <v>0.77251925587374948</v>
      </c>
      <c r="K248" s="1212">
        <f>'Recycling - Case 3'!Z168</f>
        <v>751.91700000000026</v>
      </c>
      <c r="L248" s="1211">
        <f t="shared" si="79"/>
        <v>0.5</v>
      </c>
      <c r="M248" s="1211">
        <f t="shared" si="79"/>
        <v>0.5</v>
      </c>
      <c r="N248" s="53">
        <f t="shared" si="77"/>
        <v>0</v>
      </c>
      <c r="O248" s="53">
        <f t="shared" si="77"/>
        <v>0</v>
      </c>
      <c r="P248" s="776">
        <f t="shared" si="67"/>
        <v>0.30076680000000011</v>
      </c>
      <c r="Q248" s="519">
        <f t="shared" si="68"/>
        <v>1.5038340000000006</v>
      </c>
      <c r="R248" s="53"/>
      <c r="S248" s="1213">
        <f t="shared" si="69"/>
        <v>9.0230040000000025E-2</v>
      </c>
      <c r="T248" s="1200">
        <f t="shared" si="70"/>
        <v>2.8758309862458322</v>
      </c>
      <c r="U248" s="1201">
        <f t="shared" si="70"/>
        <v>14.379154931229159</v>
      </c>
      <c r="V248" s="1201">
        <f t="shared" si="70"/>
        <v>0</v>
      </c>
      <c r="W248" s="1202">
        <f t="shared" si="70"/>
        <v>0.86274929587374949</v>
      </c>
    </row>
    <row r="249" spans="1:23">
      <c r="A249" s="123">
        <f>'Input data'!A149</f>
        <v>2049</v>
      </c>
      <c r="B249" s="1210">
        <f>'Recycling - Case 3'!AI129</f>
        <v>6437.6604656145792</v>
      </c>
      <c r="C249" s="1211">
        <f t="shared" si="78"/>
        <v>0.5</v>
      </c>
      <c r="D249" s="1211">
        <f t="shared" si="78"/>
        <v>0.5</v>
      </c>
      <c r="E249" s="53">
        <v>0</v>
      </c>
      <c r="F249" s="53">
        <v>0</v>
      </c>
      <c r="G249" s="776">
        <f t="shared" si="72"/>
        <v>2.5750641862458319</v>
      </c>
      <c r="H249" s="519">
        <f t="shared" si="73"/>
        <v>12.875320931229158</v>
      </c>
      <c r="I249" s="53"/>
      <c r="J249" s="776">
        <f t="shared" si="74"/>
        <v>0.77251925587374948</v>
      </c>
      <c r="K249" s="1212">
        <f>'Recycling - Case 3'!Z169</f>
        <v>751.91700000000026</v>
      </c>
      <c r="L249" s="1211">
        <f t="shared" si="79"/>
        <v>0.5</v>
      </c>
      <c r="M249" s="1211">
        <f t="shared" si="79"/>
        <v>0.5</v>
      </c>
      <c r="N249" s="53">
        <f t="shared" si="77"/>
        <v>0</v>
      </c>
      <c r="O249" s="53">
        <f t="shared" si="77"/>
        <v>0</v>
      </c>
      <c r="P249" s="776">
        <f t="shared" si="67"/>
        <v>0.30076680000000011</v>
      </c>
      <c r="Q249" s="519">
        <f t="shared" si="68"/>
        <v>1.5038340000000006</v>
      </c>
      <c r="R249" s="53"/>
      <c r="S249" s="1213">
        <f t="shared" si="69"/>
        <v>9.0230040000000025E-2</v>
      </c>
      <c r="T249" s="1200">
        <f t="shared" si="70"/>
        <v>2.8758309862458322</v>
      </c>
      <c r="U249" s="1201">
        <f t="shared" si="70"/>
        <v>14.379154931229159</v>
      </c>
      <c r="V249" s="1201">
        <f t="shared" si="70"/>
        <v>0</v>
      </c>
      <c r="W249" s="1202">
        <f t="shared" si="70"/>
        <v>0.86274929587374949</v>
      </c>
    </row>
    <row r="250" spans="1:23" ht="15.75" thickBot="1">
      <c r="A250" s="123">
        <f>'Input data'!A150</f>
        <v>2050</v>
      </c>
      <c r="B250" s="1210">
        <f>'Recycling - Case 3'!AI130</f>
        <v>6437.6604656145792</v>
      </c>
      <c r="C250" s="576">
        <f t="shared" si="78"/>
        <v>0.5</v>
      </c>
      <c r="D250" s="576">
        <f t="shared" si="78"/>
        <v>0.5</v>
      </c>
      <c r="E250" s="58">
        <v>0</v>
      </c>
      <c r="F250" s="58">
        <v>0</v>
      </c>
      <c r="G250" s="1367">
        <f t="shared" si="72"/>
        <v>2.5750641862458319</v>
      </c>
      <c r="H250" s="1102">
        <f t="shared" si="73"/>
        <v>12.875320931229158</v>
      </c>
      <c r="I250" s="58"/>
      <c r="J250" s="1367">
        <f t="shared" si="74"/>
        <v>0.77251925587374948</v>
      </c>
      <c r="K250" s="1212">
        <f>'Recycling - Case 3'!Z170</f>
        <v>751.91700000000026</v>
      </c>
      <c r="L250" s="578">
        <f t="shared" si="79"/>
        <v>0.5</v>
      </c>
      <c r="M250" s="578">
        <f t="shared" si="79"/>
        <v>0.5</v>
      </c>
      <c r="N250" s="1214">
        <f t="shared" ref="N250:O250" si="80">N112</f>
        <v>0</v>
      </c>
      <c r="O250" s="1214">
        <f t="shared" si="80"/>
        <v>0</v>
      </c>
      <c r="P250" s="1215">
        <f t="shared" si="67"/>
        <v>0.30076680000000011</v>
      </c>
      <c r="Q250" s="1146">
        <f t="shared" si="68"/>
        <v>1.5038340000000006</v>
      </c>
      <c r="R250" s="1214"/>
      <c r="S250" s="1216">
        <f t="shared" si="69"/>
        <v>9.0230040000000025E-2</v>
      </c>
      <c r="T250" s="1217">
        <f t="shared" si="70"/>
        <v>2.8758309862458322</v>
      </c>
      <c r="U250" s="1218">
        <f t="shared" si="70"/>
        <v>14.379154931229159</v>
      </c>
      <c r="V250" s="1218">
        <f t="shared" si="70"/>
        <v>0</v>
      </c>
      <c r="W250" s="1219">
        <f t="shared" si="70"/>
        <v>0.86274929587374949</v>
      </c>
    </row>
    <row r="251" spans="1:23">
      <c r="A251" s="1364" t="s">
        <v>655</v>
      </c>
      <c r="B251" s="1209"/>
      <c r="C251" s="1220"/>
      <c r="D251" s="1220"/>
      <c r="E251" s="1221"/>
      <c r="F251" s="1221"/>
      <c r="G251" s="1222"/>
      <c r="H251" s="1223"/>
      <c r="I251" s="1224"/>
      <c r="J251" s="1226"/>
      <c r="K251" s="1223"/>
      <c r="L251" s="1220"/>
      <c r="M251" s="1220"/>
      <c r="N251" s="1221"/>
      <c r="O251" s="1221"/>
      <c r="P251" s="1222"/>
      <c r="Q251" s="1223"/>
      <c r="R251" s="1221"/>
      <c r="S251" s="1226"/>
      <c r="T251" s="1196"/>
      <c r="U251" s="1197"/>
      <c r="V251" s="1197"/>
      <c r="W251" s="1198"/>
    </row>
    <row r="252" spans="1:23">
      <c r="A252" s="466">
        <f>'Input data'!A118</f>
        <v>2018</v>
      </c>
      <c r="B252" s="1368">
        <f>'Recycling - Case 3'!AI98</f>
        <v>3707.5235423427162</v>
      </c>
      <c r="C252" s="576">
        <f>($C$256-$C$80)/($A$256-$A$80)+C80</f>
        <v>0.14000000000000001</v>
      </c>
      <c r="D252" s="576">
        <f>1-C252</f>
        <v>0.86</v>
      </c>
      <c r="E252" s="58">
        <v>0</v>
      </c>
      <c r="F252" s="58">
        <v>0</v>
      </c>
      <c r="G252" s="1367">
        <f>C252*$D$5*B252/1000-E252</f>
        <v>0.41524263674238426</v>
      </c>
      <c r="H252" s="1102">
        <f>D252*$D$4*B252/1000-F252</f>
        <v>12.753880985658943</v>
      </c>
      <c r="I252" s="58"/>
      <c r="J252" s="1213">
        <f>D252*$D$7*B252/1000</f>
        <v>0.76523285913953654</v>
      </c>
      <c r="K252" s="1366">
        <f>'Recycling - Case 3'!Z178</f>
        <v>1793.8246078249765</v>
      </c>
      <c r="L252" s="576">
        <f>($L$256-$L$80)/($A$256-$A$80)+L80</f>
        <v>0.18</v>
      </c>
      <c r="M252" s="576">
        <f>1-L252</f>
        <v>0.82000000000000006</v>
      </c>
      <c r="N252" s="58">
        <f t="shared" ref="N252:O267" si="81">N114</f>
        <v>0</v>
      </c>
      <c r="O252" s="58">
        <f t="shared" si="81"/>
        <v>0</v>
      </c>
      <c r="P252" s="1367">
        <f t="shared" ref="P252:P284" si="82">L252*$D$5*K252/1000-N252</f>
        <v>0.25831074352679662</v>
      </c>
      <c r="Q252" s="1102">
        <f t="shared" ref="Q252:Q284" si="83">M252*$D$4*K252/1000-O252</f>
        <v>5.8837447136659229</v>
      </c>
      <c r="R252" s="58"/>
      <c r="S252" s="1213">
        <f t="shared" ref="S252:S284" si="84">M252*$D$7*K252/1000</f>
        <v>0.35302468281995536</v>
      </c>
      <c r="T252" s="1200">
        <f t="shared" ref="T252:W284" si="85">G252+P252</f>
        <v>0.67355338026918088</v>
      </c>
      <c r="U252" s="1615">
        <f t="shared" si="85"/>
        <v>18.637625699324865</v>
      </c>
      <c r="V252" s="1615">
        <f t="shared" si="85"/>
        <v>0</v>
      </c>
      <c r="W252" s="1202">
        <f t="shared" si="85"/>
        <v>1.1182575419594918</v>
      </c>
    </row>
    <row r="253" spans="1:23">
      <c r="A253" s="466">
        <f>'Input data'!A119</f>
        <v>2019</v>
      </c>
      <c r="B253" s="1368">
        <f>'Recycling - Case 3'!AI99</f>
        <v>4010.8720893729233</v>
      </c>
      <c r="C253" s="576">
        <f>($C$256-$C$80)/($A$256-$A$80)+C252</f>
        <v>0.23</v>
      </c>
      <c r="D253" s="576">
        <f t="shared" ref="D253:D284" si="86">1-C253</f>
        <v>0.77</v>
      </c>
      <c r="E253" s="58">
        <v>0</v>
      </c>
      <c r="F253" s="58">
        <v>0</v>
      </c>
      <c r="G253" s="1367">
        <f t="shared" ref="G253:G284" si="87">C253*$D$5*B253/1000-E253</f>
        <v>0.73800046444461798</v>
      </c>
      <c r="H253" s="1102">
        <f t="shared" ref="H253:H284" si="88">D253*$D$4*B253/1000-F253</f>
        <v>12.353486035268604</v>
      </c>
      <c r="I253" s="58"/>
      <c r="J253" s="1213">
        <f t="shared" ref="J253:J284" si="89">D253*$D$7*B253/1000</f>
        <v>0.7412091621161162</v>
      </c>
      <c r="K253" s="1366">
        <f>'Recycling - Case 3'!Z179</f>
        <v>1878.6693594882986</v>
      </c>
      <c r="L253" s="576">
        <f>($L$256-$L$80)/($A$256-$A$80)+L252</f>
        <v>0.26</v>
      </c>
      <c r="M253" s="576">
        <f t="shared" ref="M253:M284" si="90">1-L253</f>
        <v>0.74</v>
      </c>
      <c r="N253" s="58">
        <f t="shared" si="81"/>
        <v>0</v>
      </c>
      <c r="O253" s="58">
        <f t="shared" si="81"/>
        <v>0</v>
      </c>
      <c r="P253" s="1367">
        <f t="shared" si="82"/>
        <v>0.39076322677356612</v>
      </c>
      <c r="Q253" s="1102">
        <f t="shared" si="83"/>
        <v>5.5608613040853632</v>
      </c>
      <c r="R253" s="58"/>
      <c r="S253" s="1213">
        <f t="shared" si="84"/>
        <v>0.33365167824512176</v>
      </c>
      <c r="T253" s="1200">
        <f t="shared" si="85"/>
        <v>1.1287636912181842</v>
      </c>
      <c r="U253" s="1615">
        <f t="shared" si="85"/>
        <v>17.914347339353967</v>
      </c>
      <c r="V253" s="1615">
        <f t="shared" si="85"/>
        <v>0</v>
      </c>
      <c r="W253" s="1202">
        <f t="shared" si="85"/>
        <v>1.0748608403612381</v>
      </c>
    </row>
    <row r="254" spans="1:23">
      <c r="A254" s="466">
        <f>'Input data'!A120</f>
        <v>2020</v>
      </c>
      <c r="B254" s="1368">
        <f>'Recycling - Case 3'!AI100</f>
        <v>4617.5691834333375</v>
      </c>
      <c r="C254" s="576">
        <f t="shared" ref="C254:C255" si="91">($C$256-$C$80)/($A$256-$A$80)+C253</f>
        <v>0.32</v>
      </c>
      <c r="D254" s="576">
        <f t="shared" si="86"/>
        <v>0.67999999999999994</v>
      </c>
      <c r="E254" s="58">
        <v>0</v>
      </c>
      <c r="F254" s="58">
        <v>0</v>
      </c>
      <c r="G254" s="1367">
        <f t="shared" si="87"/>
        <v>1.1820977109589343</v>
      </c>
      <c r="H254" s="1102">
        <f t="shared" si="88"/>
        <v>12.559788178938678</v>
      </c>
      <c r="I254" s="58"/>
      <c r="J254" s="1213">
        <f t="shared" si="89"/>
        <v>0.75358729073632058</v>
      </c>
      <c r="K254" s="1366">
        <f>'Recycling - Case 3'!Z180</f>
        <v>1907.190171140033</v>
      </c>
      <c r="L254" s="576">
        <f t="shared" ref="L254:L255" si="92">($L$256-$L$80)/($A$256-$A$80)+L253</f>
        <v>0.34</v>
      </c>
      <c r="M254" s="576">
        <f t="shared" si="90"/>
        <v>0.65999999999999992</v>
      </c>
      <c r="N254" s="58">
        <f t="shared" si="81"/>
        <v>0</v>
      </c>
      <c r="O254" s="58">
        <f t="shared" si="81"/>
        <v>0</v>
      </c>
      <c r="P254" s="1367">
        <f t="shared" si="82"/>
        <v>0.51875572655008895</v>
      </c>
      <c r="Q254" s="1102">
        <f t="shared" si="83"/>
        <v>5.0349820518096866</v>
      </c>
      <c r="R254" s="58"/>
      <c r="S254" s="1213">
        <f t="shared" si="84"/>
        <v>0.30209892310858122</v>
      </c>
      <c r="T254" s="1200">
        <f t="shared" si="85"/>
        <v>1.7008534375090232</v>
      </c>
      <c r="U254" s="1615">
        <f t="shared" si="85"/>
        <v>17.594770230748367</v>
      </c>
      <c r="V254" s="1615">
        <f t="shared" si="85"/>
        <v>0</v>
      </c>
      <c r="W254" s="1202">
        <f t="shared" si="85"/>
        <v>1.0556862138449019</v>
      </c>
    </row>
    <row r="255" spans="1:23">
      <c r="A255" s="466">
        <f>'Input data'!A121</f>
        <v>2021</v>
      </c>
      <c r="B255" s="1368">
        <f>'Recycling - Case 3'!AI101</f>
        <v>5830.9633715541659</v>
      </c>
      <c r="C255" s="576">
        <f t="shared" si="91"/>
        <v>0.41000000000000003</v>
      </c>
      <c r="D255" s="576">
        <f t="shared" si="86"/>
        <v>0.59</v>
      </c>
      <c r="E255" s="58">
        <v>0</v>
      </c>
      <c r="F255" s="58">
        <v>0</v>
      </c>
      <c r="G255" s="1367">
        <f t="shared" si="87"/>
        <v>1.9125559858697667</v>
      </c>
      <c r="H255" s="1102">
        <f t="shared" si="88"/>
        <v>13.76107355686783</v>
      </c>
      <c r="I255" s="58"/>
      <c r="J255" s="1213">
        <f t="shared" si="89"/>
        <v>0.82566441341206975</v>
      </c>
      <c r="K255" s="1366">
        <f>'Recycling - Case 3'!Z181</f>
        <v>2248.0613311541611</v>
      </c>
      <c r="L255" s="576">
        <f t="shared" si="92"/>
        <v>0.42000000000000004</v>
      </c>
      <c r="M255" s="576">
        <f t="shared" si="90"/>
        <v>0.57999999999999996</v>
      </c>
      <c r="N255" s="58">
        <f t="shared" si="81"/>
        <v>0</v>
      </c>
      <c r="O255" s="58">
        <f t="shared" si="81"/>
        <v>0</v>
      </c>
      <c r="P255" s="1367">
        <f t="shared" si="82"/>
        <v>0.75534860726779818</v>
      </c>
      <c r="Q255" s="1102">
        <f t="shared" si="83"/>
        <v>5.2155022882776532</v>
      </c>
      <c r="R255" s="58"/>
      <c r="S255" s="1213">
        <f t="shared" si="84"/>
        <v>0.31293013729665919</v>
      </c>
      <c r="T255" s="1200">
        <f t="shared" si="85"/>
        <v>2.6679045931375649</v>
      </c>
      <c r="U255" s="1615">
        <f t="shared" si="85"/>
        <v>18.976575845145483</v>
      </c>
      <c r="V255" s="1615">
        <f t="shared" si="85"/>
        <v>0</v>
      </c>
      <c r="W255" s="1202">
        <f t="shared" si="85"/>
        <v>1.1385945507087289</v>
      </c>
    </row>
    <row r="256" spans="1:23">
      <c r="A256" s="466">
        <f>'Input data'!A122</f>
        <v>2022</v>
      </c>
      <c r="B256" s="1368">
        <f>'Recycling - Case 3'!AI102</f>
        <v>6437.6604656145792</v>
      </c>
      <c r="C256" s="576">
        <f>'Recycling - Case 3'!G31</f>
        <v>0.5</v>
      </c>
      <c r="D256" s="576">
        <f t="shared" si="86"/>
        <v>0.5</v>
      </c>
      <c r="E256" s="58">
        <v>0</v>
      </c>
      <c r="F256" s="58">
        <v>0</v>
      </c>
      <c r="G256" s="1367">
        <f t="shared" si="87"/>
        <v>2.5750641862458319</v>
      </c>
      <c r="H256" s="1102">
        <f t="shared" si="88"/>
        <v>12.875320931229158</v>
      </c>
      <c r="I256" s="58"/>
      <c r="J256" s="1213">
        <f t="shared" si="89"/>
        <v>0.77251925587374948</v>
      </c>
      <c r="K256" s="1366">
        <f>'Recycling - Case 3'!Z182</f>
        <v>2435.3308526974706</v>
      </c>
      <c r="L256" s="576">
        <f>'Recycling - Case 3'!G31</f>
        <v>0.5</v>
      </c>
      <c r="M256" s="576">
        <f t="shared" si="90"/>
        <v>0.5</v>
      </c>
      <c r="N256" s="58">
        <f t="shared" si="81"/>
        <v>0</v>
      </c>
      <c r="O256" s="58">
        <f t="shared" si="81"/>
        <v>0</v>
      </c>
      <c r="P256" s="1367">
        <f t="shared" si="82"/>
        <v>0.97413234107898827</v>
      </c>
      <c r="Q256" s="1102">
        <f t="shared" si="83"/>
        <v>4.8706617053949408</v>
      </c>
      <c r="R256" s="58"/>
      <c r="S256" s="1213">
        <f t="shared" si="84"/>
        <v>0.29223970232369645</v>
      </c>
      <c r="T256" s="1200">
        <f t="shared" si="85"/>
        <v>3.54919652732482</v>
      </c>
      <c r="U256" s="1615">
        <f t="shared" si="85"/>
        <v>17.745982636624099</v>
      </c>
      <c r="V256" s="1615">
        <f t="shared" si="85"/>
        <v>0</v>
      </c>
      <c r="W256" s="1202">
        <f t="shared" si="85"/>
        <v>1.0647589581974459</v>
      </c>
    </row>
    <row r="257" spans="1:23">
      <c r="A257" s="466">
        <f>'Input data'!A123</f>
        <v>2023</v>
      </c>
      <c r="B257" s="1368">
        <f>'Recycling - Case 3'!AI103</f>
        <v>6437.6604656145792</v>
      </c>
      <c r="C257" s="576">
        <f>C256</f>
        <v>0.5</v>
      </c>
      <c r="D257" s="576">
        <f t="shared" si="86"/>
        <v>0.5</v>
      </c>
      <c r="E257" s="58">
        <v>0</v>
      </c>
      <c r="F257" s="58">
        <v>0</v>
      </c>
      <c r="G257" s="1367">
        <f t="shared" si="87"/>
        <v>2.5750641862458319</v>
      </c>
      <c r="H257" s="1102">
        <f t="shared" si="88"/>
        <v>12.875320931229158</v>
      </c>
      <c r="I257" s="58"/>
      <c r="J257" s="1213">
        <f t="shared" si="89"/>
        <v>0.77251925587374948</v>
      </c>
      <c r="K257" s="1366">
        <f>'Recycling - Case 3'!Z183</f>
        <v>2472.3423999006995</v>
      </c>
      <c r="L257" s="576">
        <f>L256</f>
        <v>0.5</v>
      </c>
      <c r="M257" s="576">
        <f t="shared" si="90"/>
        <v>0.5</v>
      </c>
      <c r="N257" s="58">
        <f t="shared" si="81"/>
        <v>0</v>
      </c>
      <c r="O257" s="58">
        <f t="shared" si="81"/>
        <v>0</v>
      </c>
      <c r="P257" s="1367">
        <f t="shared" si="82"/>
        <v>0.98893695996027986</v>
      </c>
      <c r="Q257" s="1102">
        <f t="shared" si="83"/>
        <v>4.944684799801399</v>
      </c>
      <c r="R257" s="58"/>
      <c r="S257" s="1213">
        <f t="shared" si="84"/>
        <v>0.29668108798808396</v>
      </c>
      <c r="T257" s="1200">
        <f t="shared" si="85"/>
        <v>3.5640011462061119</v>
      </c>
      <c r="U257" s="1615">
        <f t="shared" si="85"/>
        <v>17.820005731030555</v>
      </c>
      <c r="V257" s="1615">
        <f t="shared" si="85"/>
        <v>0</v>
      </c>
      <c r="W257" s="1202">
        <f t="shared" si="85"/>
        <v>1.0692003438618334</v>
      </c>
    </row>
    <row r="258" spans="1:23">
      <c r="A258" s="466">
        <f>'Input data'!A124</f>
        <v>2024</v>
      </c>
      <c r="B258" s="1368">
        <f>'Recycling - Case 3'!AI104</f>
        <v>6437.6604656145792</v>
      </c>
      <c r="C258" s="576">
        <f t="shared" ref="C258:C284" si="93">C257</f>
        <v>0.5</v>
      </c>
      <c r="D258" s="576">
        <f t="shared" si="86"/>
        <v>0.5</v>
      </c>
      <c r="E258" s="58">
        <v>0</v>
      </c>
      <c r="F258" s="58">
        <v>0</v>
      </c>
      <c r="G258" s="1367">
        <f t="shared" si="87"/>
        <v>2.5750641862458319</v>
      </c>
      <c r="H258" s="1102">
        <f t="shared" si="88"/>
        <v>12.875320931229158</v>
      </c>
      <c r="I258" s="58"/>
      <c r="J258" s="1213">
        <f t="shared" si="89"/>
        <v>0.77251925587374948</v>
      </c>
      <c r="K258" s="1366">
        <f>'Recycling - Case 3'!Z184</f>
        <v>2515.2748004049222</v>
      </c>
      <c r="L258" s="576">
        <f t="shared" ref="L258:L284" si="94">L257</f>
        <v>0.5</v>
      </c>
      <c r="M258" s="576">
        <f t="shared" si="90"/>
        <v>0.5</v>
      </c>
      <c r="N258" s="58">
        <f t="shared" si="81"/>
        <v>0</v>
      </c>
      <c r="O258" s="58">
        <f t="shared" si="81"/>
        <v>0</v>
      </c>
      <c r="P258" s="1367">
        <f t="shared" si="82"/>
        <v>1.006109920161969</v>
      </c>
      <c r="Q258" s="1102">
        <f t="shared" si="83"/>
        <v>5.0305496008098443</v>
      </c>
      <c r="R258" s="58"/>
      <c r="S258" s="1213">
        <f t="shared" si="84"/>
        <v>0.30183297604859066</v>
      </c>
      <c r="T258" s="1200">
        <f t="shared" si="85"/>
        <v>3.5811741064078007</v>
      </c>
      <c r="U258" s="1615">
        <f t="shared" si="85"/>
        <v>17.905870532039003</v>
      </c>
      <c r="V258" s="1615">
        <f t="shared" si="85"/>
        <v>0</v>
      </c>
      <c r="W258" s="1202">
        <f t="shared" si="85"/>
        <v>1.0743522319223402</v>
      </c>
    </row>
    <row r="259" spans="1:23">
      <c r="A259" s="466">
        <f>'Input data'!A125</f>
        <v>2025</v>
      </c>
      <c r="B259" s="1368">
        <f>'Recycling - Case 3'!AI105</f>
        <v>6437.6604656145792</v>
      </c>
      <c r="C259" s="576">
        <f t="shared" si="93"/>
        <v>0.5</v>
      </c>
      <c r="D259" s="576">
        <f t="shared" si="86"/>
        <v>0.5</v>
      </c>
      <c r="E259" s="58">
        <v>0</v>
      </c>
      <c r="F259" s="58">
        <v>0</v>
      </c>
      <c r="G259" s="1367">
        <f t="shared" si="87"/>
        <v>2.5750641862458319</v>
      </c>
      <c r="H259" s="1102">
        <f t="shared" si="88"/>
        <v>12.875320931229158</v>
      </c>
      <c r="I259" s="58"/>
      <c r="J259" s="1213">
        <f t="shared" si="89"/>
        <v>0.77251925587374948</v>
      </c>
      <c r="K259" s="1366">
        <f>'Recycling - Case 3'!Z185</f>
        <v>2558.4947071487691</v>
      </c>
      <c r="L259" s="576">
        <f t="shared" si="94"/>
        <v>0.5</v>
      </c>
      <c r="M259" s="576">
        <f t="shared" si="90"/>
        <v>0.5</v>
      </c>
      <c r="N259" s="58">
        <f t="shared" si="81"/>
        <v>0</v>
      </c>
      <c r="O259" s="58">
        <f t="shared" si="81"/>
        <v>0</v>
      </c>
      <c r="P259" s="1367">
        <f t="shared" si="82"/>
        <v>1.0233978828595076</v>
      </c>
      <c r="Q259" s="1102">
        <f t="shared" si="83"/>
        <v>5.1169894142975378</v>
      </c>
      <c r="R259" s="58"/>
      <c r="S259" s="1213">
        <f t="shared" si="84"/>
        <v>0.30701936485785231</v>
      </c>
      <c r="T259" s="1200">
        <f t="shared" si="85"/>
        <v>3.5984620691053397</v>
      </c>
      <c r="U259" s="1615">
        <f t="shared" si="85"/>
        <v>17.992310345526697</v>
      </c>
      <c r="V259" s="1615">
        <f t="shared" si="85"/>
        <v>0</v>
      </c>
      <c r="W259" s="1202">
        <f t="shared" si="85"/>
        <v>1.0795386207316018</v>
      </c>
    </row>
    <row r="260" spans="1:23">
      <c r="A260" s="466">
        <f>'Input data'!A126</f>
        <v>2026</v>
      </c>
      <c r="B260" s="1368">
        <f>'Recycling - Case 3'!AI106</f>
        <v>6437.6604656145792</v>
      </c>
      <c r="C260" s="576">
        <f t="shared" si="93"/>
        <v>0.5</v>
      </c>
      <c r="D260" s="576">
        <f t="shared" si="86"/>
        <v>0.5</v>
      </c>
      <c r="E260" s="58">
        <v>0</v>
      </c>
      <c r="F260" s="58">
        <v>0</v>
      </c>
      <c r="G260" s="1367">
        <f t="shared" si="87"/>
        <v>2.5750641862458319</v>
      </c>
      <c r="H260" s="1102">
        <f t="shared" si="88"/>
        <v>12.875320931229158</v>
      </c>
      <c r="I260" s="58"/>
      <c r="J260" s="1213">
        <f t="shared" si="89"/>
        <v>0.77251925587374948</v>
      </c>
      <c r="K260" s="1366">
        <f>'Recycling - Case 3'!Z186</f>
        <v>2602.8603334669356</v>
      </c>
      <c r="L260" s="576">
        <f t="shared" si="94"/>
        <v>0.5</v>
      </c>
      <c r="M260" s="576">
        <f t="shared" si="90"/>
        <v>0.5</v>
      </c>
      <c r="N260" s="58">
        <f t="shared" si="81"/>
        <v>0</v>
      </c>
      <c r="O260" s="58">
        <f t="shared" si="81"/>
        <v>0</v>
      </c>
      <c r="P260" s="1367">
        <f t="shared" si="82"/>
        <v>1.0411441333867741</v>
      </c>
      <c r="Q260" s="1102">
        <f t="shared" si="83"/>
        <v>5.2057206669338711</v>
      </c>
      <c r="R260" s="58"/>
      <c r="S260" s="1213">
        <f t="shared" si="84"/>
        <v>0.31234324001603225</v>
      </c>
      <c r="T260" s="1200">
        <f t="shared" si="85"/>
        <v>3.616208319632606</v>
      </c>
      <c r="U260" s="1615">
        <f t="shared" si="85"/>
        <v>18.081041598163029</v>
      </c>
      <c r="V260" s="1615">
        <f t="shared" si="85"/>
        <v>0</v>
      </c>
      <c r="W260" s="1202">
        <f t="shared" si="85"/>
        <v>1.0848624958897817</v>
      </c>
    </row>
    <row r="261" spans="1:23">
      <c r="A261" s="466">
        <f>'Input data'!A127</f>
        <v>2027</v>
      </c>
      <c r="B261" s="1368">
        <f>'Recycling - Case 3'!AI107</f>
        <v>6437.6604656145792</v>
      </c>
      <c r="C261" s="576">
        <f t="shared" si="93"/>
        <v>0.5</v>
      </c>
      <c r="D261" s="576">
        <f t="shared" si="86"/>
        <v>0.5</v>
      </c>
      <c r="E261" s="58">
        <v>0</v>
      </c>
      <c r="F261" s="58">
        <v>0</v>
      </c>
      <c r="G261" s="1367">
        <f t="shared" si="87"/>
        <v>2.5750641862458319</v>
      </c>
      <c r="H261" s="1102">
        <f t="shared" si="88"/>
        <v>12.875320931229158</v>
      </c>
      <c r="I261" s="58"/>
      <c r="J261" s="1213">
        <f t="shared" si="89"/>
        <v>0.77251925587374948</v>
      </c>
      <c r="K261" s="1366">
        <f>'Recycling - Case 3'!Z187</f>
        <v>2646.1731704518984</v>
      </c>
      <c r="L261" s="576">
        <f t="shared" si="94"/>
        <v>0.5</v>
      </c>
      <c r="M261" s="576">
        <f t="shared" si="90"/>
        <v>0.5</v>
      </c>
      <c r="N261" s="58">
        <f t="shared" si="81"/>
        <v>0</v>
      </c>
      <c r="O261" s="58">
        <f t="shared" si="81"/>
        <v>0</v>
      </c>
      <c r="P261" s="1367">
        <f t="shared" si="82"/>
        <v>1.0584692681807595</v>
      </c>
      <c r="Q261" s="1102">
        <f t="shared" si="83"/>
        <v>5.292346340903797</v>
      </c>
      <c r="R261" s="58"/>
      <c r="S261" s="1213">
        <f t="shared" si="84"/>
        <v>0.31754078045422779</v>
      </c>
      <c r="T261" s="1200">
        <f t="shared" si="85"/>
        <v>3.6335334544265914</v>
      </c>
      <c r="U261" s="1615">
        <f t="shared" si="85"/>
        <v>18.167667272132956</v>
      </c>
      <c r="V261" s="1615">
        <f t="shared" si="85"/>
        <v>0</v>
      </c>
      <c r="W261" s="1202">
        <f t="shared" si="85"/>
        <v>1.0900600363279773</v>
      </c>
    </row>
    <row r="262" spans="1:23">
      <c r="A262" s="466">
        <f>'Input data'!A128</f>
        <v>2028</v>
      </c>
      <c r="B262" s="1368">
        <f>'Recycling - Case 3'!AI108</f>
        <v>6437.6604656145792</v>
      </c>
      <c r="C262" s="576">
        <f t="shared" si="93"/>
        <v>0.5</v>
      </c>
      <c r="D262" s="576">
        <f t="shared" si="86"/>
        <v>0.5</v>
      </c>
      <c r="E262" s="58">
        <v>0</v>
      </c>
      <c r="F262" s="58">
        <v>0</v>
      </c>
      <c r="G262" s="1367">
        <f t="shared" si="87"/>
        <v>2.5750641862458319</v>
      </c>
      <c r="H262" s="1102">
        <f t="shared" si="88"/>
        <v>12.875320931229158</v>
      </c>
      <c r="I262" s="58"/>
      <c r="J262" s="1213">
        <f t="shared" si="89"/>
        <v>0.77251925587374948</v>
      </c>
      <c r="K262" s="1366">
        <f>'Recycling - Case 3'!Z188</f>
        <v>2691.530631344991</v>
      </c>
      <c r="L262" s="576">
        <f t="shared" si="94"/>
        <v>0.5</v>
      </c>
      <c r="M262" s="576">
        <f t="shared" si="90"/>
        <v>0.5</v>
      </c>
      <c r="N262" s="58">
        <f t="shared" si="81"/>
        <v>0</v>
      </c>
      <c r="O262" s="58">
        <f t="shared" si="81"/>
        <v>0</v>
      </c>
      <c r="P262" s="1367">
        <f t="shared" si="82"/>
        <v>1.0766122525379964</v>
      </c>
      <c r="Q262" s="1102">
        <f t="shared" si="83"/>
        <v>5.3830612626899823</v>
      </c>
      <c r="R262" s="58"/>
      <c r="S262" s="1213">
        <f t="shared" si="84"/>
        <v>0.32298367576139891</v>
      </c>
      <c r="T262" s="1200">
        <f t="shared" si="85"/>
        <v>3.6516764387838281</v>
      </c>
      <c r="U262" s="1615">
        <f t="shared" si="85"/>
        <v>18.25838219391914</v>
      </c>
      <c r="V262" s="1615">
        <f t="shared" si="85"/>
        <v>0</v>
      </c>
      <c r="W262" s="1202">
        <f t="shared" si="85"/>
        <v>1.0955029316351483</v>
      </c>
    </row>
    <row r="263" spans="1:23">
      <c r="A263" s="466">
        <f>'Input data'!A129</f>
        <v>2029</v>
      </c>
      <c r="B263" s="1368">
        <f>'Recycling - Case 3'!AI109</f>
        <v>6437.6604656145792</v>
      </c>
      <c r="C263" s="576">
        <f t="shared" si="93"/>
        <v>0.5</v>
      </c>
      <c r="D263" s="576">
        <f t="shared" si="86"/>
        <v>0.5</v>
      </c>
      <c r="E263" s="58">
        <v>0</v>
      </c>
      <c r="F263" s="58">
        <v>0</v>
      </c>
      <c r="G263" s="1367">
        <f t="shared" si="87"/>
        <v>2.5750641862458319</v>
      </c>
      <c r="H263" s="1102">
        <f t="shared" si="88"/>
        <v>12.875320931229158</v>
      </c>
      <c r="I263" s="58"/>
      <c r="J263" s="1213">
        <f t="shared" si="89"/>
        <v>0.77251925587374948</v>
      </c>
      <c r="K263" s="1366">
        <f>'Recycling - Case 3'!Z189</f>
        <v>2734.9387524288591</v>
      </c>
      <c r="L263" s="576">
        <f t="shared" si="94"/>
        <v>0.5</v>
      </c>
      <c r="M263" s="576">
        <f t="shared" si="90"/>
        <v>0.5</v>
      </c>
      <c r="N263" s="58">
        <f t="shared" si="81"/>
        <v>0</v>
      </c>
      <c r="O263" s="58">
        <f t="shared" si="81"/>
        <v>0</v>
      </c>
      <c r="P263" s="1367">
        <f t="shared" si="82"/>
        <v>1.0939755009715437</v>
      </c>
      <c r="Q263" s="1102">
        <f t="shared" si="83"/>
        <v>5.4698775048577177</v>
      </c>
      <c r="R263" s="58"/>
      <c r="S263" s="1213">
        <f t="shared" si="84"/>
        <v>0.32819265029146305</v>
      </c>
      <c r="T263" s="1200">
        <f t="shared" si="85"/>
        <v>3.6690396872173756</v>
      </c>
      <c r="U263" s="1615">
        <f t="shared" si="85"/>
        <v>18.345198436086875</v>
      </c>
      <c r="V263" s="1615">
        <f t="shared" si="85"/>
        <v>0</v>
      </c>
      <c r="W263" s="1202">
        <f t="shared" si="85"/>
        <v>1.1007119061652126</v>
      </c>
    </row>
    <row r="264" spans="1:23">
      <c r="A264" s="466">
        <f>'Input data'!A130</f>
        <v>2030</v>
      </c>
      <c r="B264" s="1368">
        <f>'Recycling - Case 3'!AI110</f>
        <v>6437.6604656145792</v>
      </c>
      <c r="C264" s="576">
        <f t="shared" si="93"/>
        <v>0.5</v>
      </c>
      <c r="D264" s="576">
        <f t="shared" si="86"/>
        <v>0.5</v>
      </c>
      <c r="E264" s="58">
        <v>0</v>
      </c>
      <c r="F264" s="58">
        <v>0</v>
      </c>
      <c r="G264" s="1367">
        <f t="shared" si="87"/>
        <v>2.5750641862458319</v>
      </c>
      <c r="H264" s="1102">
        <f t="shared" si="88"/>
        <v>12.875320931229158</v>
      </c>
      <c r="I264" s="58"/>
      <c r="J264" s="1213">
        <f t="shared" si="89"/>
        <v>0.77251925587374948</v>
      </c>
      <c r="K264" s="1366">
        <f>'Recycling - Case 3'!Z190</f>
        <v>2779.6537556460157</v>
      </c>
      <c r="L264" s="576">
        <f t="shared" si="94"/>
        <v>0.5</v>
      </c>
      <c r="M264" s="576">
        <f t="shared" si="90"/>
        <v>0.5</v>
      </c>
      <c r="N264" s="58">
        <f t="shared" si="81"/>
        <v>0</v>
      </c>
      <c r="O264" s="58">
        <f t="shared" si="81"/>
        <v>0</v>
      </c>
      <c r="P264" s="1367">
        <f t="shared" si="82"/>
        <v>1.1118615022584062</v>
      </c>
      <c r="Q264" s="1102">
        <f t="shared" si="83"/>
        <v>5.5593075112920314</v>
      </c>
      <c r="R264" s="58"/>
      <c r="S264" s="1213">
        <f t="shared" si="84"/>
        <v>0.33355845067752188</v>
      </c>
      <c r="T264" s="1200">
        <f t="shared" si="85"/>
        <v>3.6869256885042381</v>
      </c>
      <c r="U264" s="1615">
        <f t="shared" si="85"/>
        <v>18.434628442521188</v>
      </c>
      <c r="V264" s="1615">
        <f t="shared" si="85"/>
        <v>0</v>
      </c>
      <c r="W264" s="1202">
        <f t="shared" si="85"/>
        <v>1.1060777065512712</v>
      </c>
    </row>
    <row r="265" spans="1:23">
      <c r="A265" s="466">
        <f>'Input data'!A131</f>
        <v>2031</v>
      </c>
      <c r="B265" s="1368">
        <f>'Recycling - Case 3'!AI111</f>
        <v>6437.6604656145792</v>
      </c>
      <c r="C265" s="576">
        <f t="shared" si="93"/>
        <v>0.5</v>
      </c>
      <c r="D265" s="576">
        <f t="shared" si="86"/>
        <v>0.5</v>
      </c>
      <c r="E265" s="58">
        <v>0</v>
      </c>
      <c r="F265" s="58">
        <v>0</v>
      </c>
      <c r="G265" s="1367">
        <f t="shared" si="87"/>
        <v>2.5750641862458319</v>
      </c>
      <c r="H265" s="1102">
        <f t="shared" si="88"/>
        <v>12.875320931229158</v>
      </c>
      <c r="I265" s="58"/>
      <c r="J265" s="1213">
        <f t="shared" si="89"/>
        <v>0.77251925587374948</v>
      </c>
      <c r="K265" s="1366">
        <f>'Recycling - Case 3'!Z191</f>
        <v>2832.1304900599107</v>
      </c>
      <c r="L265" s="576">
        <f t="shared" si="94"/>
        <v>0.5</v>
      </c>
      <c r="M265" s="576">
        <f t="shared" si="90"/>
        <v>0.5</v>
      </c>
      <c r="N265" s="58">
        <f t="shared" si="81"/>
        <v>0</v>
      </c>
      <c r="O265" s="58">
        <f t="shared" si="81"/>
        <v>0</v>
      </c>
      <c r="P265" s="1367">
        <f t="shared" si="82"/>
        <v>1.1328521960239644</v>
      </c>
      <c r="Q265" s="1102">
        <f t="shared" si="83"/>
        <v>5.6642609801198214</v>
      </c>
      <c r="R265" s="58"/>
      <c r="S265" s="1213">
        <f t="shared" si="84"/>
        <v>0.33985565880718926</v>
      </c>
      <c r="T265" s="1200">
        <f t="shared" si="85"/>
        <v>3.7079163822697963</v>
      </c>
      <c r="U265" s="1615">
        <f t="shared" si="85"/>
        <v>18.539581911348979</v>
      </c>
      <c r="V265" s="1615">
        <f t="shared" si="85"/>
        <v>0</v>
      </c>
      <c r="W265" s="1202">
        <f t="shared" si="85"/>
        <v>1.1123749146809387</v>
      </c>
    </row>
    <row r="266" spans="1:23">
      <c r="A266" s="466">
        <f>'Input data'!A132</f>
        <v>2032</v>
      </c>
      <c r="B266" s="1368">
        <f>'Recycling - Case 3'!AI112</f>
        <v>6437.6604656145792</v>
      </c>
      <c r="C266" s="576">
        <f t="shared" si="93"/>
        <v>0.5</v>
      </c>
      <c r="D266" s="576">
        <f t="shared" si="86"/>
        <v>0.5</v>
      </c>
      <c r="E266" s="58">
        <v>0</v>
      </c>
      <c r="F266" s="58">
        <v>0</v>
      </c>
      <c r="G266" s="1367">
        <f t="shared" si="87"/>
        <v>2.5750641862458319</v>
      </c>
      <c r="H266" s="1102">
        <f t="shared" si="88"/>
        <v>12.875320931229158</v>
      </c>
      <c r="I266" s="58"/>
      <c r="J266" s="1213">
        <f t="shared" si="89"/>
        <v>0.77251925587374948</v>
      </c>
      <c r="K266" s="1366">
        <f>'Recycling - Case 3'!Z192</f>
        <v>2888.549661721353</v>
      </c>
      <c r="L266" s="576">
        <f t="shared" si="94"/>
        <v>0.5</v>
      </c>
      <c r="M266" s="576">
        <f t="shared" si="90"/>
        <v>0.5</v>
      </c>
      <c r="N266" s="58">
        <f t="shared" si="81"/>
        <v>0</v>
      </c>
      <c r="O266" s="58">
        <f t="shared" si="81"/>
        <v>0</v>
      </c>
      <c r="P266" s="1367">
        <f t="shared" si="82"/>
        <v>1.1554198646885414</v>
      </c>
      <c r="Q266" s="1102">
        <f t="shared" si="83"/>
        <v>5.7770993234427062</v>
      </c>
      <c r="R266" s="58"/>
      <c r="S266" s="1213">
        <f t="shared" si="84"/>
        <v>0.34662595940656232</v>
      </c>
      <c r="T266" s="1200">
        <f t="shared" si="85"/>
        <v>3.7304840509343733</v>
      </c>
      <c r="U266" s="1615">
        <f t="shared" si="85"/>
        <v>18.652420254671863</v>
      </c>
      <c r="V266" s="1615">
        <f t="shared" si="85"/>
        <v>0</v>
      </c>
      <c r="W266" s="1202">
        <f t="shared" si="85"/>
        <v>1.1191452152803119</v>
      </c>
    </row>
    <row r="267" spans="1:23">
      <c r="A267" s="466">
        <f>'Input data'!A133</f>
        <v>2033</v>
      </c>
      <c r="B267" s="1368">
        <f>'Recycling - Case 3'!AI113</f>
        <v>6437.6604656145792</v>
      </c>
      <c r="C267" s="576">
        <f t="shared" si="93"/>
        <v>0.5</v>
      </c>
      <c r="D267" s="576">
        <f t="shared" si="86"/>
        <v>0.5</v>
      </c>
      <c r="E267" s="58">
        <v>0</v>
      </c>
      <c r="F267" s="58">
        <v>0</v>
      </c>
      <c r="G267" s="1367">
        <f t="shared" si="87"/>
        <v>2.5750641862458319</v>
      </c>
      <c r="H267" s="1102">
        <f t="shared" si="88"/>
        <v>12.875320931229158</v>
      </c>
      <c r="I267" s="58"/>
      <c r="J267" s="1213">
        <f t="shared" si="89"/>
        <v>0.77251925587374948</v>
      </c>
      <c r="K267" s="1366">
        <f>'Recycling - Case 3'!Z193</f>
        <v>2946.8761945712818</v>
      </c>
      <c r="L267" s="576">
        <f t="shared" si="94"/>
        <v>0.5</v>
      </c>
      <c r="M267" s="576">
        <f t="shared" si="90"/>
        <v>0.5</v>
      </c>
      <c r="N267" s="58">
        <f t="shared" si="81"/>
        <v>0</v>
      </c>
      <c r="O267" s="58">
        <f t="shared" si="81"/>
        <v>0</v>
      </c>
      <c r="P267" s="1367">
        <f t="shared" si="82"/>
        <v>1.1787504778285127</v>
      </c>
      <c r="Q267" s="1102">
        <f t="shared" si="83"/>
        <v>5.8937523891425636</v>
      </c>
      <c r="R267" s="58"/>
      <c r="S267" s="1213">
        <f t="shared" si="84"/>
        <v>0.35362514334855383</v>
      </c>
      <c r="T267" s="1200">
        <f t="shared" si="85"/>
        <v>3.7538146640743446</v>
      </c>
      <c r="U267" s="1615">
        <f t="shared" si="85"/>
        <v>18.769073320371721</v>
      </c>
      <c r="V267" s="1615">
        <f t="shared" si="85"/>
        <v>0</v>
      </c>
      <c r="W267" s="1202">
        <f t="shared" si="85"/>
        <v>1.1261443992223032</v>
      </c>
    </row>
    <row r="268" spans="1:23">
      <c r="A268" s="466">
        <f>'Input data'!A134</f>
        <v>2034</v>
      </c>
      <c r="B268" s="1368">
        <f>'Recycling - Case 3'!AI114</f>
        <v>6437.6604656145792</v>
      </c>
      <c r="C268" s="576">
        <f t="shared" si="93"/>
        <v>0.5</v>
      </c>
      <c r="D268" s="576">
        <f t="shared" si="86"/>
        <v>0.5</v>
      </c>
      <c r="E268" s="58">
        <v>0</v>
      </c>
      <c r="F268" s="58">
        <v>0</v>
      </c>
      <c r="G268" s="1367">
        <f t="shared" si="87"/>
        <v>2.5750641862458319</v>
      </c>
      <c r="H268" s="1102">
        <f t="shared" si="88"/>
        <v>12.875320931229158</v>
      </c>
      <c r="I268" s="58"/>
      <c r="J268" s="1213">
        <f t="shared" si="89"/>
        <v>0.77251925587374948</v>
      </c>
      <c r="K268" s="1366">
        <f>'Recycling - Case 3'!Z194</f>
        <v>2959.9785922623614</v>
      </c>
      <c r="L268" s="576">
        <f t="shared" si="94"/>
        <v>0.5</v>
      </c>
      <c r="M268" s="576">
        <f t="shared" si="90"/>
        <v>0.5</v>
      </c>
      <c r="N268" s="58">
        <f t="shared" ref="N268:O283" si="95">N130</f>
        <v>0</v>
      </c>
      <c r="O268" s="58">
        <f t="shared" si="95"/>
        <v>0</v>
      </c>
      <c r="P268" s="1367">
        <f t="shared" si="82"/>
        <v>1.1839914369049445</v>
      </c>
      <c r="Q268" s="1102">
        <f t="shared" si="83"/>
        <v>5.9199571845247227</v>
      </c>
      <c r="R268" s="58"/>
      <c r="S268" s="1213">
        <f t="shared" si="84"/>
        <v>0.35519743107148338</v>
      </c>
      <c r="T268" s="1200">
        <f t="shared" si="85"/>
        <v>3.7590556231507763</v>
      </c>
      <c r="U268" s="1615">
        <f t="shared" si="85"/>
        <v>18.795278115753881</v>
      </c>
      <c r="V268" s="1615">
        <f t="shared" si="85"/>
        <v>0</v>
      </c>
      <c r="W268" s="1202">
        <f t="shared" si="85"/>
        <v>1.1277166869452329</v>
      </c>
    </row>
    <row r="269" spans="1:23">
      <c r="A269" s="466">
        <f>'Input data'!A135</f>
        <v>2035</v>
      </c>
      <c r="B269" s="1368">
        <f>'Recycling - Case 3'!AI115</f>
        <v>6437.6604656145792</v>
      </c>
      <c r="C269" s="576">
        <f t="shared" si="93"/>
        <v>0.5</v>
      </c>
      <c r="D269" s="576">
        <f t="shared" si="86"/>
        <v>0.5</v>
      </c>
      <c r="E269" s="58">
        <v>0</v>
      </c>
      <c r="F269" s="58">
        <v>0</v>
      </c>
      <c r="G269" s="1367">
        <f t="shared" si="87"/>
        <v>2.5750641862458319</v>
      </c>
      <c r="H269" s="1102">
        <f t="shared" si="88"/>
        <v>12.875320931229158</v>
      </c>
      <c r="I269" s="58"/>
      <c r="J269" s="1213">
        <f t="shared" si="89"/>
        <v>0.77251925587374948</v>
      </c>
      <c r="K269" s="1366">
        <f>'Recycling - Case 3'!Z195</f>
        <v>751.91700000000026</v>
      </c>
      <c r="L269" s="576">
        <f t="shared" si="94"/>
        <v>0.5</v>
      </c>
      <c r="M269" s="576">
        <f t="shared" si="90"/>
        <v>0.5</v>
      </c>
      <c r="N269" s="58">
        <f t="shared" si="95"/>
        <v>0</v>
      </c>
      <c r="O269" s="58">
        <f t="shared" si="95"/>
        <v>0</v>
      </c>
      <c r="P269" s="1367">
        <f t="shared" si="82"/>
        <v>0.30076680000000011</v>
      </c>
      <c r="Q269" s="1102">
        <f t="shared" si="83"/>
        <v>1.5038340000000006</v>
      </c>
      <c r="R269" s="58"/>
      <c r="S269" s="1213">
        <f t="shared" si="84"/>
        <v>9.0230040000000025E-2</v>
      </c>
      <c r="T269" s="1200">
        <f t="shared" si="85"/>
        <v>2.8758309862458322</v>
      </c>
      <c r="U269" s="1615">
        <f t="shared" si="85"/>
        <v>14.379154931229159</v>
      </c>
      <c r="V269" s="1615">
        <f t="shared" si="85"/>
        <v>0</v>
      </c>
      <c r="W269" s="1202">
        <f t="shared" si="85"/>
        <v>0.86274929587374949</v>
      </c>
    </row>
    <row r="270" spans="1:23">
      <c r="A270" s="466">
        <f>'Input data'!A136</f>
        <v>2036</v>
      </c>
      <c r="B270" s="1368">
        <f>'Recycling - Case 3'!AI116</f>
        <v>6437.6604656145792</v>
      </c>
      <c r="C270" s="576">
        <f t="shared" si="93"/>
        <v>0.5</v>
      </c>
      <c r="D270" s="576">
        <f t="shared" si="86"/>
        <v>0.5</v>
      </c>
      <c r="E270" s="58">
        <v>0</v>
      </c>
      <c r="F270" s="58">
        <v>0</v>
      </c>
      <c r="G270" s="1367">
        <f t="shared" si="87"/>
        <v>2.5750641862458319</v>
      </c>
      <c r="H270" s="1102">
        <f t="shared" si="88"/>
        <v>12.875320931229158</v>
      </c>
      <c r="I270" s="58"/>
      <c r="J270" s="1213">
        <f t="shared" si="89"/>
        <v>0.77251925587374948</v>
      </c>
      <c r="K270" s="1366">
        <f>'Recycling - Case 3'!Z196</f>
        <v>751.91700000000026</v>
      </c>
      <c r="L270" s="576">
        <f t="shared" si="94"/>
        <v>0.5</v>
      </c>
      <c r="M270" s="576">
        <f t="shared" si="90"/>
        <v>0.5</v>
      </c>
      <c r="N270" s="58">
        <f t="shared" si="95"/>
        <v>0</v>
      </c>
      <c r="O270" s="58">
        <f t="shared" si="95"/>
        <v>0</v>
      </c>
      <c r="P270" s="1367">
        <f t="shared" si="82"/>
        <v>0.30076680000000011</v>
      </c>
      <c r="Q270" s="1102">
        <f t="shared" si="83"/>
        <v>1.5038340000000006</v>
      </c>
      <c r="R270" s="58"/>
      <c r="S270" s="1213">
        <f t="shared" si="84"/>
        <v>9.0230040000000025E-2</v>
      </c>
      <c r="T270" s="1200">
        <f t="shared" si="85"/>
        <v>2.8758309862458322</v>
      </c>
      <c r="U270" s="1615">
        <f t="shared" si="85"/>
        <v>14.379154931229159</v>
      </c>
      <c r="V270" s="1615">
        <f t="shared" si="85"/>
        <v>0</v>
      </c>
      <c r="W270" s="1202">
        <f t="shared" si="85"/>
        <v>0.86274929587374949</v>
      </c>
    </row>
    <row r="271" spans="1:23">
      <c r="A271" s="466">
        <f>'Input data'!A137</f>
        <v>2037</v>
      </c>
      <c r="B271" s="1368">
        <f>'Recycling - Case 3'!AI117</f>
        <v>6437.6604656145792</v>
      </c>
      <c r="C271" s="576">
        <f t="shared" si="93"/>
        <v>0.5</v>
      </c>
      <c r="D271" s="576">
        <f t="shared" si="86"/>
        <v>0.5</v>
      </c>
      <c r="E271" s="58">
        <v>0</v>
      </c>
      <c r="F271" s="58">
        <v>0</v>
      </c>
      <c r="G271" s="1367">
        <f t="shared" si="87"/>
        <v>2.5750641862458319</v>
      </c>
      <c r="H271" s="1102">
        <f t="shared" si="88"/>
        <v>12.875320931229158</v>
      </c>
      <c r="I271" s="58"/>
      <c r="J271" s="1213">
        <f t="shared" si="89"/>
        <v>0.77251925587374948</v>
      </c>
      <c r="K271" s="1366">
        <f>'Recycling - Case 3'!Z197</f>
        <v>751.91700000000026</v>
      </c>
      <c r="L271" s="576">
        <f t="shared" si="94"/>
        <v>0.5</v>
      </c>
      <c r="M271" s="576">
        <f t="shared" si="90"/>
        <v>0.5</v>
      </c>
      <c r="N271" s="58">
        <f t="shared" si="95"/>
        <v>0</v>
      </c>
      <c r="O271" s="58">
        <f t="shared" si="95"/>
        <v>0</v>
      </c>
      <c r="P271" s="1367">
        <f t="shared" si="82"/>
        <v>0.30076680000000011</v>
      </c>
      <c r="Q271" s="1102">
        <f t="shared" si="83"/>
        <v>1.5038340000000006</v>
      </c>
      <c r="R271" s="58"/>
      <c r="S271" s="1213">
        <f t="shared" si="84"/>
        <v>9.0230040000000025E-2</v>
      </c>
      <c r="T271" s="1200">
        <f t="shared" si="85"/>
        <v>2.8758309862458322</v>
      </c>
      <c r="U271" s="1615">
        <f t="shared" si="85"/>
        <v>14.379154931229159</v>
      </c>
      <c r="V271" s="1615">
        <f t="shared" si="85"/>
        <v>0</v>
      </c>
      <c r="W271" s="1202">
        <f t="shared" si="85"/>
        <v>0.86274929587374949</v>
      </c>
    </row>
    <row r="272" spans="1:23">
      <c r="A272" s="466">
        <f>'Input data'!A138</f>
        <v>2038</v>
      </c>
      <c r="B272" s="1368">
        <f>'Recycling - Case 3'!AI118</f>
        <v>6437.6604656145792</v>
      </c>
      <c r="C272" s="576">
        <f t="shared" si="93"/>
        <v>0.5</v>
      </c>
      <c r="D272" s="576">
        <f t="shared" si="86"/>
        <v>0.5</v>
      </c>
      <c r="E272" s="58">
        <v>0</v>
      </c>
      <c r="F272" s="58">
        <v>0</v>
      </c>
      <c r="G272" s="1367">
        <f t="shared" si="87"/>
        <v>2.5750641862458319</v>
      </c>
      <c r="H272" s="1102">
        <f t="shared" si="88"/>
        <v>12.875320931229158</v>
      </c>
      <c r="I272" s="58"/>
      <c r="J272" s="1213">
        <f t="shared" si="89"/>
        <v>0.77251925587374948</v>
      </c>
      <c r="K272" s="1366">
        <f>'Recycling - Case 3'!Z198</f>
        <v>751.91700000000026</v>
      </c>
      <c r="L272" s="576">
        <f t="shared" si="94"/>
        <v>0.5</v>
      </c>
      <c r="M272" s="576">
        <f t="shared" si="90"/>
        <v>0.5</v>
      </c>
      <c r="N272" s="58">
        <f t="shared" si="95"/>
        <v>0</v>
      </c>
      <c r="O272" s="58">
        <f t="shared" si="95"/>
        <v>0</v>
      </c>
      <c r="P272" s="1367">
        <f t="shared" si="82"/>
        <v>0.30076680000000011</v>
      </c>
      <c r="Q272" s="1102">
        <f t="shared" si="83"/>
        <v>1.5038340000000006</v>
      </c>
      <c r="R272" s="58"/>
      <c r="S272" s="1213">
        <f t="shared" si="84"/>
        <v>9.0230040000000025E-2</v>
      </c>
      <c r="T272" s="1200">
        <f t="shared" si="85"/>
        <v>2.8758309862458322</v>
      </c>
      <c r="U272" s="1615">
        <f t="shared" si="85"/>
        <v>14.379154931229159</v>
      </c>
      <c r="V272" s="1615">
        <f t="shared" si="85"/>
        <v>0</v>
      </c>
      <c r="W272" s="1202">
        <f t="shared" si="85"/>
        <v>0.86274929587374949</v>
      </c>
    </row>
    <row r="273" spans="1:23">
      <c r="A273" s="466">
        <f>'Input data'!A139</f>
        <v>2039</v>
      </c>
      <c r="B273" s="1368">
        <f>'Recycling - Case 3'!AI119</f>
        <v>6437.6604656145792</v>
      </c>
      <c r="C273" s="576">
        <f t="shared" si="93"/>
        <v>0.5</v>
      </c>
      <c r="D273" s="576">
        <f t="shared" si="86"/>
        <v>0.5</v>
      </c>
      <c r="E273" s="58">
        <v>0</v>
      </c>
      <c r="F273" s="58">
        <v>0</v>
      </c>
      <c r="G273" s="1367">
        <f t="shared" si="87"/>
        <v>2.5750641862458319</v>
      </c>
      <c r="H273" s="1102">
        <f t="shared" si="88"/>
        <v>12.875320931229158</v>
      </c>
      <c r="I273" s="58"/>
      <c r="J273" s="1213">
        <f t="shared" si="89"/>
        <v>0.77251925587374948</v>
      </c>
      <c r="K273" s="1366">
        <f>'Recycling - Case 3'!Z199</f>
        <v>751.91700000000026</v>
      </c>
      <c r="L273" s="576">
        <f t="shared" si="94"/>
        <v>0.5</v>
      </c>
      <c r="M273" s="576">
        <f t="shared" si="90"/>
        <v>0.5</v>
      </c>
      <c r="N273" s="58">
        <f t="shared" si="95"/>
        <v>0</v>
      </c>
      <c r="O273" s="58">
        <f t="shared" si="95"/>
        <v>0</v>
      </c>
      <c r="P273" s="1367">
        <f t="shared" si="82"/>
        <v>0.30076680000000011</v>
      </c>
      <c r="Q273" s="1102">
        <f t="shared" si="83"/>
        <v>1.5038340000000006</v>
      </c>
      <c r="R273" s="58"/>
      <c r="S273" s="1213">
        <f t="shared" si="84"/>
        <v>9.0230040000000025E-2</v>
      </c>
      <c r="T273" s="1200">
        <f t="shared" si="85"/>
        <v>2.8758309862458322</v>
      </c>
      <c r="U273" s="1615">
        <f t="shared" si="85"/>
        <v>14.379154931229159</v>
      </c>
      <c r="V273" s="1615">
        <f t="shared" si="85"/>
        <v>0</v>
      </c>
      <c r="W273" s="1202">
        <f t="shared" si="85"/>
        <v>0.86274929587374949</v>
      </c>
    </row>
    <row r="274" spans="1:23">
      <c r="A274" s="466">
        <f>'Input data'!A140</f>
        <v>2040</v>
      </c>
      <c r="B274" s="1368">
        <f>'Recycling - Case 3'!AI120</f>
        <v>6437.6604656145792</v>
      </c>
      <c r="C274" s="576">
        <f t="shared" si="93"/>
        <v>0.5</v>
      </c>
      <c r="D274" s="576">
        <f t="shared" si="86"/>
        <v>0.5</v>
      </c>
      <c r="E274" s="58">
        <v>0</v>
      </c>
      <c r="F274" s="58">
        <v>0</v>
      </c>
      <c r="G274" s="1367">
        <f t="shared" si="87"/>
        <v>2.5750641862458319</v>
      </c>
      <c r="H274" s="1102">
        <f t="shared" si="88"/>
        <v>12.875320931229158</v>
      </c>
      <c r="I274" s="58"/>
      <c r="J274" s="1213">
        <f t="shared" si="89"/>
        <v>0.77251925587374948</v>
      </c>
      <c r="K274" s="1366">
        <f>'Recycling - Case 3'!Z200</f>
        <v>751.91700000000026</v>
      </c>
      <c r="L274" s="576">
        <f t="shared" si="94"/>
        <v>0.5</v>
      </c>
      <c r="M274" s="576">
        <f t="shared" si="90"/>
        <v>0.5</v>
      </c>
      <c r="N274" s="58">
        <f t="shared" si="95"/>
        <v>0</v>
      </c>
      <c r="O274" s="58">
        <f t="shared" si="95"/>
        <v>0</v>
      </c>
      <c r="P274" s="1367">
        <f t="shared" si="82"/>
        <v>0.30076680000000011</v>
      </c>
      <c r="Q274" s="1102">
        <f t="shared" si="83"/>
        <v>1.5038340000000006</v>
      </c>
      <c r="R274" s="58"/>
      <c r="S274" s="1213">
        <f t="shared" si="84"/>
        <v>9.0230040000000025E-2</v>
      </c>
      <c r="T274" s="1200">
        <f t="shared" si="85"/>
        <v>2.8758309862458322</v>
      </c>
      <c r="U274" s="1615">
        <f t="shared" si="85"/>
        <v>14.379154931229159</v>
      </c>
      <c r="V274" s="1615">
        <f t="shared" si="85"/>
        <v>0</v>
      </c>
      <c r="W274" s="1202">
        <f t="shared" si="85"/>
        <v>0.86274929587374949</v>
      </c>
    </row>
    <row r="275" spans="1:23">
      <c r="A275" s="466">
        <f>'Input data'!A141</f>
        <v>2041</v>
      </c>
      <c r="B275" s="1368">
        <f>'Recycling - Case 3'!AI121</f>
        <v>6437.6604656145792</v>
      </c>
      <c r="C275" s="576">
        <f t="shared" si="93"/>
        <v>0.5</v>
      </c>
      <c r="D275" s="576">
        <f t="shared" si="86"/>
        <v>0.5</v>
      </c>
      <c r="E275" s="58">
        <v>0</v>
      </c>
      <c r="F275" s="58">
        <v>0</v>
      </c>
      <c r="G275" s="1367">
        <f t="shared" si="87"/>
        <v>2.5750641862458319</v>
      </c>
      <c r="H275" s="1102">
        <f t="shared" si="88"/>
        <v>12.875320931229158</v>
      </c>
      <c r="I275" s="58"/>
      <c r="J275" s="1213">
        <f t="shared" si="89"/>
        <v>0.77251925587374948</v>
      </c>
      <c r="K275" s="1366">
        <f>'Recycling - Case 3'!Z201</f>
        <v>751.91700000000026</v>
      </c>
      <c r="L275" s="576">
        <f t="shared" si="94"/>
        <v>0.5</v>
      </c>
      <c r="M275" s="576">
        <f t="shared" si="90"/>
        <v>0.5</v>
      </c>
      <c r="N275" s="58">
        <f t="shared" si="95"/>
        <v>0</v>
      </c>
      <c r="O275" s="58">
        <f t="shared" si="95"/>
        <v>0</v>
      </c>
      <c r="P275" s="1367">
        <f t="shared" si="82"/>
        <v>0.30076680000000011</v>
      </c>
      <c r="Q275" s="1102">
        <f t="shared" si="83"/>
        <v>1.5038340000000006</v>
      </c>
      <c r="R275" s="58"/>
      <c r="S275" s="1213">
        <f t="shared" si="84"/>
        <v>9.0230040000000025E-2</v>
      </c>
      <c r="T275" s="1200">
        <f t="shared" si="85"/>
        <v>2.8758309862458322</v>
      </c>
      <c r="U275" s="1615">
        <f t="shared" si="85"/>
        <v>14.379154931229159</v>
      </c>
      <c r="V275" s="1615">
        <f t="shared" si="85"/>
        <v>0</v>
      </c>
      <c r="W275" s="1202">
        <f t="shared" si="85"/>
        <v>0.86274929587374949</v>
      </c>
    </row>
    <row r="276" spans="1:23">
      <c r="A276" s="466">
        <f>'Input data'!A142</f>
        <v>2042</v>
      </c>
      <c r="B276" s="1368">
        <f>'Recycling - Case 3'!AI122</f>
        <v>6437.6604656145792</v>
      </c>
      <c r="C276" s="576">
        <f t="shared" si="93"/>
        <v>0.5</v>
      </c>
      <c r="D276" s="576">
        <f t="shared" si="86"/>
        <v>0.5</v>
      </c>
      <c r="E276" s="58">
        <v>0</v>
      </c>
      <c r="F276" s="58">
        <v>0</v>
      </c>
      <c r="G276" s="1367">
        <f t="shared" si="87"/>
        <v>2.5750641862458319</v>
      </c>
      <c r="H276" s="1102">
        <f t="shared" si="88"/>
        <v>12.875320931229158</v>
      </c>
      <c r="I276" s="58"/>
      <c r="J276" s="1213">
        <f t="shared" si="89"/>
        <v>0.77251925587374948</v>
      </c>
      <c r="K276" s="1366">
        <f>'Recycling - Case 3'!Z202</f>
        <v>751.91700000000026</v>
      </c>
      <c r="L276" s="576">
        <f t="shared" si="94"/>
        <v>0.5</v>
      </c>
      <c r="M276" s="576">
        <f t="shared" si="90"/>
        <v>0.5</v>
      </c>
      <c r="N276" s="58">
        <f t="shared" si="95"/>
        <v>0</v>
      </c>
      <c r="O276" s="58">
        <f t="shared" si="95"/>
        <v>0</v>
      </c>
      <c r="P276" s="1367">
        <f t="shared" si="82"/>
        <v>0.30076680000000011</v>
      </c>
      <c r="Q276" s="1102">
        <f t="shared" si="83"/>
        <v>1.5038340000000006</v>
      </c>
      <c r="R276" s="58"/>
      <c r="S276" s="1213">
        <f t="shared" si="84"/>
        <v>9.0230040000000025E-2</v>
      </c>
      <c r="T276" s="1200">
        <f t="shared" si="85"/>
        <v>2.8758309862458322</v>
      </c>
      <c r="U276" s="1615">
        <f t="shared" si="85"/>
        <v>14.379154931229159</v>
      </c>
      <c r="V276" s="1615">
        <f t="shared" si="85"/>
        <v>0</v>
      </c>
      <c r="W276" s="1202">
        <f t="shared" si="85"/>
        <v>0.86274929587374949</v>
      </c>
    </row>
    <row r="277" spans="1:23">
      <c r="A277" s="466">
        <f>'Input data'!A143</f>
        <v>2043</v>
      </c>
      <c r="B277" s="1368">
        <f>'Recycling - Case 3'!AI123</f>
        <v>6437.6604656145792</v>
      </c>
      <c r="C277" s="576">
        <f t="shared" si="93"/>
        <v>0.5</v>
      </c>
      <c r="D277" s="576">
        <f t="shared" si="86"/>
        <v>0.5</v>
      </c>
      <c r="E277" s="58">
        <v>0</v>
      </c>
      <c r="F277" s="58">
        <v>0</v>
      </c>
      <c r="G277" s="1367">
        <f t="shared" si="87"/>
        <v>2.5750641862458319</v>
      </c>
      <c r="H277" s="1102">
        <f t="shared" si="88"/>
        <v>12.875320931229158</v>
      </c>
      <c r="I277" s="58"/>
      <c r="J277" s="1213">
        <f t="shared" si="89"/>
        <v>0.77251925587374948</v>
      </c>
      <c r="K277" s="1366">
        <f>'Recycling - Case 3'!Z203</f>
        <v>751.91700000000026</v>
      </c>
      <c r="L277" s="576">
        <f t="shared" si="94"/>
        <v>0.5</v>
      </c>
      <c r="M277" s="576">
        <f t="shared" si="90"/>
        <v>0.5</v>
      </c>
      <c r="N277" s="58">
        <f t="shared" si="95"/>
        <v>0</v>
      </c>
      <c r="O277" s="58">
        <f t="shared" si="95"/>
        <v>0</v>
      </c>
      <c r="P277" s="1367">
        <f t="shared" si="82"/>
        <v>0.30076680000000011</v>
      </c>
      <c r="Q277" s="1102">
        <f t="shared" si="83"/>
        <v>1.5038340000000006</v>
      </c>
      <c r="R277" s="58"/>
      <c r="S277" s="1213">
        <f t="shared" si="84"/>
        <v>9.0230040000000025E-2</v>
      </c>
      <c r="T277" s="1200">
        <f t="shared" si="85"/>
        <v>2.8758309862458322</v>
      </c>
      <c r="U277" s="1615">
        <f t="shared" si="85"/>
        <v>14.379154931229159</v>
      </c>
      <c r="V277" s="1615">
        <f t="shared" si="85"/>
        <v>0</v>
      </c>
      <c r="W277" s="1202">
        <f t="shared" si="85"/>
        <v>0.86274929587374949</v>
      </c>
    </row>
    <row r="278" spans="1:23">
      <c r="A278" s="466">
        <f>'Input data'!A144</f>
        <v>2044</v>
      </c>
      <c r="B278" s="1368">
        <f>'Recycling - Case 3'!AI124</f>
        <v>6437.6604656145792</v>
      </c>
      <c r="C278" s="576">
        <f t="shared" si="93"/>
        <v>0.5</v>
      </c>
      <c r="D278" s="576">
        <f t="shared" si="86"/>
        <v>0.5</v>
      </c>
      <c r="E278" s="58">
        <v>0</v>
      </c>
      <c r="F278" s="58">
        <v>0</v>
      </c>
      <c r="G278" s="1367">
        <f t="shared" si="87"/>
        <v>2.5750641862458319</v>
      </c>
      <c r="H278" s="1102">
        <f t="shared" si="88"/>
        <v>12.875320931229158</v>
      </c>
      <c r="I278" s="58"/>
      <c r="J278" s="1213">
        <f t="shared" si="89"/>
        <v>0.77251925587374948</v>
      </c>
      <c r="K278" s="1366">
        <f>'Recycling - Case 3'!Z204</f>
        <v>751.91700000000026</v>
      </c>
      <c r="L278" s="576">
        <f t="shared" si="94"/>
        <v>0.5</v>
      </c>
      <c r="M278" s="576">
        <f t="shared" si="90"/>
        <v>0.5</v>
      </c>
      <c r="N278" s="58">
        <f t="shared" si="95"/>
        <v>0</v>
      </c>
      <c r="O278" s="58">
        <f t="shared" si="95"/>
        <v>0</v>
      </c>
      <c r="P278" s="1367">
        <f t="shared" si="82"/>
        <v>0.30076680000000011</v>
      </c>
      <c r="Q278" s="1102">
        <f t="shared" si="83"/>
        <v>1.5038340000000006</v>
      </c>
      <c r="R278" s="58"/>
      <c r="S278" s="1213">
        <f t="shared" si="84"/>
        <v>9.0230040000000025E-2</v>
      </c>
      <c r="T278" s="1200">
        <f t="shared" si="85"/>
        <v>2.8758309862458322</v>
      </c>
      <c r="U278" s="1615">
        <f t="shared" si="85"/>
        <v>14.379154931229159</v>
      </c>
      <c r="V278" s="1615">
        <f t="shared" si="85"/>
        <v>0</v>
      </c>
      <c r="W278" s="1202">
        <f t="shared" si="85"/>
        <v>0.86274929587374949</v>
      </c>
    </row>
    <row r="279" spans="1:23">
      <c r="A279" s="466">
        <f>'Input data'!A145</f>
        <v>2045</v>
      </c>
      <c r="B279" s="1368">
        <f>'Recycling - Case 3'!AI125</f>
        <v>6437.6604656145792</v>
      </c>
      <c r="C279" s="576">
        <f t="shared" si="93"/>
        <v>0.5</v>
      </c>
      <c r="D279" s="576">
        <f t="shared" si="86"/>
        <v>0.5</v>
      </c>
      <c r="E279" s="58">
        <v>0</v>
      </c>
      <c r="F279" s="58">
        <v>0</v>
      </c>
      <c r="G279" s="1367">
        <f t="shared" si="87"/>
        <v>2.5750641862458319</v>
      </c>
      <c r="H279" s="1102">
        <f t="shared" si="88"/>
        <v>12.875320931229158</v>
      </c>
      <c r="I279" s="58"/>
      <c r="J279" s="1213">
        <f t="shared" si="89"/>
        <v>0.77251925587374948</v>
      </c>
      <c r="K279" s="1366">
        <f>'Recycling - Case 3'!Z205</f>
        <v>751.91700000000026</v>
      </c>
      <c r="L279" s="576">
        <f t="shared" si="94"/>
        <v>0.5</v>
      </c>
      <c r="M279" s="576">
        <f t="shared" si="90"/>
        <v>0.5</v>
      </c>
      <c r="N279" s="58">
        <f t="shared" si="95"/>
        <v>0</v>
      </c>
      <c r="O279" s="58">
        <f t="shared" si="95"/>
        <v>0</v>
      </c>
      <c r="P279" s="1367">
        <f t="shared" si="82"/>
        <v>0.30076680000000011</v>
      </c>
      <c r="Q279" s="1102">
        <f t="shared" si="83"/>
        <v>1.5038340000000006</v>
      </c>
      <c r="R279" s="58"/>
      <c r="S279" s="1213">
        <f t="shared" si="84"/>
        <v>9.0230040000000025E-2</v>
      </c>
      <c r="T279" s="1200">
        <f t="shared" si="85"/>
        <v>2.8758309862458322</v>
      </c>
      <c r="U279" s="1615">
        <f t="shared" si="85"/>
        <v>14.379154931229159</v>
      </c>
      <c r="V279" s="1615">
        <f t="shared" si="85"/>
        <v>0</v>
      </c>
      <c r="W279" s="1202">
        <f t="shared" si="85"/>
        <v>0.86274929587374949</v>
      </c>
    </row>
    <row r="280" spans="1:23">
      <c r="A280" s="466">
        <f>'Input data'!A146</f>
        <v>2046</v>
      </c>
      <c r="B280" s="1368">
        <f>'Recycling - Case 3'!AI126</f>
        <v>6437.6604656145792</v>
      </c>
      <c r="C280" s="576">
        <f t="shared" si="93"/>
        <v>0.5</v>
      </c>
      <c r="D280" s="576">
        <f t="shared" si="86"/>
        <v>0.5</v>
      </c>
      <c r="E280" s="58">
        <v>0</v>
      </c>
      <c r="F280" s="58">
        <v>0</v>
      </c>
      <c r="G280" s="1367">
        <f t="shared" si="87"/>
        <v>2.5750641862458319</v>
      </c>
      <c r="H280" s="1102">
        <f t="shared" si="88"/>
        <v>12.875320931229158</v>
      </c>
      <c r="I280" s="58"/>
      <c r="J280" s="1213">
        <f t="shared" si="89"/>
        <v>0.77251925587374948</v>
      </c>
      <c r="K280" s="1366">
        <f>'Recycling - Case 3'!Z206</f>
        <v>751.91700000000026</v>
      </c>
      <c r="L280" s="576">
        <f t="shared" si="94"/>
        <v>0.5</v>
      </c>
      <c r="M280" s="576">
        <f t="shared" si="90"/>
        <v>0.5</v>
      </c>
      <c r="N280" s="58">
        <f t="shared" si="95"/>
        <v>0</v>
      </c>
      <c r="O280" s="58">
        <f t="shared" si="95"/>
        <v>0</v>
      </c>
      <c r="P280" s="1367">
        <f t="shared" si="82"/>
        <v>0.30076680000000011</v>
      </c>
      <c r="Q280" s="1102">
        <f t="shared" si="83"/>
        <v>1.5038340000000006</v>
      </c>
      <c r="R280" s="58"/>
      <c r="S280" s="1213">
        <f t="shared" si="84"/>
        <v>9.0230040000000025E-2</v>
      </c>
      <c r="T280" s="1200">
        <f t="shared" si="85"/>
        <v>2.8758309862458322</v>
      </c>
      <c r="U280" s="1615">
        <f t="shared" si="85"/>
        <v>14.379154931229159</v>
      </c>
      <c r="V280" s="1615">
        <f t="shared" si="85"/>
        <v>0</v>
      </c>
      <c r="W280" s="1202">
        <f t="shared" si="85"/>
        <v>0.86274929587374949</v>
      </c>
    </row>
    <row r="281" spans="1:23">
      <c r="A281" s="466">
        <f>'Input data'!A147</f>
        <v>2047</v>
      </c>
      <c r="B281" s="1368">
        <f>'Recycling - Case 3'!AI127</f>
        <v>6437.6604656145792</v>
      </c>
      <c r="C281" s="576">
        <f t="shared" si="93"/>
        <v>0.5</v>
      </c>
      <c r="D281" s="576">
        <f t="shared" si="86"/>
        <v>0.5</v>
      </c>
      <c r="E281" s="58">
        <v>0</v>
      </c>
      <c r="F281" s="58">
        <v>0</v>
      </c>
      <c r="G281" s="1367">
        <f t="shared" si="87"/>
        <v>2.5750641862458319</v>
      </c>
      <c r="H281" s="1102">
        <f t="shared" si="88"/>
        <v>12.875320931229158</v>
      </c>
      <c r="I281" s="58"/>
      <c r="J281" s="1213">
        <f t="shared" si="89"/>
        <v>0.77251925587374948</v>
      </c>
      <c r="K281" s="1366">
        <f>'Recycling - Case 3'!Z207</f>
        <v>751.91700000000026</v>
      </c>
      <c r="L281" s="576">
        <f t="shared" si="94"/>
        <v>0.5</v>
      </c>
      <c r="M281" s="576">
        <f t="shared" si="90"/>
        <v>0.5</v>
      </c>
      <c r="N281" s="58">
        <f t="shared" si="95"/>
        <v>0</v>
      </c>
      <c r="O281" s="58">
        <f t="shared" si="95"/>
        <v>0</v>
      </c>
      <c r="P281" s="1367">
        <f t="shared" si="82"/>
        <v>0.30076680000000011</v>
      </c>
      <c r="Q281" s="1102">
        <f t="shared" si="83"/>
        <v>1.5038340000000006</v>
      </c>
      <c r="R281" s="58"/>
      <c r="S281" s="1213">
        <f t="shared" si="84"/>
        <v>9.0230040000000025E-2</v>
      </c>
      <c r="T281" s="1200">
        <f t="shared" si="85"/>
        <v>2.8758309862458322</v>
      </c>
      <c r="U281" s="1615">
        <f t="shared" si="85"/>
        <v>14.379154931229159</v>
      </c>
      <c r="V281" s="1615">
        <f t="shared" si="85"/>
        <v>0</v>
      </c>
      <c r="W281" s="1202">
        <f t="shared" si="85"/>
        <v>0.86274929587374949</v>
      </c>
    </row>
    <row r="282" spans="1:23">
      <c r="A282" s="466">
        <f>'Input data'!A148</f>
        <v>2048</v>
      </c>
      <c r="B282" s="1368">
        <f>'Recycling - Case 3'!AI128</f>
        <v>6437.6604656145792</v>
      </c>
      <c r="C282" s="576">
        <f t="shared" si="93"/>
        <v>0.5</v>
      </c>
      <c r="D282" s="576">
        <f t="shared" si="86"/>
        <v>0.5</v>
      </c>
      <c r="E282" s="58">
        <v>0</v>
      </c>
      <c r="F282" s="58">
        <v>0</v>
      </c>
      <c r="G282" s="1367">
        <f t="shared" si="87"/>
        <v>2.5750641862458319</v>
      </c>
      <c r="H282" s="1102">
        <f t="shared" si="88"/>
        <v>12.875320931229158</v>
      </c>
      <c r="I282" s="58"/>
      <c r="J282" s="1213">
        <f t="shared" si="89"/>
        <v>0.77251925587374948</v>
      </c>
      <c r="K282" s="1366">
        <f>'Recycling - Case 3'!Z208</f>
        <v>751.91700000000026</v>
      </c>
      <c r="L282" s="576">
        <f t="shared" si="94"/>
        <v>0.5</v>
      </c>
      <c r="M282" s="576">
        <f t="shared" si="90"/>
        <v>0.5</v>
      </c>
      <c r="N282" s="58">
        <f t="shared" si="95"/>
        <v>0</v>
      </c>
      <c r="O282" s="58">
        <f t="shared" si="95"/>
        <v>0</v>
      </c>
      <c r="P282" s="1367">
        <f t="shared" si="82"/>
        <v>0.30076680000000011</v>
      </c>
      <c r="Q282" s="1102">
        <f t="shared" si="83"/>
        <v>1.5038340000000006</v>
      </c>
      <c r="R282" s="58"/>
      <c r="S282" s="1213">
        <f t="shared" si="84"/>
        <v>9.0230040000000025E-2</v>
      </c>
      <c r="T282" s="1200">
        <f t="shared" si="85"/>
        <v>2.8758309862458322</v>
      </c>
      <c r="U282" s="1615">
        <f t="shared" si="85"/>
        <v>14.379154931229159</v>
      </c>
      <c r="V282" s="1615">
        <f t="shared" si="85"/>
        <v>0</v>
      </c>
      <c r="W282" s="1202">
        <f t="shared" si="85"/>
        <v>0.86274929587374949</v>
      </c>
    </row>
    <row r="283" spans="1:23">
      <c r="A283" s="466">
        <f>'Input data'!A149</f>
        <v>2049</v>
      </c>
      <c r="B283" s="1368">
        <f>'Recycling - Case 3'!AI129</f>
        <v>6437.6604656145792</v>
      </c>
      <c r="C283" s="576">
        <f t="shared" si="93"/>
        <v>0.5</v>
      </c>
      <c r="D283" s="576">
        <f t="shared" si="86"/>
        <v>0.5</v>
      </c>
      <c r="E283" s="58">
        <v>0</v>
      </c>
      <c r="F283" s="58">
        <v>0</v>
      </c>
      <c r="G283" s="1367">
        <f t="shared" si="87"/>
        <v>2.5750641862458319</v>
      </c>
      <c r="H283" s="1102">
        <f t="shared" si="88"/>
        <v>12.875320931229158</v>
      </c>
      <c r="I283" s="58"/>
      <c r="J283" s="1213">
        <f t="shared" si="89"/>
        <v>0.77251925587374948</v>
      </c>
      <c r="K283" s="1366">
        <f>'Recycling - Case 3'!Z209</f>
        <v>751.91700000000026</v>
      </c>
      <c r="L283" s="576">
        <f t="shared" si="94"/>
        <v>0.5</v>
      </c>
      <c r="M283" s="576">
        <f t="shared" si="90"/>
        <v>0.5</v>
      </c>
      <c r="N283" s="58">
        <f t="shared" si="95"/>
        <v>0</v>
      </c>
      <c r="O283" s="58">
        <f t="shared" si="95"/>
        <v>0</v>
      </c>
      <c r="P283" s="1367">
        <f t="shared" si="82"/>
        <v>0.30076680000000011</v>
      </c>
      <c r="Q283" s="1102">
        <f t="shared" si="83"/>
        <v>1.5038340000000006</v>
      </c>
      <c r="R283" s="58"/>
      <c r="S283" s="1213">
        <f t="shared" si="84"/>
        <v>9.0230040000000025E-2</v>
      </c>
      <c r="T283" s="1200">
        <f t="shared" si="85"/>
        <v>2.8758309862458322</v>
      </c>
      <c r="U283" s="1615">
        <f t="shared" si="85"/>
        <v>14.379154931229159</v>
      </c>
      <c r="V283" s="1615">
        <f t="shared" si="85"/>
        <v>0</v>
      </c>
      <c r="W283" s="1202">
        <f t="shared" si="85"/>
        <v>0.86274929587374949</v>
      </c>
    </row>
    <row r="284" spans="1:23" ht="15.75" thickBot="1">
      <c r="A284" s="1365">
        <f>'Input data'!A150</f>
        <v>2050</v>
      </c>
      <c r="B284" s="1616">
        <f>'Recycling - Case 3'!AI130</f>
        <v>6437.6604656145792</v>
      </c>
      <c r="C284" s="578">
        <f t="shared" si="93"/>
        <v>0.5</v>
      </c>
      <c r="D284" s="578">
        <f t="shared" si="86"/>
        <v>0.5</v>
      </c>
      <c r="E284" s="1214">
        <v>0</v>
      </c>
      <c r="F284" s="1214">
        <v>0</v>
      </c>
      <c r="G284" s="1215">
        <f t="shared" si="87"/>
        <v>2.5750641862458319</v>
      </c>
      <c r="H284" s="1146">
        <f t="shared" si="88"/>
        <v>12.875320931229158</v>
      </c>
      <c r="I284" s="1214"/>
      <c r="J284" s="1216">
        <f t="shared" si="89"/>
        <v>0.77251925587374948</v>
      </c>
      <c r="K284" s="1487">
        <f>'Recycling - Case 3'!Z210</f>
        <v>751.91700000000026</v>
      </c>
      <c r="L284" s="578">
        <f t="shared" si="94"/>
        <v>0.5</v>
      </c>
      <c r="M284" s="578">
        <f t="shared" si="90"/>
        <v>0.5</v>
      </c>
      <c r="N284" s="1214">
        <f t="shared" ref="N284:O284" si="96">N146</f>
        <v>0</v>
      </c>
      <c r="O284" s="1214">
        <f t="shared" si="96"/>
        <v>0</v>
      </c>
      <c r="P284" s="1215">
        <f t="shared" si="82"/>
        <v>0.30076680000000011</v>
      </c>
      <c r="Q284" s="1146">
        <f t="shared" si="83"/>
        <v>1.5038340000000006</v>
      </c>
      <c r="R284" s="1214"/>
      <c r="S284" s="1216">
        <f t="shared" si="84"/>
        <v>9.0230040000000025E-2</v>
      </c>
      <c r="T284" s="1217">
        <f t="shared" si="85"/>
        <v>2.8758309862458322</v>
      </c>
      <c r="U284" s="1218">
        <f t="shared" si="85"/>
        <v>14.379154931229159</v>
      </c>
      <c r="V284" s="1218">
        <f t="shared" si="85"/>
        <v>0</v>
      </c>
      <c r="W284" s="1219">
        <f t="shared" si="85"/>
        <v>0.86274929587374949</v>
      </c>
    </row>
  </sheetData>
  <mergeCells count="15">
    <mergeCell ref="T11:U11"/>
    <mergeCell ref="V11:W11"/>
    <mergeCell ref="K10:S10"/>
    <mergeCell ref="B10:J10"/>
    <mergeCell ref="T10:W10"/>
    <mergeCell ref="N11:O11"/>
    <mergeCell ref="P11:Q11"/>
    <mergeCell ref="R11:S11"/>
    <mergeCell ref="L11:M11"/>
    <mergeCell ref="C11:D11"/>
    <mergeCell ref="A11:A12"/>
    <mergeCell ref="F4:F8"/>
    <mergeCell ref="E11:F11"/>
    <mergeCell ref="I11:J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5"/>
  <cols>
    <col min="2" max="2" width="15.42578125" bestFit="1" customWidth="1"/>
    <col min="3" max="3" width="17.285156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823</v>
      </c>
      <c r="C8" t="str">
        <f>"Drivers!"&amp;ADDRESS(ROW(Drivers!A40),COLUMN(Drivers!A40),4)</f>
        <v>Drivers!A40</v>
      </c>
      <c r="E8">
        <v>1</v>
      </c>
    </row>
    <row r="9" spans="1:6">
      <c r="A9" t="s">
        <v>669</v>
      </c>
      <c r="B9" t="s">
        <v>824</v>
      </c>
      <c r="C9" t="str">
        <f>"Drivers!"&amp;ADDRESS(ROW(Drivers!A15),COLUMN(Drivers!A15),4)</f>
        <v>Drivers!A15</v>
      </c>
      <c r="E9">
        <v>1</v>
      </c>
    </row>
    <row r="10" spans="1:6">
      <c r="A10" t="s">
        <v>669</v>
      </c>
      <c r="B10" t="s">
        <v>825</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FO209"/>
  <sheetViews>
    <sheetView zoomScale="70" zoomScaleNormal="55" workbookViewId="0">
      <pane ySplit="19" topLeftCell="A151" activePane="bottomLeft" state="frozen"/>
      <selection activeCell="B1" sqref="B1"/>
      <selection pane="bottomLeft" activeCell="A151" sqref="A151"/>
    </sheetView>
  </sheetViews>
  <sheetFormatPr defaultRowHeight="15"/>
  <cols>
    <col min="1" max="1" width="76.5703125" customWidth="1"/>
    <col min="2" max="2" width="43.85546875" customWidth="1"/>
    <col min="3" max="3" width="12.5703125" bestFit="1" customWidth="1"/>
    <col min="4" max="4" width="16.85546875" bestFit="1" customWidth="1"/>
    <col min="5" max="6" width="12.5703125" bestFit="1" customWidth="1"/>
    <col min="7" max="7" width="12.140625" customWidth="1"/>
    <col min="8" max="8" width="12.5703125" customWidth="1"/>
    <col min="9" max="9" width="12.7109375" customWidth="1"/>
    <col min="10" max="10" width="15.140625" style="1" bestFit="1" customWidth="1"/>
    <col min="11" max="11" width="16.140625" customWidth="1"/>
    <col min="16" max="16" width="12.140625" customWidth="1"/>
    <col min="17" max="17" width="11.5703125" customWidth="1"/>
    <col min="18" max="18" width="13.140625" style="1" customWidth="1"/>
    <col min="20" max="20" width="11.140625" customWidth="1"/>
    <col min="23" max="23" width="10.5703125" customWidth="1"/>
    <col min="24" max="24" width="10.28515625" customWidth="1"/>
    <col min="25" max="25" width="10.7109375" customWidth="1"/>
    <col min="26" max="26" width="8.85546875" style="1"/>
    <col min="28" max="28" width="21.7109375" customWidth="1"/>
    <col min="29" max="29" width="17.7109375" customWidth="1"/>
    <col min="30" max="30" width="15.7109375" customWidth="1"/>
    <col min="31" max="31" width="14.5703125" customWidth="1"/>
    <col min="32" max="32" width="11.85546875" customWidth="1"/>
    <col min="33" max="33" width="11.5703125" customWidth="1"/>
    <col min="35" max="37" width="14.28515625" style="1387" customWidth="1"/>
  </cols>
  <sheetData>
    <row r="1" spans="1:37">
      <c r="A1" s="2" t="s">
        <v>38</v>
      </c>
    </row>
    <row r="2" spans="1:37">
      <c r="Q2" s="4"/>
      <c r="R2" s="464"/>
      <c r="S2" s="4"/>
      <c r="T2" s="4"/>
      <c r="U2" s="4"/>
      <c r="V2" s="4"/>
      <c r="W2" s="4"/>
      <c r="X2" s="4"/>
      <c r="Y2" s="4"/>
      <c r="Z2" s="464"/>
      <c r="AA2" s="4"/>
      <c r="AB2" s="4"/>
    </row>
    <row r="3" spans="1:37" ht="15.75" thickBot="1">
      <c r="A3" s="1" t="s">
        <v>162</v>
      </c>
      <c r="Q3" s="4"/>
      <c r="R3" s="464"/>
      <c r="S3" s="4"/>
      <c r="T3" s="4"/>
      <c r="U3" s="4"/>
      <c r="V3" s="4"/>
      <c r="W3" s="4"/>
      <c r="X3" s="4"/>
      <c r="Y3" s="4"/>
      <c r="Z3" s="464"/>
      <c r="AA3" s="4"/>
      <c r="AB3" s="4"/>
    </row>
    <row r="4" spans="1:37">
      <c r="A4" s="124" t="s">
        <v>164</v>
      </c>
      <c r="B4" s="125" t="s">
        <v>25</v>
      </c>
      <c r="C4" s="126">
        <f>Parameters!D56</f>
        <v>0.09</v>
      </c>
      <c r="D4" s="501" t="s">
        <v>317</v>
      </c>
      <c r="E4" s="115"/>
      <c r="F4" s="115"/>
      <c r="G4" s="115"/>
      <c r="H4" s="115"/>
      <c r="I4" s="116"/>
      <c r="Q4" s="4"/>
      <c r="R4" s="464"/>
      <c r="S4" s="465"/>
      <c r="T4" s="4"/>
      <c r="U4" s="4"/>
      <c r="V4" s="4"/>
      <c r="W4" s="4"/>
      <c r="X4" s="4"/>
      <c r="Y4" s="4"/>
      <c r="Z4" s="464"/>
      <c r="AA4" s="4"/>
      <c r="AB4" s="4"/>
    </row>
    <row r="5" spans="1:37">
      <c r="A5" s="127" t="s">
        <v>163</v>
      </c>
      <c r="B5" s="128" t="s">
        <v>25</v>
      </c>
      <c r="C5" s="129">
        <f>Parameters!D57</f>
        <v>0.6</v>
      </c>
      <c r="D5" s="104"/>
      <c r="E5" s="104"/>
      <c r="F5" s="104"/>
      <c r="G5" s="104"/>
      <c r="H5" s="104"/>
      <c r="I5" s="130"/>
      <c r="Q5" s="4"/>
      <c r="R5" s="464"/>
      <c r="S5" s="465"/>
      <c r="T5" s="4"/>
      <c r="U5" s="4"/>
      <c r="V5" s="4"/>
      <c r="W5" s="4"/>
      <c r="X5" s="4"/>
      <c r="Y5" s="4"/>
      <c r="Z5" s="464"/>
      <c r="AA5" s="4"/>
      <c r="AB5" s="4"/>
    </row>
    <row r="6" spans="1:37">
      <c r="A6" s="127" t="s">
        <v>195</v>
      </c>
      <c r="B6" s="128" t="s">
        <v>196</v>
      </c>
      <c r="C6" s="129">
        <f>Parameters!D58</f>
        <v>3.6666666666666665</v>
      </c>
      <c r="D6" s="104"/>
      <c r="E6" s="104"/>
      <c r="F6" s="104"/>
      <c r="G6" s="104"/>
      <c r="H6" s="104"/>
      <c r="I6" s="130"/>
      <c r="Q6" s="4"/>
      <c r="R6" s="464"/>
      <c r="S6" s="465"/>
      <c r="T6" s="4"/>
      <c r="U6" s="4"/>
      <c r="V6" s="4"/>
      <c r="W6" s="4"/>
      <c r="X6" s="4"/>
      <c r="Y6" s="4"/>
      <c r="Z6" s="464"/>
      <c r="AA6" s="4"/>
      <c r="AB6" s="4"/>
    </row>
    <row r="7" spans="1:37">
      <c r="A7" s="127" t="s">
        <v>173</v>
      </c>
      <c r="B7" s="128" t="s">
        <v>25</v>
      </c>
      <c r="C7" s="129">
        <f>Parameters!D59</f>
        <v>0.57999999999999996</v>
      </c>
      <c r="D7" s="104"/>
      <c r="E7" s="104"/>
      <c r="F7" s="104"/>
      <c r="G7" s="104"/>
      <c r="H7" s="104"/>
      <c r="I7" s="130"/>
      <c r="Q7" s="4"/>
      <c r="R7" s="464"/>
      <c r="S7" s="465"/>
      <c r="T7" s="4"/>
      <c r="U7" s="4"/>
      <c r="V7" s="4"/>
      <c r="W7" s="4"/>
      <c r="X7" s="4"/>
      <c r="Y7" s="4"/>
      <c r="Z7" s="464"/>
      <c r="AA7" s="4"/>
      <c r="AB7" s="4"/>
    </row>
    <row r="8" spans="1:37">
      <c r="A8" s="127"/>
      <c r="B8" s="128"/>
      <c r="C8" s="99"/>
      <c r="D8" s="104"/>
      <c r="E8" s="104"/>
      <c r="F8" s="104"/>
      <c r="G8" s="104"/>
      <c r="H8" s="104"/>
      <c r="I8" s="130"/>
      <c r="Q8" s="4"/>
      <c r="R8" s="464"/>
      <c r="S8" s="465"/>
      <c r="T8" s="4"/>
      <c r="U8" s="4"/>
      <c r="V8" s="4"/>
      <c r="W8" s="4"/>
      <c r="X8" s="4"/>
      <c r="Y8" s="4"/>
      <c r="Z8" s="464"/>
      <c r="AA8" s="4"/>
      <c r="AB8" s="4"/>
    </row>
    <row r="9" spans="1:37">
      <c r="A9" s="127" t="s">
        <v>170</v>
      </c>
      <c r="B9" s="131" t="s">
        <v>169</v>
      </c>
      <c r="C9" s="129">
        <f>Parameters!D61</f>
        <v>6500</v>
      </c>
      <c r="D9" s="104"/>
      <c r="E9" s="104"/>
      <c r="F9" s="104"/>
      <c r="G9" s="104"/>
      <c r="H9" s="104"/>
      <c r="I9" s="130"/>
      <c r="Q9" s="4"/>
      <c r="R9" s="464"/>
      <c r="S9" s="465"/>
      <c r="T9" s="4"/>
      <c r="U9" s="4"/>
      <c r="V9" s="4"/>
      <c r="W9" s="4"/>
      <c r="X9" s="4"/>
      <c r="Y9" s="4"/>
      <c r="Z9" s="464"/>
      <c r="AA9" s="4"/>
      <c r="AB9" s="4"/>
    </row>
    <row r="10" spans="1:37">
      <c r="A10" s="127" t="s">
        <v>171</v>
      </c>
      <c r="B10" s="131" t="s">
        <v>172</v>
      </c>
      <c r="C10" s="129">
        <f>Parameters!D62</f>
        <v>150</v>
      </c>
      <c r="D10" s="104"/>
      <c r="E10" s="104"/>
      <c r="F10" s="104"/>
      <c r="G10" s="104"/>
      <c r="H10" s="104"/>
      <c r="I10" s="130"/>
      <c r="Q10" s="4"/>
      <c r="R10" s="464"/>
      <c r="S10" s="465"/>
      <c r="T10" s="4"/>
      <c r="U10" s="4"/>
      <c r="V10" s="4"/>
      <c r="W10" s="4"/>
      <c r="X10" s="4"/>
      <c r="Y10" s="4"/>
      <c r="Z10" s="464"/>
      <c r="AA10" s="4"/>
      <c r="AB10" s="4"/>
    </row>
    <row r="11" spans="1:37">
      <c r="A11" s="127" t="s">
        <v>197</v>
      </c>
      <c r="B11" s="128" t="s">
        <v>196</v>
      </c>
      <c r="C11" s="132">
        <f>Parameters!D63</f>
        <v>9.9999999999999995E-7</v>
      </c>
      <c r="D11" s="104"/>
      <c r="E11" s="104"/>
      <c r="F11" s="104"/>
      <c r="G11" s="104"/>
      <c r="H11" s="104"/>
      <c r="I11" s="130"/>
      <c r="Q11" s="4"/>
      <c r="R11" s="464"/>
      <c r="S11" s="4"/>
      <c r="T11" s="4"/>
      <c r="U11" s="4"/>
      <c r="V11" s="4"/>
      <c r="W11" s="4"/>
      <c r="X11" s="4"/>
      <c r="Y11" s="4"/>
      <c r="Z11" s="464"/>
      <c r="AA11" s="4"/>
      <c r="AB11" s="4"/>
    </row>
    <row r="12" spans="1:37">
      <c r="A12" s="127"/>
      <c r="B12" s="131"/>
      <c r="C12" s="133"/>
      <c r="D12" s="104"/>
      <c r="E12" s="104"/>
      <c r="F12" s="104"/>
      <c r="G12" s="104"/>
      <c r="H12" s="104"/>
      <c r="I12" s="130"/>
      <c r="Q12" s="4"/>
      <c r="R12" s="464"/>
      <c r="S12" s="4"/>
      <c r="T12" s="4"/>
      <c r="U12" s="4"/>
      <c r="V12" s="4"/>
      <c r="W12" s="4"/>
      <c r="X12" s="4"/>
      <c r="Y12" s="4"/>
      <c r="Z12" s="464"/>
      <c r="AA12" s="4"/>
      <c r="AB12" s="99"/>
      <c r="AC12" s="99"/>
      <c r="AD12" s="99"/>
      <c r="AE12" s="99"/>
      <c r="AF12" s="99"/>
      <c r="AG12" s="99"/>
      <c r="AH12" s="99"/>
      <c r="AI12" s="1388"/>
      <c r="AJ12" s="1388"/>
      <c r="AK12" s="1388"/>
    </row>
    <row r="13" spans="1:37" ht="30">
      <c r="A13" s="134" t="s">
        <v>186</v>
      </c>
      <c r="B13" s="8"/>
      <c r="C13" s="462" t="s">
        <v>221</v>
      </c>
      <c r="D13" s="462" t="s">
        <v>85</v>
      </c>
      <c r="E13" s="462" t="s">
        <v>87</v>
      </c>
      <c r="F13" s="462" t="s">
        <v>222</v>
      </c>
      <c r="G13" s="462" t="s">
        <v>115</v>
      </c>
      <c r="H13" s="462" t="s">
        <v>223</v>
      </c>
      <c r="I13" s="463" t="s">
        <v>224</v>
      </c>
      <c r="Q13" s="4"/>
      <c r="R13" s="464"/>
      <c r="S13" s="4"/>
      <c r="T13" s="4"/>
      <c r="U13" s="4"/>
      <c r="V13" s="4"/>
      <c r="W13" s="4"/>
      <c r="X13" s="4"/>
      <c r="Y13" s="4"/>
      <c r="Z13" s="464"/>
      <c r="AA13" s="4"/>
      <c r="AB13" s="99"/>
      <c r="AC13" s="99"/>
      <c r="AD13" s="99"/>
      <c r="AE13" s="99"/>
      <c r="AF13" s="99"/>
      <c r="AG13" s="99"/>
      <c r="AH13" s="99"/>
      <c r="AI13" s="1388"/>
      <c r="AJ13" s="1388"/>
      <c r="AK13" s="1388"/>
    </row>
    <row r="14" spans="1:37">
      <c r="A14" s="460" t="s">
        <v>36</v>
      </c>
      <c r="B14" s="128" t="s">
        <v>25</v>
      </c>
      <c r="C14" s="136">
        <f>Parameters!D66</f>
        <v>0</v>
      </c>
      <c r="D14" s="136">
        <f>Parameters!E66</f>
        <v>0</v>
      </c>
      <c r="E14" s="136">
        <f>Parameters!F66</f>
        <v>4.1400000000000005E-3</v>
      </c>
      <c r="F14" s="136">
        <f>Parameters!G66</f>
        <v>0</v>
      </c>
      <c r="G14" s="136">
        <f>Parameters!H66</f>
        <v>8.0000000000000016E-2</v>
      </c>
      <c r="H14" s="136">
        <f>Parameters!I66</f>
        <v>2.7999999999999997E-2</v>
      </c>
      <c r="I14" s="461">
        <f>Parameters!J66</f>
        <v>2.7E-2</v>
      </c>
      <c r="Q14" s="4"/>
      <c r="R14" s="464"/>
      <c r="S14" s="4"/>
      <c r="T14" s="4"/>
      <c r="U14" s="4"/>
      <c r="V14" s="4"/>
      <c r="W14" s="4"/>
      <c r="X14" s="4"/>
      <c r="Y14" s="4"/>
      <c r="Z14" s="464"/>
      <c r="AA14" s="4"/>
      <c r="AB14" s="99"/>
      <c r="AC14" s="99"/>
      <c r="AD14" s="99"/>
      <c r="AE14" s="99"/>
      <c r="AF14" s="99"/>
      <c r="AG14" s="99"/>
      <c r="AH14" s="99"/>
      <c r="AI14" s="1388"/>
      <c r="AJ14" s="1388"/>
      <c r="AK14" s="1388"/>
    </row>
    <row r="15" spans="1:37" ht="15.75" thickBot="1">
      <c r="A15" s="137" t="s">
        <v>503</v>
      </c>
      <c r="B15" s="138" t="s">
        <v>25</v>
      </c>
      <c r="C15" s="139">
        <f>'MSW characteristics'!B44</f>
        <v>0.4</v>
      </c>
      <c r="D15" s="139">
        <f>'MSW characteristics'!C44</f>
        <v>0.4</v>
      </c>
      <c r="E15" s="139">
        <f>'MSW characteristics'!D44</f>
        <v>0.9</v>
      </c>
      <c r="F15" s="139">
        <f>'MSW characteristics'!E44</f>
        <v>0.85</v>
      </c>
      <c r="G15" s="139">
        <f>'MSW characteristics'!F44</f>
        <v>0.8</v>
      </c>
      <c r="H15" s="139">
        <f>'MSW characteristics'!G44</f>
        <v>0.4</v>
      </c>
      <c r="I15" s="467">
        <f>'MSW characteristics'!H44</f>
        <v>0.9</v>
      </c>
      <c r="Q15" s="4"/>
      <c r="R15" s="464"/>
      <c r="S15" s="4"/>
      <c r="T15" s="465"/>
      <c r="U15" s="465"/>
      <c r="V15" s="465"/>
      <c r="W15" s="465"/>
      <c r="X15" s="465"/>
      <c r="Y15" s="465"/>
      <c r="Z15" s="465"/>
      <c r="AA15" s="4"/>
      <c r="AB15" s="99"/>
      <c r="AC15" s="99"/>
      <c r="AD15" s="99"/>
      <c r="AE15" s="99"/>
      <c r="AF15" s="99"/>
      <c r="AG15" s="99"/>
      <c r="AH15" s="99"/>
      <c r="AI15" s="1388"/>
      <c r="AJ15" s="1388"/>
      <c r="AK15" s="1388"/>
    </row>
    <row r="16" spans="1:37">
      <c r="AB16" s="99"/>
      <c r="AC16" s="99"/>
      <c r="AD16" s="99"/>
      <c r="AE16" s="99"/>
      <c r="AF16" s="99"/>
      <c r="AG16" s="99"/>
      <c r="AH16" s="99"/>
      <c r="AI16" s="1388"/>
      <c r="AJ16" s="1388"/>
      <c r="AK16" s="1388"/>
    </row>
    <row r="17" spans="1:171" ht="15.75" thickBot="1">
      <c r="C17" s="1" t="s">
        <v>267</v>
      </c>
      <c r="AH17" s="1"/>
      <c r="AI17" s="1388"/>
      <c r="AJ17" s="1388"/>
      <c r="AK17" s="1388"/>
    </row>
    <row r="18" spans="1:171">
      <c r="A18" s="2006" t="s">
        <v>217</v>
      </c>
      <c r="B18" s="2004" t="str">
        <f>A4</f>
        <v>Fraction of the population  burning waste (Pfrac)</v>
      </c>
      <c r="C18" s="2001" t="s">
        <v>784</v>
      </c>
      <c r="D18" s="2002"/>
      <c r="E18" s="2002"/>
      <c r="F18" s="2002"/>
      <c r="G18" s="2002"/>
      <c r="H18" s="2002"/>
      <c r="I18" s="2002"/>
      <c r="J18" s="2003"/>
      <c r="K18" s="2001" t="s">
        <v>286</v>
      </c>
      <c r="L18" s="2002"/>
      <c r="M18" s="2002"/>
      <c r="N18" s="2002"/>
      <c r="O18" s="2002"/>
      <c r="P18" s="2002"/>
      <c r="Q18" s="2002"/>
      <c r="R18" s="2003"/>
      <c r="S18" s="494" t="s">
        <v>291</v>
      </c>
      <c r="T18" s="495"/>
      <c r="U18" s="495"/>
      <c r="V18" s="496" t="s">
        <v>285</v>
      </c>
      <c r="W18" s="495"/>
      <c r="X18" s="495"/>
      <c r="Y18" s="495"/>
      <c r="Z18" s="497"/>
      <c r="AA18" s="2001" t="s">
        <v>287</v>
      </c>
      <c r="AB18" s="2002"/>
      <c r="AC18" s="2002"/>
      <c r="AD18" s="2002"/>
      <c r="AE18" s="2002"/>
      <c r="AF18" s="2002"/>
      <c r="AG18" s="2002"/>
      <c r="AH18" s="2003"/>
      <c r="AI18" s="1388"/>
      <c r="AJ18" s="1388"/>
      <c r="AK18" s="1388"/>
      <c r="AL18" s="4"/>
      <c r="AM18" s="4"/>
      <c r="AN18" s="4"/>
      <c r="AO18" s="4"/>
      <c r="AP18" s="4"/>
      <c r="AQ18" s="99"/>
      <c r="AR18" s="99"/>
      <c r="AS18" s="99"/>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row>
    <row r="19" spans="1:171" s="4" customFormat="1" ht="48.6" customHeight="1" thickBot="1">
      <c r="A19" s="2007"/>
      <c r="B19" s="2005"/>
      <c r="C19" s="498" t="s">
        <v>221</v>
      </c>
      <c r="D19" s="499" t="s">
        <v>85</v>
      </c>
      <c r="E19" s="499" t="s">
        <v>87</v>
      </c>
      <c r="F19" s="499" t="s">
        <v>222</v>
      </c>
      <c r="G19" s="499" t="s">
        <v>115</v>
      </c>
      <c r="H19" s="499" t="s">
        <v>223</v>
      </c>
      <c r="I19" s="499" t="s">
        <v>224</v>
      </c>
      <c r="J19" s="500" t="s">
        <v>225</v>
      </c>
      <c r="K19" s="498" t="s">
        <v>221</v>
      </c>
      <c r="L19" s="499" t="s">
        <v>85</v>
      </c>
      <c r="M19" s="499" t="s">
        <v>87</v>
      </c>
      <c r="N19" s="499" t="s">
        <v>222</v>
      </c>
      <c r="O19" s="499" t="s">
        <v>115</v>
      </c>
      <c r="P19" s="499" t="s">
        <v>223</v>
      </c>
      <c r="Q19" s="499" t="s">
        <v>224</v>
      </c>
      <c r="R19" s="500" t="s">
        <v>225</v>
      </c>
      <c r="S19" s="498" t="s">
        <v>221</v>
      </c>
      <c r="T19" s="499" t="s">
        <v>85</v>
      </c>
      <c r="U19" s="499" t="s">
        <v>87</v>
      </c>
      <c r="V19" s="499" t="s">
        <v>222</v>
      </c>
      <c r="W19" s="499" t="s">
        <v>115</v>
      </c>
      <c r="X19" s="499" t="s">
        <v>223</v>
      </c>
      <c r="Y19" s="499" t="s">
        <v>224</v>
      </c>
      <c r="Z19" s="500" t="s">
        <v>225</v>
      </c>
      <c r="AA19" s="498" t="s">
        <v>221</v>
      </c>
      <c r="AB19" s="499" t="s">
        <v>85</v>
      </c>
      <c r="AC19" s="499" t="s">
        <v>87</v>
      </c>
      <c r="AD19" s="499" t="s">
        <v>222</v>
      </c>
      <c r="AE19" s="499" t="s">
        <v>115</v>
      </c>
      <c r="AF19" s="499" t="s">
        <v>223</v>
      </c>
      <c r="AG19" s="499" t="s">
        <v>224</v>
      </c>
      <c r="AH19" s="500" t="s">
        <v>225</v>
      </c>
      <c r="AI19" s="1388"/>
      <c r="AJ19" s="1388"/>
      <c r="AK19" s="1388"/>
      <c r="AQ19" s="99"/>
      <c r="AR19" s="99"/>
      <c r="AS19" s="99"/>
    </row>
    <row r="20" spans="1:171" ht="15" hidden="1" customHeight="1" thickBot="1">
      <c r="A20" s="466">
        <f>'Input data'!A50</f>
        <v>1950</v>
      </c>
      <c r="B20" s="122">
        <f>'Baseline data (from input)'!G6</f>
        <v>0</v>
      </c>
      <c r="C20" s="127"/>
      <c r="D20" s="104"/>
      <c r="E20" s="104"/>
      <c r="F20" s="104"/>
      <c r="G20" s="104"/>
      <c r="H20" s="104"/>
      <c r="I20" s="104"/>
      <c r="J20" s="166"/>
      <c r="K20" s="117" t="e">
        <f>'Input data'!B50*'Baseline data (from input)'!E5*'Input data'!O50*'4C2 Open-burning '!B20*'4C2 Open-burning '!$C$14*'4C2 Open-burning '!$C$5*'4C2 Open-burning '!$C$6*'4C2 Open-burning '!$C$7</f>
        <v>#VALUE!</v>
      </c>
      <c r="L20" s="118" t="e">
        <f>'Input data'!B50*'Baseline data (from input)'!E5*'Input data'!P50*'4C2 Open-burning '!B20*'4C2 Open-burning '!$C$15*'4C2 Open-burning '!$C$5*'4C2 Open-burning '!$C$6*'4C2 Open-burning '!$C$7</f>
        <v>#VALUE!</v>
      </c>
      <c r="M20" s="118" t="e">
        <f>'Input data'!B50*'Baseline data (from input)'!E5*'Input data'!Q50*'4C2 Open-burning '!B20*'4C2 Open-burning '!#REF!*'4C2 Open-burning '!$C$5*'4C2 Open-burning '!$C$6*'4C2 Open-burning '!$C$7</f>
        <v>#VALUE!</v>
      </c>
      <c r="N20" s="118" t="e">
        <f>'Input data'!B50*'Baseline data (from input)'!E5*'Input data'!R50*'4C2 Open-burning '!B20*'4C2 Open-burning '!#REF!*'4C2 Open-burning '!$C$5*'4C2 Open-burning '!$C$6*'4C2 Open-burning '!$C$7</f>
        <v>#VALUE!</v>
      </c>
      <c r="O20" s="118" t="e">
        <f>'Input data'!B50*'Baseline data (from input)'!E5*'Input data'!S50*'4C2 Open-burning '!B20*'4C2 Open-burning '!#REF!*'4C2 Open-burning '!$C$5*'4C2 Open-burning '!$C$6*'4C2 Open-burning '!$C$7</f>
        <v>#VALUE!</v>
      </c>
      <c r="P20" s="118" t="e">
        <f>'Input data'!B50*'Baseline data (from input)'!E5*'Input data'!T50*'4C2 Open-burning '!B20*'4C2 Open-burning '!#REF!*'4C2 Open-burning '!$C$5*'4C2 Open-burning '!$C$6*'4C2 Open-burning '!$C$7</f>
        <v>#VALUE!</v>
      </c>
      <c r="Q20" s="118" t="e">
        <f>'Input data'!B50*'Baseline data (from input)'!E5*'Input data'!#REF!*'4C2 Open-burning '!B20*'4C2 Open-burning '!#REF!*'4C2 Open-burning '!$C$5*'4C2 Open-burning '!$C$6*'4C2 Open-burning '!$C$7</f>
        <v>#VALUE!</v>
      </c>
      <c r="R20" s="119" t="e">
        <f>SUM(K20:Q20)</f>
        <v>#VALUE!</v>
      </c>
      <c r="S20" s="117" t="e">
        <f>B20*'Input data'!B50*'Baseline data (from input)'!E5*'Input data'!O50*'4C2 Open-burning '!$C$9*'4C2 Open-burning '!$C$11*$C$5</f>
        <v>#VALUE!</v>
      </c>
      <c r="T20" s="118" t="e">
        <f>B20*'Input data'!B50*'Baseline data (from input)'!E5*'Input data'!P50*'4C2 Open-burning '!$C$9*'4C2 Open-burning '!$C$11*$C$5</f>
        <v>#VALUE!</v>
      </c>
      <c r="U20" s="118" t="e">
        <f>B20*'Input data'!B50*'Baseline data (from input)'!E5*'Input data'!Q50*'4C2 Open-burning '!$C$9*'4C2 Open-burning '!$C$11*$C$5</f>
        <v>#VALUE!</v>
      </c>
      <c r="V20" s="118" t="e">
        <f>B20*'Input data'!B50*'Baseline data (from input)'!E5*'Input data'!R50*'4C2 Open-burning '!$C$9*'4C2 Open-burning '!$C$11*$C$5</f>
        <v>#VALUE!</v>
      </c>
      <c r="W20" s="118" t="e">
        <f>B20*'Input data'!B50*'Baseline data (from input)'!E5*'Input data'!S50*'4C2 Open-burning '!$C$9*'4C2 Open-burning '!$C$11*$C$5</f>
        <v>#VALUE!</v>
      </c>
      <c r="X20" s="118" t="e">
        <f>B20*'Input data'!B50*'Baseline data (from input)'!E5*'Input data'!T50*'4C2 Open-burning '!$C$9*'4C2 Open-burning '!$C$11*$C$5</f>
        <v>#VALUE!</v>
      </c>
      <c r="Y20" s="118" t="e">
        <f>B20*'Input data'!B50*'Baseline data (from input)'!E5*'Input data'!#REF!*'4C2 Open-burning '!$C$9*'4C2 Open-burning '!$C$11*$C$5</f>
        <v>#VALUE!</v>
      </c>
      <c r="Z20" s="119" t="e">
        <f>SUM(S20:Y20)</f>
        <v>#VALUE!</v>
      </c>
      <c r="AA20" s="117" t="e">
        <f>B20*'Input data'!B50*'Baseline data (from input)'!E5*'Input data'!O50*'4C2 Open-burning '!$C$10*'4C2 Open-burning '!$C$11*$C$5</f>
        <v>#VALUE!</v>
      </c>
      <c r="AB20" s="118" t="e">
        <f>B20*'Input data'!B50*'Baseline data (from input)'!E5*'Input data'!P50*'4C2 Open-burning '!$C$10*'4C2 Open-burning '!$C$11*$C$5</f>
        <v>#VALUE!</v>
      </c>
      <c r="AC20" s="118" t="e">
        <f>B20*'Input data'!B50*'Baseline data (from input)'!E5*'Input data'!Q50*'4C2 Open-burning '!$C$10*'4C2 Open-burning '!$C$11*$C$5</f>
        <v>#VALUE!</v>
      </c>
      <c r="AD20" s="118" t="e">
        <f>B20*'Input data'!B50*'Baseline data (from input)'!E5*'Input data'!R50*'4C2 Open-burning '!$C$10*'4C2 Open-burning '!$C$11*$C$5</f>
        <v>#VALUE!</v>
      </c>
      <c r="AE20" s="118" t="e">
        <f>B20*'Input data'!B50*'Baseline data (from input)'!E5*'Input data'!S50*'4C2 Open-burning '!$C$10*'4C2 Open-burning '!$C$11*$C$5</f>
        <v>#VALUE!</v>
      </c>
      <c r="AF20" s="118" t="e">
        <f>B20*'Input data'!B50*'Baseline data (from input)'!E5*'Input data'!T50*'4C2 Open-burning '!$C$10*'4C2 Open-burning '!$C$11*$C$5</f>
        <v>#VALUE!</v>
      </c>
      <c r="AG20" s="118" t="e">
        <f>B20*'Input data'!B50*'Baseline data (from input)'!E5*'Input data'!#REF!*'4C2 Open-burning '!$C$10*'4C2 Open-burning '!$C$11*$C$5</f>
        <v>#VALUE!</v>
      </c>
      <c r="AH20" s="119" t="e">
        <f>SUM(AA20:AG20)</f>
        <v>#VALUE!</v>
      </c>
      <c r="AI20" s="1388"/>
      <c r="AJ20" s="1388"/>
      <c r="AK20" s="1388"/>
      <c r="AL20" s="4"/>
      <c r="AM20" s="4"/>
      <c r="AN20" s="4"/>
      <c r="AO20" s="4"/>
      <c r="AP20" s="4"/>
      <c r="AQ20" s="99"/>
      <c r="AR20" s="99"/>
      <c r="AS20" s="99"/>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row>
    <row r="21" spans="1:171" ht="15" hidden="1" customHeight="1" thickBot="1">
      <c r="A21" s="466">
        <f>'Input data'!A51</f>
        <v>1951</v>
      </c>
      <c r="B21" s="122">
        <f>'Baseline data (from input)'!G7</f>
        <v>0</v>
      </c>
      <c r="C21" s="127"/>
      <c r="D21" s="104"/>
      <c r="E21" s="104"/>
      <c r="F21" s="104"/>
      <c r="G21" s="104"/>
      <c r="H21" s="104"/>
      <c r="I21" s="104"/>
      <c r="J21" s="166"/>
      <c r="K21" s="117">
        <f>'Input data'!B51*'Baseline data (from input)'!E6*'Input data'!O51*'4C2 Open-burning '!B21*'4C2 Open-burning '!$C$14*'4C2 Open-burning '!$C$5*'4C2 Open-burning '!$C$6*'4C2 Open-burning '!$C$7</f>
        <v>0</v>
      </c>
      <c r="L21" s="118">
        <f>'Input data'!B51*'Baseline data (from input)'!E6*'Input data'!P51*'4C2 Open-burning '!B21*'4C2 Open-burning '!$C$15*'4C2 Open-burning '!$C$5*'4C2 Open-burning '!$C$6*'4C2 Open-burning '!$C$7</f>
        <v>0</v>
      </c>
      <c r="M21" s="118" t="e">
        <f>'Input data'!B51*'Baseline data (from input)'!E6*'Input data'!Q51*'4C2 Open-burning '!B21*'4C2 Open-burning '!#REF!*'4C2 Open-burning '!$C$5*'4C2 Open-burning '!$C$6*'4C2 Open-burning '!$C$7</f>
        <v>#REF!</v>
      </c>
      <c r="N21" s="118" t="e">
        <f>'Input data'!B51*'Baseline data (from input)'!E6*'Input data'!R51*'4C2 Open-burning '!B21*'4C2 Open-burning '!#REF!*'4C2 Open-burning '!$C$5*'4C2 Open-burning '!$C$6*'4C2 Open-burning '!$C$7</f>
        <v>#REF!</v>
      </c>
      <c r="O21" s="118" t="e">
        <f>'Input data'!B51*'Baseline data (from input)'!E6*'Input data'!S51*'4C2 Open-burning '!B21*'4C2 Open-burning '!#REF!*'4C2 Open-burning '!$C$5*'4C2 Open-burning '!$C$6*'4C2 Open-burning '!$C$7</f>
        <v>#REF!</v>
      </c>
      <c r="P21" s="118" t="e">
        <f>'Input data'!B51*'Baseline data (from input)'!E6*'Input data'!T51*'4C2 Open-burning '!B21*'4C2 Open-burning '!#REF!*'4C2 Open-burning '!$C$5*'4C2 Open-burning '!$C$6*'4C2 Open-burning '!$C$7</f>
        <v>#REF!</v>
      </c>
      <c r="Q21" s="118" t="e">
        <f>'Input data'!B51*'Baseline data (from input)'!E6*'Input data'!#REF!*'4C2 Open-burning '!B21*'4C2 Open-burning '!#REF!*'4C2 Open-burning '!$C$5*'4C2 Open-burning '!$C$6*'4C2 Open-burning '!$C$7</f>
        <v>#REF!</v>
      </c>
      <c r="R21" s="119" t="e">
        <f t="shared" ref="R21:R84" si="0">SUM(K21:Q21)</f>
        <v>#REF!</v>
      </c>
      <c r="S21" s="117">
        <f>B21*'Input data'!B51*'Baseline data (from input)'!E6*'Input data'!O51*'4C2 Open-burning '!$C$9*'4C2 Open-burning '!$C$11*$C$5</f>
        <v>0</v>
      </c>
      <c r="T21" s="118">
        <f>B21*'Input data'!B51*'Baseline data (from input)'!E6*'Input data'!P51*'4C2 Open-burning '!$C$9*'4C2 Open-burning '!$C$11*$C$5</f>
        <v>0</v>
      </c>
      <c r="U21" s="118">
        <f>B21*'Input data'!B51*'Baseline data (from input)'!E6*'Input data'!Q51*'4C2 Open-burning '!$C$9*'4C2 Open-burning '!$C$11*$C$5</f>
        <v>0</v>
      </c>
      <c r="V21" s="118">
        <f>B21*'Input data'!B51*'Baseline data (from input)'!E6*'Input data'!R51*'4C2 Open-burning '!$C$9*'4C2 Open-burning '!$C$11*$C$5</f>
        <v>0</v>
      </c>
      <c r="W21" s="118">
        <f>B21*'Input data'!B51*'Baseline data (from input)'!E6*'Input data'!S51*'4C2 Open-burning '!$C$9*'4C2 Open-burning '!$C$11*$C$5</f>
        <v>0</v>
      </c>
      <c r="X21" s="118">
        <f>B21*'Input data'!B51*'Baseline data (from input)'!E6*'Input data'!T51*'4C2 Open-burning '!$C$9*'4C2 Open-burning '!$C$11*$C$5</f>
        <v>0</v>
      </c>
      <c r="Y21" s="118" t="e">
        <f>B21*'Input data'!B51*'Baseline data (from input)'!E6*'Input data'!#REF!*'4C2 Open-burning '!$C$9*'4C2 Open-burning '!$C$11*$C$5</f>
        <v>#REF!</v>
      </c>
      <c r="Z21" s="119" t="e">
        <f t="shared" ref="Z21:Z69" si="1">SUM(S21:Y21)</f>
        <v>#REF!</v>
      </c>
      <c r="AA21" s="117">
        <f>B21*'Input data'!B51*'Baseline data (from input)'!E6*'Input data'!O51*'4C2 Open-burning '!$C$10*'4C2 Open-burning '!$C$11*$C$5</f>
        <v>0</v>
      </c>
      <c r="AB21" s="118">
        <f>B21*'Input data'!B51*'Baseline data (from input)'!E6*'Input data'!P51*'4C2 Open-burning '!$C$10*'4C2 Open-burning '!$C$11*$C$5</f>
        <v>0</v>
      </c>
      <c r="AC21" s="118">
        <f>B21*'Input data'!B51*'Baseline data (from input)'!E6*'Input data'!Q51*'4C2 Open-burning '!$C$10*'4C2 Open-burning '!$C$11*$C$5</f>
        <v>0</v>
      </c>
      <c r="AD21" s="118">
        <f>B21*'Input data'!B51*'Baseline data (from input)'!E6*'Input data'!R51*'4C2 Open-burning '!$C$10*'4C2 Open-burning '!$C$11*$C$5</f>
        <v>0</v>
      </c>
      <c r="AE21" s="118">
        <f>B21*'Input data'!B51*'Baseline data (from input)'!E6*'Input data'!S51*'4C2 Open-burning '!$C$10*'4C2 Open-burning '!$C$11*$C$5</f>
        <v>0</v>
      </c>
      <c r="AF21" s="118">
        <f>B21*'Input data'!B51*'Baseline data (from input)'!E6*'Input data'!T51*'4C2 Open-burning '!$C$10*'4C2 Open-burning '!$C$11*$C$5</f>
        <v>0</v>
      </c>
      <c r="AG21" s="118" t="e">
        <f>B21*'Input data'!B51*'Baseline data (from input)'!E6*'Input data'!#REF!*'4C2 Open-burning '!$C$10*'4C2 Open-burning '!$C$11*$C$5</f>
        <v>#REF!</v>
      </c>
      <c r="AH21" s="119" t="e">
        <f t="shared" ref="AH21:AH84" si="2">SUM(AA21:AG21)</f>
        <v>#REF!</v>
      </c>
      <c r="AI21" s="1388"/>
      <c r="AJ21" s="1388"/>
      <c r="AK21" s="1388"/>
      <c r="AL21" s="4"/>
      <c r="AM21" s="4"/>
      <c r="AN21" s="4"/>
      <c r="AO21" s="4"/>
      <c r="AP21" s="4"/>
      <c r="AQ21" s="99"/>
      <c r="AR21" s="99"/>
      <c r="AS21" s="99"/>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row>
    <row r="22" spans="1:171" ht="15" hidden="1" customHeight="1" thickBot="1">
      <c r="A22" s="466">
        <f>'Input data'!A52</f>
        <v>1952</v>
      </c>
      <c r="B22" s="122">
        <f>'Baseline data (from input)'!G8</f>
        <v>0</v>
      </c>
      <c r="C22" s="127"/>
      <c r="D22" s="104"/>
      <c r="E22" s="104"/>
      <c r="F22" s="104"/>
      <c r="G22" s="104"/>
      <c r="H22" s="104"/>
      <c r="I22" s="104"/>
      <c r="J22" s="166"/>
      <c r="K22" s="117">
        <f>'Input data'!B52*'Baseline data (from input)'!E7*'Input data'!O52*'4C2 Open-burning '!B22*'4C2 Open-burning '!$C$14*'4C2 Open-burning '!$C$5*'4C2 Open-burning '!$C$6*'4C2 Open-burning '!$C$7</f>
        <v>0</v>
      </c>
      <c r="L22" s="118">
        <f>'Input data'!B52*'Baseline data (from input)'!E7*'Input data'!P52*'4C2 Open-burning '!B22*'4C2 Open-burning '!$C$15*'4C2 Open-burning '!$C$5*'4C2 Open-burning '!$C$6*'4C2 Open-burning '!$C$7</f>
        <v>0</v>
      </c>
      <c r="M22" s="118" t="e">
        <f>'Input data'!B52*'Baseline data (from input)'!E7*'Input data'!Q52*'4C2 Open-burning '!B22*'4C2 Open-burning '!#REF!*'4C2 Open-burning '!$C$5*'4C2 Open-burning '!$C$6*'4C2 Open-burning '!$C$7</f>
        <v>#REF!</v>
      </c>
      <c r="N22" s="118" t="e">
        <f>'Input data'!B52*'Baseline data (from input)'!E7*'Input data'!R52*'4C2 Open-burning '!B22*'4C2 Open-burning '!#REF!*'4C2 Open-burning '!$C$5*'4C2 Open-burning '!$C$6*'4C2 Open-burning '!$C$7</f>
        <v>#REF!</v>
      </c>
      <c r="O22" s="118" t="e">
        <f>'Input data'!B52*'Baseline data (from input)'!E7*'Input data'!S52*'4C2 Open-burning '!B22*'4C2 Open-burning '!#REF!*'4C2 Open-burning '!$C$5*'4C2 Open-burning '!$C$6*'4C2 Open-burning '!$C$7</f>
        <v>#REF!</v>
      </c>
      <c r="P22" s="118" t="e">
        <f>'Input data'!B52*'Baseline data (from input)'!E7*'Input data'!T52*'4C2 Open-burning '!B22*'4C2 Open-burning '!#REF!*'4C2 Open-burning '!$C$5*'4C2 Open-burning '!$C$6*'4C2 Open-burning '!$C$7</f>
        <v>#REF!</v>
      </c>
      <c r="Q22" s="118" t="e">
        <f>'Input data'!B52*'Baseline data (from input)'!E7*'Input data'!#REF!*'4C2 Open-burning '!B22*'4C2 Open-burning '!#REF!*'4C2 Open-burning '!$C$5*'4C2 Open-burning '!$C$6*'4C2 Open-burning '!$C$7</f>
        <v>#REF!</v>
      </c>
      <c r="R22" s="119" t="e">
        <f t="shared" si="0"/>
        <v>#REF!</v>
      </c>
      <c r="S22" s="117">
        <f>B22*'Input data'!B52*'Baseline data (from input)'!E7*'Input data'!O52*'4C2 Open-burning '!$C$9*'4C2 Open-burning '!$C$11*$C$5</f>
        <v>0</v>
      </c>
      <c r="T22" s="118">
        <f>B22*'Input data'!B52*'Baseline data (from input)'!E7*'Input data'!P52*'4C2 Open-burning '!$C$9*'4C2 Open-burning '!$C$11*$C$5</f>
        <v>0</v>
      </c>
      <c r="U22" s="118">
        <f>B22*'Input data'!B52*'Baseline data (from input)'!E7*'Input data'!Q52*'4C2 Open-burning '!$C$9*'4C2 Open-burning '!$C$11*$C$5</f>
        <v>0</v>
      </c>
      <c r="V22" s="118">
        <f>B22*'Input data'!B52*'Baseline data (from input)'!E7*'Input data'!R52*'4C2 Open-burning '!$C$9*'4C2 Open-burning '!$C$11*$C$5</f>
        <v>0</v>
      </c>
      <c r="W22" s="118">
        <f>B22*'Input data'!B52*'Baseline data (from input)'!E7*'Input data'!S52*'4C2 Open-burning '!$C$9*'4C2 Open-burning '!$C$11*$C$5</f>
        <v>0</v>
      </c>
      <c r="X22" s="118">
        <f>B22*'Input data'!B52*'Baseline data (from input)'!E7*'Input data'!T52*'4C2 Open-burning '!$C$9*'4C2 Open-burning '!$C$11*$C$5</f>
        <v>0</v>
      </c>
      <c r="Y22" s="118" t="e">
        <f>B22*'Input data'!B52*'Baseline data (from input)'!E7*'Input data'!#REF!*'4C2 Open-burning '!$C$9*'4C2 Open-burning '!$C$11*$C$5</f>
        <v>#REF!</v>
      </c>
      <c r="Z22" s="119" t="e">
        <f t="shared" si="1"/>
        <v>#REF!</v>
      </c>
      <c r="AA22" s="117">
        <f>B22*'Input data'!B52*'Baseline data (from input)'!E7*'Input data'!O52*'4C2 Open-burning '!$C$10*'4C2 Open-burning '!$C$11*$C$5</f>
        <v>0</v>
      </c>
      <c r="AB22" s="118">
        <f>B22*'Input data'!B52*'Baseline data (from input)'!E7*'Input data'!P52*'4C2 Open-burning '!$C$10*'4C2 Open-burning '!$C$11*$C$5</f>
        <v>0</v>
      </c>
      <c r="AC22" s="118">
        <f>B22*'Input data'!B52*'Baseline data (from input)'!E7*'Input data'!Q52*'4C2 Open-burning '!$C$10*'4C2 Open-burning '!$C$11*$C$5</f>
        <v>0</v>
      </c>
      <c r="AD22" s="118">
        <f>B22*'Input data'!B52*'Baseline data (from input)'!E7*'Input data'!R52*'4C2 Open-burning '!$C$10*'4C2 Open-burning '!$C$11*$C$5</f>
        <v>0</v>
      </c>
      <c r="AE22" s="118">
        <f>B22*'Input data'!B52*'Baseline data (from input)'!E7*'Input data'!S52*'4C2 Open-burning '!$C$10*'4C2 Open-burning '!$C$11*$C$5</f>
        <v>0</v>
      </c>
      <c r="AF22" s="118">
        <f>B22*'Input data'!B52*'Baseline data (from input)'!E7*'Input data'!T52*'4C2 Open-burning '!$C$10*'4C2 Open-burning '!$C$11*$C$5</f>
        <v>0</v>
      </c>
      <c r="AG22" s="118" t="e">
        <f>B22*'Input data'!B52*'Baseline data (from input)'!E7*'Input data'!#REF!*'4C2 Open-burning '!$C$10*'4C2 Open-burning '!$C$11*$C$5</f>
        <v>#REF!</v>
      </c>
      <c r="AH22" s="119" t="e">
        <f t="shared" si="2"/>
        <v>#REF!</v>
      </c>
      <c r="AI22" s="1388"/>
      <c r="AJ22" s="1388"/>
      <c r="AK22" s="1388"/>
      <c r="AL22" s="4"/>
      <c r="AM22" s="4"/>
      <c r="AN22" s="4"/>
      <c r="AO22" s="4"/>
      <c r="AP22" s="4"/>
      <c r="AQ22" s="99"/>
      <c r="AR22" s="99"/>
      <c r="AS22" s="99"/>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row>
    <row r="23" spans="1:171" ht="15" hidden="1" customHeight="1" thickBot="1">
      <c r="A23" s="466">
        <f>'Input data'!A53</f>
        <v>1953</v>
      </c>
      <c r="B23" s="122">
        <f>'Baseline data (from input)'!G9</f>
        <v>0</v>
      </c>
      <c r="C23" s="127"/>
      <c r="D23" s="104"/>
      <c r="E23" s="104"/>
      <c r="F23" s="104"/>
      <c r="G23" s="104"/>
      <c r="H23" s="104"/>
      <c r="I23" s="104"/>
      <c r="J23" s="935">
        <f t="shared" ref="J23:J86" si="3">SUM(C23:I23)</f>
        <v>0</v>
      </c>
      <c r="K23" s="117">
        <f>'Input data'!B53*'Baseline data (from input)'!E8*'Input data'!O53*'4C2 Open-burning '!B23*'4C2 Open-burning '!$C$14*'4C2 Open-burning '!$C$5*'4C2 Open-burning '!$C$6*'4C2 Open-burning '!$C$7</f>
        <v>0</v>
      </c>
      <c r="L23" s="118">
        <f>'Input data'!B53*'Baseline data (from input)'!E8*'Input data'!P53*'4C2 Open-burning '!B23*'4C2 Open-burning '!$C$15*'4C2 Open-burning '!$C$5*'4C2 Open-burning '!$C$6*'4C2 Open-burning '!$C$7</f>
        <v>0</v>
      </c>
      <c r="M23" s="118" t="e">
        <f>'Input data'!B53*'Baseline data (from input)'!E8*'Input data'!Q53*'4C2 Open-burning '!B23*'4C2 Open-burning '!#REF!*'4C2 Open-burning '!$C$5*'4C2 Open-burning '!$C$6*'4C2 Open-burning '!$C$7</f>
        <v>#REF!</v>
      </c>
      <c r="N23" s="118" t="e">
        <f>'Input data'!B53*'Baseline data (from input)'!E8*'Input data'!R53*'4C2 Open-burning '!B23*'4C2 Open-burning '!#REF!*'4C2 Open-burning '!$C$5*'4C2 Open-burning '!$C$6*'4C2 Open-burning '!$C$7</f>
        <v>#REF!</v>
      </c>
      <c r="O23" s="118" t="e">
        <f>'Input data'!B53*'Baseline data (from input)'!E8*'Input data'!S53*'4C2 Open-burning '!B23*'4C2 Open-burning '!#REF!*'4C2 Open-burning '!$C$5*'4C2 Open-burning '!$C$6*'4C2 Open-burning '!$C$7</f>
        <v>#REF!</v>
      </c>
      <c r="P23" s="118" t="e">
        <f>'Input data'!B53*'Baseline data (from input)'!E8*'Input data'!T53*'4C2 Open-burning '!B23*'4C2 Open-burning '!#REF!*'4C2 Open-burning '!$C$5*'4C2 Open-burning '!$C$6*'4C2 Open-burning '!$C$7</f>
        <v>#REF!</v>
      </c>
      <c r="Q23" s="118" t="e">
        <f>'Input data'!B53*'Baseline data (from input)'!E8*'Input data'!#REF!*'4C2 Open-burning '!B23*'4C2 Open-burning '!#REF!*'4C2 Open-burning '!$C$5*'4C2 Open-burning '!$C$6*'4C2 Open-burning '!$C$7</f>
        <v>#REF!</v>
      </c>
      <c r="R23" s="119" t="e">
        <f t="shared" si="0"/>
        <v>#REF!</v>
      </c>
      <c r="S23" s="117">
        <f>B23*'Input data'!B53*'Baseline data (from input)'!E8*'Input data'!O53*'4C2 Open-burning '!$C$9*'4C2 Open-burning '!$C$11*$C$5</f>
        <v>0</v>
      </c>
      <c r="T23" s="118">
        <f>B23*'Input data'!B53*'Baseline data (from input)'!E8*'Input data'!P53*'4C2 Open-burning '!$C$9*'4C2 Open-burning '!$C$11*$C$5</f>
        <v>0</v>
      </c>
      <c r="U23" s="118">
        <f>B23*'Input data'!B53*'Baseline data (from input)'!E8*'Input data'!Q53*'4C2 Open-burning '!$C$9*'4C2 Open-burning '!$C$11*$C$5</f>
        <v>0</v>
      </c>
      <c r="V23" s="118">
        <f>B23*'Input data'!B53*'Baseline data (from input)'!E8*'Input data'!R53*'4C2 Open-burning '!$C$9*'4C2 Open-burning '!$C$11*$C$5</f>
        <v>0</v>
      </c>
      <c r="W23" s="118">
        <f>B23*'Input data'!B53*'Baseline data (from input)'!E8*'Input data'!S53*'4C2 Open-burning '!$C$9*'4C2 Open-burning '!$C$11*$C$5</f>
        <v>0</v>
      </c>
      <c r="X23" s="118">
        <f>B23*'Input data'!B53*'Baseline data (from input)'!E8*'Input data'!T53*'4C2 Open-burning '!$C$9*'4C2 Open-burning '!$C$11*$C$5</f>
        <v>0</v>
      </c>
      <c r="Y23" s="118" t="e">
        <f>B23*'Input data'!B53*'Baseline data (from input)'!E8*'Input data'!#REF!*'4C2 Open-burning '!$C$9*'4C2 Open-burning '!$C$11*$C$5</f>
        <v>#REF!</v>
      </c>
      <c r="Z23" s="119" t="e">
        <f t="shared" si="1"/>
        <v>#REF!</v>
      </c>
      <c r="AA23" s="117">
        <f>B23*'Input data'!B53*'Baseline data (from input)'!E8*'Input data'!O53*'4C2 Open-burning '!$C$10*'4C2 Open-burning '!$C$11*$C$5</f>
        <v>0</v>
      </c>
      <c r="AB23" s="118">
        <f>B23*'Input data'!B53*'Baseline data (from input)'!E8*'Input data'!P53*'4C2 Open-burning '!$C$10*'4C2 Open-burning '!$C$11*$C$5</f>
        <v>0</v>
      </c>
      <c r="AC23" s="118">
        <f>B23*'Input data'!B53*'Baseline data (from input)'!E8*'Input data'!Q53*'4C2 Open-burning '!$C$10*'4C2 Open-burning '!$C$11*$C$5</f>
        <v>0</v>
      </c>
      <c r="AD23" s="118">
        <f>B23*'Input data'!B53*'Baseline data (from input)'!E8*'Input data'!R53*'4C2 Open-burning '!$C$10*'4C2 Open-burning '!$C$11*$C$5</f>
        <v>0</v>
      </c>
      <c r="AE23" s="118">
        <f>B23*'Input data'!B53*'Baseline data (from input)'!E8*'Input data'!S53*'4C2 Open-burning '!$C$10*'4C2 Open-burning '!$C$11*$C$5</f>
        <v>0</v>
      </c>
      <c r="AF23" s="118">
        <f>B23*'Input data'!B53*'Baseline data (from input)'!E8*'Input data'!T53*'4C2 Open-burning '!$C$10*'4C2 Open-burning '!$C$11*$C$5</f>
        <v>0</v>
      </c>
      <c r="AG23" s="118" t="e">
        <f>B23*'Input data'!B53*'Baseline data (from input)'!E8*'Input data'!#REF!*'4C2 Open-burning '!$C$10*'4C2 Open-burning '!$C$11*$C$5</f>
        <v>#REF!</v>
      </c>
      <c r="AH23" s="119" t="e">
        <f t="shared" si="2"/>
        <v>#REF!</v>
      </c>
      <c r="AI23" s="1388"/>
      <c r="AJ23" s="1388"/>
      <c r="AK23" s="1388"/>
      <c r="AL23" s="4"/>
      <c r="AM23" s="4"/>
      <c r="AN23" s="4"/>
      <c r="AO23" s="4"/>
      <c r="AP23" s="4"/>
      <c r="AQ23" s="99"/>
      <c r="AR23" s="99"/>
      <c r="AS23" s="99"/>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row>
    <row r="24" spans="1:171" ht="15" hidden="1" customHeight="1" thickBot="1">
      <c r="A24" s="466">
        <f>'Input data'!A54</f>
        <v>1954</v>
      </c>
      <c r="B24" s="122">
        <f>'Baseline data (from input)'!G10</f>
        <v>0</v>
      </c>
      <c r="C24" s="127"/>
      <c r="D24" s="104"/>
      <c r="E24" s="104"/>
      <c r="F24" s="104"/>
      <c r="G24" s="104"/>
      <c r="H24" s="104"/>
      <c r="I24" s="104"/>
      <c r="J24" s="935">
        <f t="shared" si="3"/>
        <v>0</v>
      </c>
      <c r="K24" s="117">
        <f>'Input data'!B54*'Baseline data (from input)'!E9*'Input data'!O54*'4C2 Open-burning '!B24*'4C2 Open-burning '!$C$14*'4C2 Open-burning '!$C$5*'4C2 Open-burning '!$C$6*'4C2 Open-burning '!$C$7</f>
        <v>0</v>
      </c>
      <c r="L24" s="118">
        <f>'Input data'!B54*'Baseline data (from input)'!E9*'Input data'!P54*'4C2 Open-burning '!B24*'4C2 Open-burning '!$C$15*'4C2 Open-burning '!$C$5*'4C2 Open-burning '!$C$6*'4C2 Open-burning '!$C$7</f>
        <v>0</v>
      </c>
      <c r="M24" s="118" t="e">
        <f>'Input data'!B54*'Baseline data (from input)'!E9*'Input data'!Q54*'4C2 Open-burning '!B24*'4C2 Open-burning '!#REF!*'4C2 Open-burning '!$C$5*'4C2 Open-burning '!$C$6*'4C2 Open-burning '!$C$7</f>
        <v>#REF!</v>
      </c>
      <c r="N24" s="118" t="e">
        <f>'Input data'!B54*'Baseline data (from input)'!E9*'Input data'!R54*'4C2 Open-burning '!B24*'4C2 Open-burning '!#REF!*'4C2 Open-burning '!$C$5*'4C2 Open-burning '!$C$6*'4C2 Open-burning '!$C$7</f>
        <v>#REF!</v>
      </c>
      <c r="O24" s="118" t="e">
        <f>'Input data'!B54*'Baseline data (from input)'!E9*'Input data'!S54*'4C2 Open-burning '!B24*'4C2 Open-burning '!#REF!*'4C2 Open-burning '!$C$5*'4C2 Open-burning '!$C$6*'4C2 Open-burning '!$C$7</f>
        <v>#REF!</v>
      </c>
      <c r="P24" s="118" t="e">
        <f>'Input data'!B54*'Baseline data (from input)'!E9*'Input data'!T54*'4C2 Open-burning '!B24*'4C2 Open-burning '!#REF!*'4C2 Open-burning '!$C$5*'4C2 Open-burning '!$C$6*'4C2 Open-burning '!$C$7</f>
        <v>#REF!</v>
      </c>
      <c r="Q24" s="118" t="e">
        <f>'Input data'!B54*'Baseline data (from input)'!E9*'Input data'!#REF!*'4C2 Open-burning '!B24*'4C2 Open-burning '!#REF!*'4C2 Open-burning '!$C$5*'4C2 Open-burning '!$C$6*'4C2 Open-burning '!$C$7</f>
        <v>#REF!</v>
      </c>
      <c r="R24" s="119" t="e">
        <f t="shared" si="0"/>
        <v>#REF!</v>
      </c>
      <c r="S24" s="117">
        <f>B24*'Input data'!B54*'Baseline data (from input)'!E9*'Input data'!O54*'4C2 Open-burning '!$C$9*'4C2 Open-burning '!$C$11*$C$5</f>
        <v>0</v>
      </c>
      <c r="T24" s="118">
        <f>B24*'Input data'!B54*'Baseline data (from input)'!E9*'Input data'!P54*'4C2 Open-burning '!$C$9*'4C2 Open-burning '!$C$11*$C$5</f>
        <v>0</v>
      </c>
      <c r="U24" s="118">
        <f>B24*'Input data'!B54*'Baseline data (from input)'!E9*'Input data'!Q54*'4C2 Open-burning '!$C$9*'4C2 Open-burning '!$C$11*$C$5</f>
        <v>0</v>
      </c>
      <c r="V24" s="118">
        <f>B24*'Input data'!B54*'Baseline data (from input)'!E9*'Input data'!R54*'4C2 Open-burning '!$C$9*'4C2 Open-burning '!$C$11*$C$5</f>
        <v>0</v>
      </c>
      <c r="W24" s="118">
        <f>B24*'Input data'!B54*'Baseline data (from input)'!E9*'Input data'!S54*'4C2 Open-burning '!$C$9*'4C2 Open-burning '!$C$11*$C$5</f>
        <v>0</v>
      </c>
      <c r="X24" s="118">
        <f>B24*'Input data'!B54*'Baseline data (from input)'!E9*'Input data'!T54*'4C2 Open-burning '!$C$9*'4C2 Open-burning '!$C$11*$C$5</f>
        <v>0</v>
      </c>
      <c r="Y24" s="118" t="e">
        <f>B24*'Input data'!B54*'Baseline data (from input)'!E9*'Input data'!#REF!*'4C2 Open-burning '!$C$9*'4C2 Open-burning '!$C$11*$C$5</f>
        <v>#REF!</v>
      </c>
      <c r="Z24" s="119" t="e">
        <f t="shared" si="1"/>
        <v>#REF!</v>
      </c>
      <c r="AA24" s="117">
        <f>B24*'Input data'!B54*'Baseline data (from input)'!E9*'Input data'!O54*'4C2 Open-burning '!$C$10*'4C2 Open-burning '!$C$11*$C$5</f>
        <v>0</v>
      </c>
      <c r="AB24" s="118">
        <f>B24*'Input data'!B54*'Baseline data (from input)'!E9*'Input data'!P54*'4C2 Open-burning '!$C$10*'4C2 Open-burning '!$C$11*$C$5</f>
        <v>0</v>
      </c>
      <c r="AC24" s="118">
        <f>B24*'Input data'!B54*'Baseline data (from input)'!E9*'Input data'!Q54*'4C2 Open-burning '!$C$10*'4C2 Open-burning '!$C$11*$C$5</f>
        <v>0</v>
      </c>
      <c r="AD24" s="118">
        <f>B24*'Input data'!B54*'Baseline data (from input)'!E9*'Input data'!R54*'4C2 Open-burning '!$C$10*'4C2 Open-burning '!$C$11*$C$5</f>
        <v>0</v>
      </c>
      <c r="AE24" s="118">
        <f>B24*'Input data'!B54*'Baseline data (from input)'!E9*'Input data'!S54*'4C2 Open-burning '!$C$10*'4C2 Open-burning '!$C$11*$C$5</f>
        <v>0</v>
      </c>
      <c r="AF24" s="118">
        <f>B24*'Input data'!B54*'Baseline data (from input)'!E9*'Input data'!T54*'4C2 Open-burning '!$C$10*'4C2 Open-burning '!$C$11*$C$5</f>
        <v>0</v>
      </c>
      <c r="AG24" s="118" t="e">
        <f>B24*'Input data'!B54*'Baseline data (from input)'!E9*'Input data'!#REF!*'4C2 Open-burning '!$C$10*'4C2 Open-burning '!$C$11*$C$5</f>
        <v>#REF!</v>
      </c>
      <c r="AH24" s="119" t="e">
        <f t="shared" si="2"/>
        <v>#REF!</v>
      </c>
      <c r="AI24" s="1388"/>
      <c r="AJ24" s="1388"/>
      <c r="AK24" s="1388"/>
      <c r="AL24" s="4"/>
      <c r="AM24" s="4"/>
      <c r="AN24" s="4"/>
      <c r="AO24" s="4"/>
      <c r="AP24" s="4"/>
      <c r="AQ24" s="99"/>
      <c r="AR24" s="99"/>
      <c r="AS24" s="99"/>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row>
    <row r="25" spans="1:171" ht="15" hidden="1" customHeight="1" thickBot="1">
      <c r="A25" s="466">
        <f>'Input data'!A55</f>
        <v>1955</v>
      </c>
      <c r="B25" s="122">
        <f>'Baseline data (from input)'!G11</f>
        <v>0</v>
      </c>
      <c r="C25" s="523">
        <f>'Baseline data (from input)'!C11*'Baseline data (from input)'!D11</f>
        <v>722.12143588743754</v>
      </c>
      <c r="D25" s="529">
        <f>'Baseline data (from input)'!C11*'Baseline data (from input)'!E11</f>
        <v>965.10052830093684</v>
      </c>
      <c r="E25" s="529">
        <f>'Baseline data (from input)'!C11*'Baseline data (from input)'!F11</f>
        <v>323.90885274349603</v>
      </c>
      <c r="F25" s="529">
        <f>'Baseline data (from input)'!C11*'Baseline data (from input)'!G11</f>
        <v>0</v>
      </c>
      <c r="G25" s="529">
        <f>'Baseline data (from input)'!C11*'Baseline data (from input)'!H11</f>
        <v>0</v>
      </c>
      <c r="H25" s="529">
        <f>'Baseline data (from input)'!H11*'Baseline data (from input)'!I11</f>
        <v>0</v>
      </c>
      <c r="I25" s="529">
        <f>'Baseline data (from input)'!C11*'Baseline data (from input)'!J11</f>
        <v>1618.9904245785297</v>
      </c>
      <c r="J25" s="935">
        <f t="shared" si="3"/>
        <v>3630.1212415104001</v>
      </c>
      <c r="K25" s="117">
        <f>'Input data'!B55*'Baseline data (from input)'!E10*'Input data'!O55*'4C2 Open-burning '!B25*'4C2 Open-burning '!$C$14*'4C2 Open-burning '!$C$5*'4C2 Open-burning '!$C$6*'4C2 Open-burning '!$C$7</f>
        <v>0</v>
      </c>
      <c r="L25" s="118">
        <f>'Input data'!B55*'Baseline data (from input)'!E10*'Input data'!P55*'4C2 Open-burning '!B25*'4C2 Open-burning '!$C$15*'4C2 Open-burning '!$C$5*'4C2 Open-burning '!$C$6*'4C2 Open-burning '!$C$7</f>
        <v>0</v>
      </c>
      <c r="M25" s="118" t="e">
        <f>'Input data'!B55*'Baseline data (from input)'!E10*'Input data'!Q55*'4C2 Open-burning '!B25*'4C2 Open-burning '!#REF!*'4C2 Open-burning '!$C$5*'4C2 Open-burning '!$C$6*'4C2 Open-burning '!$C$7</f>
        <v>#REF!</v>
      </c>
      <c r="N25" s="118" t="e">
        <f>'Input data'!B55*'Baseline data (from input)'!E10*'Input data'!R55*'4C2 Open-burning '!B25*'4C2 Open-burning '!#REF!*'4C2 Open-burning '!$C$5*'4C2 Open-burning '!$C$6*'4C2 Open-burning '!$C$7</f>
        <v>#REF!</v>
      </c>
      <c r="O25" s="118" t="e">
        <f>'Input data'!B55*'Baseline data (from input)'!E10*'Input data'!S55*'4C2 Open-burning '!B25*'4C2 Open-burning '!#REF!*'4C2 Open-burning '!$C$5*'4C2 Open-burning '!$C$6*'4C2 Open-burning '!$C$7</f>
        <v>#REF!</v>
      </c>
      <c r="P25" s="118" t="e">
        <f>'Input data'!B55*'Baseline data (from input)'!E10*'Input data'!T55*'4C2 Open-burning '!B25*'4C2 Open-burning '!#REF!*'4C2 Open-burning '!$C$5*'4C2 Open-burning '!$C$6*'4C2 Open-burning '!$C$7</f>
        <v>#REF!</v>
      </c>
      <c r="Q25" s="118" t="e">
        <f>'Input data'!B55*'Baseline data (from input)'!E10*'Input data'!#REF!*'4C2 Open-burning '!B25*'4C2 Open-burning '!#REF!*'4C2 Open-burning '!$C$5*'4C2 Open-burning '!$C$6*'4C2 Open-burning '!$C$7</f>
        <v>#REF!</v>
      </c>
      <c r="R25" s="119" t="e">
        <f t="shared" si="0"/>
        <v>#REF!</v>
      </c>
      <c r="S25" s="117">
        <f>B25*'Input data'!B55*'Baseline data (from input)'!E10*'Input data'!O55*'4C2 Open-burning '!$C$9*'4C2 Open-burning '!$C$11*$C$5</f>
        <v>0</v>
      </c>
      <c r="T25" s="118">
        <f>B25*'Input data'!B55*'Baseline data (from input)'!E10*'Input data'!P55*'4C2 Open-burning '!$C$9*'4C2 Open-burning '!$C$11*$C$5</f>
        <v>0</v>
      </c>
      <c r="U25" s="118">
        <f>B25*'Input data'!B55*'Baseline data (from input)'!E10*'Input data'!Q55*'4C2 Open-burning '!$C$9*'4C2 Open-burning '!$C$11*$C$5</f>
        <v>0</v>
      </c>
      <c r="V25" s="118">
        <f>B25*'Input data'!B55*'Baseline data (from input)'!E10*'Input data'!R55*'4C2 Open-burning '!$C$9*'4C2 Open-burning '!$C$11*$C$5</f>
        <v>0</v>
      </c>
      <c r="W25" s="118">
        <f>B25*'Input data'!B55*'Baseline data (from input)'!E10*'Input data'!S55*'4C2 Open-burning '!$C$9*'4C2 Open-burning '!$C$11*$C$5</f>
        <v>0</v>
      </c>
      <c r="X25" s="118">
        <f>B25*'Input data'!B55*'Baseline data (from input)'!E10*'Input data'!T55*'4C2 Open-burning '!$C$9*'4C2 Open-burning '!$C$11*$C$5</f>
        <v>0</v>
      </c>
      <c r="Y25" s="118" t="e">
        <f>B25*'Input data'!B55*'Baseline data (from input)'!E10*'Input data'!#REF!*'4C2 Open-burning '!$C$9*'4C2 Open-burning '!$C$11*$C$5</f>
        <v>#REF!</v>
      </c>
      <c r="Z25" s="119" t="e">
        <f t="shared" si="1"/>
        <v>#REF!</v>
      </c>
      <c r="AA25" s="117">
        <f>B25*'Input data'!B55*'Baseline data (from input)'!E10*'Input data'!O55*'4C2 Open-burning '!$C$10*'4C2 Open-burning '!$C$11*$C$5</f>
        <v>0</v>
      </c>
      <c r="AB25" s="118">
        <f>B25*'Input data'!B55*'Baseline data (from input)'!E10*'Input data'!P55*'4C2 Open-burning '!$C$10*'4C2 Open-burning '!$C$11*$C$5</f>
        <v>0</v>
      </c>
      <c r="AC25" s="118">
        <f>B25*'Input data'!B55*'Baseline data (from input)'!E10*'Input data'!Q55*'4C2 Open-burning '!$C$10*'4C2 Open-burning '!$C$11*$C$5</f>
        <v>0</v>
      </c>
      <c r="AD25" s="118">
        <f>B25*'Input data'!B55*'Baseline data (from input)'!E10*'Input data'!R55*'4C2 Open-burning '!$C$10*'4C2 Open-burning '!$C$11*$C$5</f>
        <v>0</v>
      </c>
      <c r="AE25" s="118">
        <f>B25*'Input data'!B55*'Baseline data (from input)'!E10*'Input data'!S55*'4C2 Open-burning '!$C$10*'4C2 Open-burning '!$C$11*$C$5</f>
        <v>0</v>
      </c>
      <c r="AF25" s="118">
        <f>B25*'Input data'!B55*'Baseline data (from input)'!E10*'Input data'!T55*'4C2 Open-burning '!$C$10*'4C2 Open-burning '!$C$11*$C$5</f>
        <v>0</v>
      </c>
      <c r="AG25" s="118" t="e">
        <f>B25*'Input data'!B55*'Baseline data (from input)'!E10*'Input data'!#REF!*'4C2 Open-burning '!$C$10*'4C2 Open-burning '!$C$11*$C$5</f>
        <v>#REF!</v>
      </c>
      <c r="AH25" s="119" t="e">
        <f t="shared" si="2"/>
        <v>#REF!</v>
      </c>
      <c r="AI25" s="1388"/>
      <c r="AJ25" s="1388"/>
      <c r="AK25" s="1388"/>
      <c r="AQ25" s="99"/>
      <c r="AR25" s="99"/>
      <c r="AS25" s="99"/>
    </row>
    <row r="26" spans="1:171" ht="15" hidden="1" customHeight="1" thickBot="1">
      <c r="A26" s="466">
        <f>'Input data'!A56</f>
        <v>1956</v>
      </c>
      <c r="B26" s="122">
        <f>'Baseline data (from input)'!G12</f>
        <v>0</v>
      </c>
      <c r="C26" s="523">
        <f>'Baseline data (from input)'!C12*'Baseline data (from input)'!D12</f>
        <v>744.29675653160587</v>
      </c>
      <c r="D26" s="529">
        <f>'Baseline data (from input)'!C12*'Baseline data (from input)'!E12</f>
        <v>994.73739075278843</v>
      </c>
      <c r="E26" s="529">
        <f>'Baseline data (from input)'!C12*'Baseline data (from input)'!F12</f>
        <v>333.85563220759627</v>
      </c>
      <c r="F26" s="529">
        <f>'Baseline data (from input)'!C12*'Baseline data (from input)'!G12</f>
        <v>0</v>
      </c>
      <c r="G26" s="529">
        <f>'Baseline data (from input)'!C12*'Baseline data (from input)'!H12</f>
        <v>0</v>
      </c>
      <c r="H26" s="529">
        <f>'Baseline data (from input)'!H12*'Baseline data (from input)'!I12</f>
        <v>0</v>
      </c>
      <c r="I26" s="529">
        <f>'Baseline data (from input)'!C12*'Baseline data (from input)'!J12</f>
        <v>1668.7073142880097</v>
      </c>
      <c r="J26" s="935">
        <f t="shared" si="3"/>
        <v>3741.5970937800003</v>
      </c>
      <c r="K26" s="117">
        <f>'Input data'!B56*'Baseline data (from input)'!E11*'Input data'!O56*'4C2 Open-burning '!B26*'4C2 Open-burning '!$C$14*'4C2 Open-burning '!$C$5*'4C2 Open-burning '!$C$6*'4C2 Open-burning '!$C$7</f>
        <v>0</v>
      </c>
      <c r="L26" s="118">
        <f>'Input data'!B56*'Baseline data (from input)'!E11*'Input data'!P56*'4C2 Open-burning '!B26*'4C2 Open-burning '!$C$15*'4C2 Open-burning '!$C$5*'4C2 Open-burning '!$C$6*'4C2 Open-burning '!$C$7</f>
        <v>0</v>
      </c>
      <c r="M26" s="118" t="e">
        <f>'Input data'!B56*'Baseline data (from input)'!E11*'Input data'!Q56*'4C2 Open-burning '!B26*'4C2 Open-burning '!#REF!*'4C2 Open-burning '!$C$5*'4C2 Open-burning '!$C$6*'4C2 Open-burning '!$C$7</f>
        <v>#REF!</v>
      </c>
      <c r="N26" s="118" t="e">
        <f>'Input data'!B56*'Baseline data (from input)'!E11*'Input data'!R56*'4C2 Open-burning '!B26*'4C2 Open-burning '!#REF!*'4C2 Open-burning '!$C$5*'4C2 Open-burning '!$C$6*'4C2 Open-burning '!$C$7</f>
        <v>#REF!</v>
      </c>
      <c r="O26" s="118" t="e">
        <f>'Input data'!B56*'Baseline data (from input)'!E11*'Input data'!S56*'4C2 Open-burning '!B26*'4C2 Open-burning '!#REF!*'4C2 Open-burning '!$C$5*'4C2 Open-burning '!$C$6*'4C2 Open-burning '!$C$7</f>
        <v>#REF!</v>
      </c>
      <c r="P26" s="118" t="e">
        <f>'Input data'!B56*'Baseline data (from input)'!E11*'Input data'!T56*'4C2 Open-burning '!B26*'4C2 Open-burning '!#REF!*'4C2 Open-burning '!$C$5*'4C2 Open-burning '!$C$6*'4C2 Open-burning '!$C$7</f>
        <v>#REF!</v>
      </c>
      <c r="Q26" s="118" t="e">
        <f>'Input data'!B56*'Baseline data (from input)'!E11*'Input data'!#REF!*'4C2 Open-burning '!B26*'4C2 Open-burning '!#REF!*'4C2 Open-burning '!$C$5*'4C2 Open-burning '!$C$6*'4C2 Open-burning '!$C$7</f>
        <v>#REF!</v>
      </c>
      <c r="R26" s="119" t="e">
        <f t="shared" si="0"/>
        <v>#REF!</v>
      </c>
      <c r="S26" s="117">
        <f>B26*'Input data'!B56*'Baseline data (from input)'!E11*'Input data'!O56*'4C2 Open-burning '!$C$9*'4C2 Open-burning '!$C$11*$C$5</f>
        <v>0</v>
      </c>
      <c r="T26" s="118">
        <f>B26*'Input data'!B56*'Baseline data (from input)'!E11*'Input data'!P56*'4C2 Open-burning '!$C$9*'4C2 Open-burning '!$C$11*$C$5</f>
        <v>0</v>
      </c>
      <c r="U26" s="118">
        <f>B26*'Input data'!B56*'Baseline data (from input)'!E11*'Input data'!Q56*'4C2 Open-burning '!$C$9*'4C2 Open-burning '!$C$11*$C$5</f>
        <v>0</v>
      </c>
      <c r="V26" s="118">
        <f>B26*'Input data'!B56*'Baseline data (from input)'!E11*'Input data'!R56*'4C2 Open-burning '!$C$9*'4C2 Open-burning '!$C$11*$C$5</f>
        <v>0</v>
      </c>
      <c r="W26" s="118">
        <f>B26*'Input data'!B56*'Baseline data (from input)'!E11*'Input data'!S56*'4C2 Open-burning '!$C$9*'4C2 Open-burning '!$C$11*$C$5</f>
        <v>0</v>
      </c>
      <c r="X26" s="118">
        <f>B26*'Input data'!B56*'Baseline data (from input)'!E11*'Input data'!T56*'4C2 Open-burning '!$C$9*'4C2 Open-burning '!$C$11*$C$5</f>
        <v>0</v>
      </c>
      <c r="Y26" s="118" t="e">
        <f>B26*'Input data'!B56*'Baseline data (from input)'!E11*'Input data'!#REF!*'4C2 Open-burning '!$C$9*'4C2 Open-burning '!$C$11*$C$5</f>
        <v>#REF!</v>
      </c>
      <c r="Z26" s="119" t="e">
        <f t="shared" si="1"/>
        <v>#REF!</v>
      </c>
      <c r="AA26" s="117">
        <f>B26*'Input data'!B56*'Baseline data (from input)'!E11*'Input data'!O56*'4C2 Open-burning '!$C$10*'4C2 Open-burning '!$C$11*$C$5</f>
        <v>0</v>
      </c>
      <c r="AB26" s="118">
        <f>B26*'Input data'!B56*'Baseline data (from input)'!E11*'Input data'!P56*'4C2 Open-burning '!$C$10*'4C2 Open-burning '!$C$11*$C$5</f>
        <v>0</v>
      </c>
      <c r="AC26" s="118">
        <f>B26*'Input data'!B56*'Baseline data (from input)'!E11*'Input data'!Q56*'4C2 Open-burning '!$C$10*'4C2 Open-burning '!$C$11*$C$5</f>
        <v>0</v>
      </c>
      <c r="AD26" s="118">
        <f>B26*'Input data'!B56*'Baseline data (from input)'!E11*'Input data'!R56*'4C2 Open-burning '!$C$10*'4C2 Open-burning '!$C$11*$C$5</f>
        <v>0</v>
      </c>
      <c r="AE26" s="118">
        <f>B26*'Input data'!B56*'Baseline data (from input)'!E11*'Input data'!S56*'4C2 Open-burning '!$C$10*'4C2 Open-burning '!$C$11*$C$5</f>
        <v>0</v>
      </c>
      <c r="AF26" s="118">
        <f>B26*'Input data'!B56*'Baseline data (from input)'!E11*'Input data'!T56*'4C2 Open-burning '!$C$10*'4C2 Open-burning '!$C$11*$C$5</f>
        <v>0</v>
      </c>
      <c r="AG26" s="118" t="e">
        <f>B26*'Input data'!B56*'Baseline data (from input)'!E11*'Input data'!#REF!*'4C2 Open-burning '!$C$10*'4C2 Open-burning '!$C$11*$C$5</f>
        <v>#REF!</v>
      </c>
      <c r="AH26" s="119" t="e">
        <f t="shared" si="2"/>
        <v>#REF!</v>
      </c>
      <c r="AI26" s="1388"/>
      <c r="AJ26" s="1388"/>
      <c r="AK26" s="1388"/>
      <c r="AQ26" s="99"/>
      <c r="AR26" s="99"/>
      <c r="AS26" s="99"/>
    </row>
    <row r="27" spans="1:171" ht="15" hidden="1" customHeight="1" thickBot="1">
      <c r="A27" s="466">
        <f>'Input data'!A57</f>
        <v>1957</v>
      </c>
      <c r="B27" s="122">
        <f>'Baseline data (from input)'!G13</f>
        <v>0</v>
      </c>
      <c r="C27" s="523">
        <f>'Baseline data (from input)'!C13*'Baseline data (from input)'!D13</f>
        <v>766.64053552452037</v>
      </c>
      <c r="D27" s="529">
        <f>'Baseline data (from input)'!C13*'Baseline data (from input)'!E13</f>
        <v>1024.5993943419776</v>
      </c>
      <c r="E27" s="529">
        <f>'Baseline data (from input)'!C13*'Baseline data (from input)'!F13</f>
        <v>343.8779739632526</v>
      </c>
      <c r="F27" s="529">
        <f>'Baseline data (from input)'!C13*'Baseline data (from input)'!G13</f>
        <v>0</v>
      </c>
      <c r="G27" s="529">
        <f>'Baseline data (from input)'!C13*'Baseline data (from input)'!H13</f>
        <v>0</v>
      </c>
      <c r="H27" s="529">
        <f>'Baseline data (from input)'!H13*'Baseline data (from input)'!I13</f>
        <v>0</v>
      </c>
      <c r="I27" s="529">
        <f>'Baseline data (from input)'!C13*'Baseline data (from input)'!J13</f>
        <v>1718.8018862542492</v>
      </c>
      <c r="J27" s="935">
        <f t="shared" si="3"/>
        <v>3853.9197900839999</v>
      </c>
      <c r="K27" s="117">
        <f>'Input data'!B57*'Baseline data (from input)'!E12*'Input data'!O57*'4C2 Open-burning '!B27*'4C2 Open-burning '!$C$14*'4C2 Open-burning '!$C$5*'4C2 Open-burning '!$C$6*'4C2 Open-burning '!$C$7</f>
        <v>0</v>
      </c>
      <c r="L27" s="118">
        <f>'Input data'!B57*'Baseline data (from input)'!E12*'Input data'!P57*'4C2 Open-burning '!B27*'4C2 Open-burning '!$C$15*'4C2 Open-burning '!$C$5*'4C2 Open-burning '!$C$6*'4C2 Open-burning '!$C$7</f>
        <v>0</v>
      </c>
      <c r="M27" s="118" t="e">
        <f>'Input data'!B57*'Baseline data (from input)'!E12*'Input data'!Q57*'4C2 Open-burning '!B27*'4C2 Open-burning '!#REF!*'4C2 Open-burning '!$C$5*'4C2 Open-burning '!$C$6*'4C2 Open-burning '!$C$7</f>
        <v>#REF!</v>
      </c>
      <c r="N27" s="118" t="e">
        <f>'Input data'!B57*'Baseline data (from input)'!E12*'Input data'!R57*'4C2 Open-burning '!B27*'4C2 Open-burning '!#REF!*'4C2 Open-burning '!$C$5*'4C2 Open-burning '!$C$6*'4C2 Open-burning '!$C$7</f>
        <v>#REF!</v>
      </c>
      <c r="O27" s="118" t="e">
        <f>'Input data'!B57*'Baseline data (from input)'!E12*'Input data'!S57*'4C2 Open-burning '!B27*'4C2 Open-burning '!#REF!*'4C2 Open-burning '!$C$5*'4C2 Open-burning '!$C$6*'4C2 Open-burning '!$C$7</f>
        <v>#REF!</v>
      </c>
      <c r="P27" s="118" t="e">
        <f>'Input data'!B57*'Baseline data (from input)'!E12*'Input data'!T57*'4C2 Open-burning '!B27*'4C2 Open-burning '!#REF!*'4C2 Open-burning '!$C$5*'4C2 Open-burning '!$C$6*'4C2 Open-burning '!$C$7</f>
        <v>#REF!</v>
      </c>
      <c r="Q27" s="118" t="e">
        <f>'Input data'!B57*'Baseline data (from input)'!E12*'Input data'!#REF!*'4C2 Open-burning '!B27*'4C2 Open-burning '!#REF!*'4C2 Open-burning '!$C$5*'4C2 Open-burning '!$C$6*'4C2 Open-burning '!$C$7</f>
        <v>#REF!</v>
      </c>
      <c r="R27" s="119" t="e">
        <f t="shared" si="0"/>
        <v>#REF!</v>
      </c>
      <c r="S27" s="117">
        <f>B27*'Input data'!B57*'Baseline data (from input)'!E12*'Input data'!O57*'4C2 Open-burning '!$C$9*'4C2 Open-burning '!$C$11*$C$5</f>
        <v>0</v>
      </c>
      <c r="T27" s="118">
        <f>B27*'Input data'!B57*'Baseline data (from input)'!E12*'Input data'!P57*'4C2 Open-burning '!$C$9*'4C2 Open-burning '!$C$11*$C$5</f>
        <v>0</v>
      </c>
      <c r="U27" s="118">
        <f>B27*'Input data'!B57*'Baseline data (from input)'!E12*'Input data'!Q57*'4C2 Open-burning '!$C$9*'4C2 Open-burning '!$C$11*$C$5</f>
        <v>0</v>
      </c>
      <c r="V27" s="118">
        <f>B27*'Input data'!B57*'Baseline data (from input)'!E12*'Input data'!R57*'4C2 Open-burning '!$C$9*'4C2 Open-burning '!$C$11*$C$5</f>
        <v>0</v>
      </c>
      <c r="W27" s="118">
        <f>B27*'Input data'!B57*'Baseline data (from input)'!E12*'Input data'!S57*'4C2 Open-burning '!$C$9*'4C2 Open-burning '!$C$11*$C$5</f>
        <v>0</v>
      </c>
      <c r="X27" s="118">
        <f>B27*'Input data'!B57*'Baseline data (from input)'!E12*'Input data'!T57*'4C2 Open-burning '!$C$9*'4C2 Open-burning '!$C$11*$C$5</f>
        <v>0</v>
      </c>
      <c r="Y27" s="118" t="e">
        <f>B27*'Input data'!B57*'Baseline data (from input)'!E12*'Input data'!#REF!*'4C2 Open-burning '!$C$9*'4C2 Open-burning '!$C$11*$C$5</f>
        <v>#REF!</v>
      </c>
      <c r="Z27" s="119" t="e">
        <f t="shared" si="1"/>
        <v>#REF!</v>
      </c>
      <c r="AA27" s="117">
        <f>B27*'Input data'!B57*'Baseline data (from input)'!E12*'Input data'!O57*'4C2 Open-burning '!$C$10*'4C2 Open-burning '!$C$11*$C$5</f>
        <v>0</v>
      </c>
      <c r="AB27" s="118">
        <f>B27*'Input data'!B57*'Baseline data (from input)'!E12*'Input data'!P57*'4C2 Open-burning '!$C$10*'4C2 Open-burning '!$C$11*$C$5</f>
        <v>0</v>
      </c>
      <c r="AC27" s="118">
        <f>B27*'Input data'!B57*'Baseline data (from input)'!E12*'Input data'!Q57*'4C2 Open-burning '!$C$10*'4C2 Open-burning '!$C$11*$C$5</f>
        <v>0</v>
      </c>
      <c r="AD27" s="118">
        <f>B27*'Input data'!B57*'Baseline data (from input)'!E12*'Input data'!R57*'4C2 Open-burning '!$C$10*'4C2 Open-burning '!$C$11*$C$5</f>
        <v>0</v>
      </c>
      <c r="AE27" s="118">
        <f>B27*'Input data'!B57*'Baseline data (from input)'!E12*'Input data'!S57*'4C2 Open-burning '!$C$10*'4C2 Open-burning '!$C$11*$C$5</f>
        <v>0</v>
      </c>
      <c r="AF27" s="118">
        <f>B27*'Input data'!B57*'Baseline data (from input)'!E12*'Input data'!T57*'4C2 Open-burning '!$C$10*'4C2 Open-burning '!$C$11*$C$5</f>
        <v>0</v>
      </c>
      <c r="AG27" s="118" t="e">
        <f>B27*'Input data'!B57*'Baseline data (from input)'!E12*'Input data'!#REF!*'4C2 Open-burning '!$C$10*'4C2 Open-burning '!$C$11*$C$5</f>
        <v>#REF!</v>
      </c>
      <c r="AH27" s="119" t="e">
        <f t="shared" si="2"/>
        <v>#REF!</v>
      </c>
      <c r="AI27" s="1388"/>
      <c r="AJ27" s="1388"/>
      <c r="AK27" s="1388"/>
      <c r="AQ27" s="99"/>
      <c r="AR27" s="99"/>
      <c r="AS27" s="99"/>
    </row>
    <row r="28" spans="1:171" ht="15" hidden="1" customHeight="1" thickBot="1">
      <c r="A28" s="466">
        <f>'Input data'!A58</f>
        <v>1958</v>
      </c>
      <c r="B28" s="122">
        <f>'Baseline data (from input)'!G14</f>
        <v>0</v>
      </c>
      <c r="C28" s="523">
        <f>'Baseline data (from input)'!C14*'Baseline data (from input)'!D14</f>
        <v>790.8909948328469</v>
      </c>
      <c r="D28" s="529">
        <f>'Baseline data (from input)'!C14*'Baseline data (from input)'!E14</f>
        <v>1057.00963717218</v>
      </c>
      <c r="E28" s="529">
        <f>'Baseline data (from input)'!C14*'Baseline data (from input)'!F14</f>
        <v>354.75556056114897</v>
      </c>
      <c r="F28" s="529">
        <f>'Baseline data (from input)'!C14*'Baseline data (from input)'!G14</f>
        <v>0</v>
      </c>
      <c r="G28" s="529">
        <f>'Baseline data (from input)'!C14*'Baseline data (from input)'!H14</f>
        <v>0</v>
      </c>
      <c r="H28" s="529">
        <f>'Baseline data (from input)'!H14*'Baseline data (from input)'!I14</f>
        <v>0</v>
      </c>
      <c r="I28" s="529">
        <f>'Baseline data (from input)'!C14*'Baseline data (from input)'!J14</f>
        <v>1773.1712200818242</v>
      </c>
      <c r="J28" s="935">
        <f t="shared" si="3"/>
        <v>3975.8274126480001</v>
      </c>
      <c r="K28" s="117">
        <f>'Input data'!B58*'Baseline data (from input)'!E13*'Input data'!O58*'4C2 Open-burning '!B28*'4C2 Open-burning '!$C$14*'4C2 Open-burning '!$C$5*'4C2 Open-burning '!$C$6*'4C2 Open-burning '!$C$7</f>
        <v>0</v>
      </c>
      <c r="L28" s="118">
        <f>'Input data'!B58*'Baseline data (from input)'!E13*'Input data'!P58*'4C2 Open-burning '!B28*'4C2 Open-burning '!$C$15*'4C2 Open-burning '!$C$5*'4C2 Open-burning '!$C$6*'4C2 Open-burning '!$C$7</f>
        <v>0</v>
      </c>
      <c r="M28" s="118" t="e">
        <f>'Input data'!B58*'Baseline data (from input)'!E13*'Input data'!Q58*'4C2 Open-burning '!B28*'4C2 Open-burning '!#REF!*'4C2 Open-burning '!$C$5*'4C2 Open-burning '!$C$6*'4C2 Open-burning '!$C$7</f>
        <v>#REF!</v>
      </c>
      <c r="N28" s="118" t="e">
        <f>'Input data'!B58*'Baseline data (from input)'!E13*'Input data'!R58*'4C2 Open-burning '!B28*'4C2 Open-burning '!#REF!*'4C2 Open-burning '!$C$5*'4C2 Open-burning '!$C$6*'4C2 Open-burning '!$C$7</f>
        <v>#REF!</v>
      </c>
      <c r="O28" s="118" t="e">
        <f>'Input data'!B58*'Baseline data (from input)'!E13*'Input data'!S58*'4C2 Open-burning '!B28*'4C2 Open-burning '!#REF!*'4C2 Open-burning '!$C$5*'4C2 Open-burning '!$C$6*'4C2 Open-burning '!$C$7</f>
        <v>#REF!</v>
      </c>
      <c r="P28" s="118" t="e">
        <f>'Input data'!B58*'Baseline data (from input)'!E13*'Input data'!T58*'4C2 Open-burning '!B28*'4C2 Open-burning '!#REF!*'4C2 Open-burning '!$C$5*'4C2 Open-burning '!$C$6*'4C2 Open-burning '!$C$7</f>
        <v>#REF!</v>
      </c>
      <c r="Q28" s="118" t="e">
        <f>'Input data'!B58*'Baseline data (from input)'!E13*'Input data'!#REF!*'4C2 Open-burning '!B28*'4C2 Open-burning '!#REF!*'4C2 Open-burning '!$C$5*'4C2 Open-burning '!$C$6*'4C2 Open-burning '!$C$7</f>
        <v>#REF!</v>
      </c>
      <c r="R28" s="119" t="e">
        <f t="shared" si="0"/>
        <v>#REF!</v>
      </c>
      <c r="S28" s="117">
        <f>B28*'Input data'!B58*'Baseline data (from input)'!E13*'Input data'!O58*'4C2 Open-burning '!$C$9*'4C2 Open-burning '!$C$11*$C$5</f>
        <v>0</v>
      </c>
      <c r="T28" s="118">
        <f>B28*'Input data'!B58*'Baseline data (from input)'!E13*'Input data'!P58*'4C2 Open-burning '!$C$9*'4C2 Open-burning '!$C$11*$C$5</f>
        <v>0</v>
      </c>
      <c r="U28" s="118">
        <f>B28*'Input data'!B58*'Baseline data (from input)'!E13*'Input data'!Q58*'4C2 Open-burning '!$C$9*'4C2 Open-burning '!$C$11*$C$5</f>
        <v>0</v>
      </c>
      <c r="V28" s="118">
        <f>B28*'Input data'!B58*'Baseline data (from input)'!E13*'Input data'!R58*'4C2 Open-burning '!$C$9*'4C2 Open-burning '!$C$11*$C$5</f>
        <v>0</v>
      </c>
      <c r="W28" s="118">
        <f>B28*'Input data'!B58*'Baseline data (from input)'!E13*'Input data'!S58*'4C2 Open-burning '!$C$9*'4C2 Open-burning '!$C$11*$C$5</f>
        <v>0</v>
      </c>
      <c r="X28" s="118">
        <f>B28*'Input data'!B58*'Baseline data (from input)'!E13*'Input data'!T58*'4C2 Open-burning '!$C$9*'4C2 Open-burning '!$C$11*$C$5</f>
        <v>0</v>
      </c>
      <c r="Y28" s="118" t="e">
        <f>B28*'Input data'!B58*'Baseline data (from input)'!E13*'Input data'!#REF!*'4C2 Open-burning '!$C$9*'4C2 Open-burning '!$C$11*$C$5</f>
        <v>#REF!</v>
      </c>
      <c r="Z28" s="119" t="e">
        <f t="shared" si="1"/>
        <v>#REF!</v>
      </c>
      <c r="AA28" s="117">
        <f>B28*'Input data'!B58*'Baseline data (from input)'!E13*'Input data'!O58*'4C2 Open-burning '!$C$10*'4C2 Open-burning '!$C$11*$C$5</f>
        <v>0</v>
      </c>
      <c r="AB28" s="118">
        <f>B28*'Input data'!B58*'Baseline data (from input)'!E13*'Input data'!P58*'4C2 Open-burning '!$C$10*'4C2 Open-burning '!$C$11*$C$5</f>
        <v>0</v>
      </c>
      <c r="AC28" s="118">
        <f>B28*'Input data'!B58*'Baseline data (from input)'!E13*'Input data'!Q58*'4C2 Open-burning '!$C$10*'4C2 Open-burning '!$C$11*$C$5</f>
        <v>0</v>
      </c>
      <c r="AD28" s="118">
        <f>B28*'Input data'!B58*'Baseline data (from input)'!E13*'Input data'!R58*'4C2 Open-burning '!$C$10*'4C2 Open-burning '!$C$11*$C$5</f>
        <v>0</v>
      </c>
      <c r="AE28" s="118">
        <f>B28*'Input data'!B58*'Baseline data (from input)'!E13*'Input data'!S58*'4C2 Open-burning '!$C$10*'4C2 Open-burning '!$C$11*$C$5</f>
        <v>0</v>
      </c>
      <c r="AF28" s="118">
        <f>B28*'Input data'!B58*'Baseline data (from input)'!E13*'Input data'!T58*'4C2 Open-burning '!$C$10*'4C2 Open-burning '!$C$11*$C$5</f>
        <v>0</v>
      </c>
      <c r="AG28" s="118" t="e">
        <f>B28*'Input data'!B58*'Baseline data (from input)'!E13*'Input data'!#REF!*'4C2 Open-burning '!$C$10*'4C2 Open-burning '!$C$11*$C$5</f>
        <v>#REF!</v>
      </c>
      <c r="AH28" s="119" t="e">
        <f t="shared" si="2"/>
        <v>#REF!</v>
      </c>
      <c r="AI28" s="1388"/>
      <c r="AJ28" s="1388"/>
      <c r="AK28" s="1388"/>
      <c r="AQ28" s="99"/>
      <c r="AR28" s="99"/>
      <c r="AS28" s="99"/>
    </row>
    <row r="29" spans="1:171" ht="15" hidden="1" customHeight="1" thickBot="1">
      <c r="A29" s="466">
        <f>'Input data'!A59</f>
        <v>1959</v>
      </c>
      <c r="B29" s="122">
        <f>'Baseline data (from input)'!G15</f>
        <v>0</v>
      </c>
      <c r="C29" s="523">
        <f>'Baseline data (from input)'!C15*'Baseline data (from input)'!D15</f>
        <v>815.39414166429276</v>
      </c>
      <c r="D29" s="529">
        <f>'Baseline data (from input)'!C15*'Baseline data (from input)'!E15</f>
        <v>1089.7575917083891</v>
      </c>
      <c r="E29" s="529">
        <f>'Baseline data (from input)'!C15*'Baseline data (from input)'!F15</f>
        <v>365.74649059637949</v>
      </c>
      <c r="F29" s="529">
        <f>'Baseline data (from input)'!C15*'Baseline data (from input)'!G15</f>
        <v>0</v>
      </c>
      <c r="G29" s="529">
        <f>'Baseline data (from input)'!C15*'Baseline data (from input)'!H15</f>
        <v>0</v>
      </c>
      <c r="H29" s="529">
        <f>'Baseline data (from input)'!H15*'Baseline data (from input)'!I15</f>
        <v>0</v>
      </c>
      <c r="I29" s="529">
        <f>'Baseline data (from input)'!C15*'Baseline data (from input)'!J15</f>
        <v>1828.1070772945386</v>
      </c>
      <c r="J29" s="935">
        <f t="shared" si="3"/>
        <v>4099.0053012635999</v>
      </c>
      <c r="K29" s="117">
        <f>'Input data'!B59*'Baseline data (from input)'!E14*'Input data'!O59*'4C2 Open-burning '!B29*'4C2 Open-burning '!$C$14*'4C2 Open-burning '!$C$5*'4C2 Open-burning '!$C$6*'4C2 Open-burning '!$C$7</f>
        <v>0</v>
      </c>
      <c r="L29" s="118">
        <f>'Input data'!B59*'Baseline data (from input)'!E14*'Input data'!P59*'4C2 Open-burning '!B29*'4C2 Open-burning '!$C$15*'4C2 Open-burning '!$C$5*'4C2 Open-burning '!$C$6*'4C2 Open-burning '!$C$7</f>
        <v>0</v>
      </c>
      <c r="M29" s="118" t="e">
        <f>'Input data'!B59*'Baseline data (from input)'!E14*'Input data'!Q59*'4C2 Open-burning '!B29*'4C2 Open-burning '!#REF!*'4C2 Open-burning '!$C$5*'4C2 Open-burning '!$C$6*'4C2 Open-burning '!$C$7</f>
        <v>#REF!</v>
      </c>
      <c r="N29" s="118" t="e">
        <f>'Input data'!B59*'Baseline data (from input)'!E14*'Input data'!R59*'4C2 Open-burning '!B29*'4C2 Open-burning '!#REF!*'4C2 Open-burning '!$C$5*'4C2 Open-burning '!$C$6*'4C2 Open-burning '!$C$7</f>
        <v>#REF!</v>
      </c>
      <c r="O29" s="118" t="e">
        <f>'Input data'!B59*'Baseline data (from input)'!E14*'Input data'!S59*'4C2 Open-burning '!B29*'4C2 Open-burning '!#REF!*'4C2 Open-burning '!$C$5*'4C2 Open-burning '!$C$6*'4C2 Open-burning '!$C$7</f>
        <v>#REF!</v>
      </c>
      <c r="P29" s="118" t="e">
        <f>'Input data'!B59*'Baseline data (from input)'!E14*'Input data'!T59*'4C2 Open-burning '!B29*'4C2 Open-burning '!#REF!*'4C2 Open-burning '!$C$5*'4C2 Open-burning '!$C$6*'4C2 Open-burning '!$C$7</f>
        <v>#REF!</v>
      </c>
      <c r="Q29" s="118" t="e">
        <f>'Input data'!B59*'Baseline data (from input)'!E14*'Input data'!#REF!*'4C2 Open-burning '!B29*'4C2 Open-burning '!#REF!*'4C2 Open-burning '!$C$5*'4C2 Open-burning '!$C$6*'4C2 Open-burning '!$C$7</f>
        <v>#REF!</v>
      </c>
      <c r="R29" s="119" t="e">
        <f t="shared" si="0"/>
        <v>#REF!</v>
      </c>
      <c r="S29" s="117">
        <f>B29*'Input data'!B59*'Baseline data (from input)'!E14*'Input data'!O59*'4C2 Open-burning '!$C$9*'4C2 Open-burning '!$C$11*$C$5</f>
        <v>0</v>
      </c>
      <c r="T29" s="118">
        <f>B29*'Input data'!B59*'Baseline data (from input)'!E14*'Input data'!P59*'4C2 Open-burning '!$C$9*'4C2 Open-burning '!$C$11*$C$5</f>
        <v>0</v>
      </c>
      <c r="U29" s="118">
        <f>B29*'Input data'!B59*'Baseline data (from input)'!E14*'Input data'!Q59*'4C2 Open-burning '!$C$9*'4C2 Open-burning '!$C$11*$C$5</f>
        <v>0</v>
      </c>
      <c r="V29" s="118">
        <f>B29*'Input data'!B59*'Baseline data (from input)'!E14*'Input data'!R59*'4C2 Open-burning '!$C$9*'4C2 Open-burning '!$C$11*$C$5</f>
        <v>0</v>
      </c>
      <c r="W29" s="118">
        <f>B29*'Input data'!B59*'Baseline data (from input)'!E14*'Input data'!S59*'4C2 Open-burning '!$C$9*'4C2 Open-burning '!$C$11*$C$5</f>
        <v>0</v>
      </c>
      <c r="X29" s="118">
        <f>B29*'Input data'!B59*'Baseline data (from input)'!E14*'Input data'!T59*'4C2 Open-burning '!$C$9*'4C2 Open-burning '!$C$11*$C$5</f>
        <v>0</v>
      </c>
      <c r="Y29" s="118" t="e">
        <f>B29*'Input data'!B59*'Baseline data (from input)'!E14*'Input data'!#REF!*'4C2 Open-burning '!$C$9*'4C2 Open-burning '!$C$11*$C$5</f>
        <v>#REF!</v>
      </c>
      <c r="Z29" s="119" t="e">
        <f t="shared" si="1"/>
        <v>#REF!</v>
      </c>
      <c r="AA29" s="117">
        <f>B29*'Input data'!B59*'Baseline data (from input)'!E14*'Input data'!O59*'4C2 Open-burning '!$C$10*'4C2 Open-burning '!$C$11*$C$5</f>
        <v>0</v>
      </c>
      <c r="AB29" s="118">
        <f>B29*'Input data'!B59*'Baseline data (from input)'!E14*'Input data'!P59*'4C2 Open-burning '!$C$10*'4C2 Open-burning '!$C$11*$C$5</f>
        <v>0</v>
      </c>
      <c r="AC29" s="118">
        <f>B29*'Input data'!B59*'Baseline data (from input)'!E14*'Input data'!Q59*'4C2 Open-burning '!$C$10*'4C2 Open-burning '!$C$11*$C$5</f>
        <v>0</v>
      </c>
      <c r="AD29" s="118">
        <f>B29*'Input data'!B59*'Baseline data (from input)'!E14*'Input data'!R59*'4C2 Open-burning '!$C$10*'4C2 Open-burning '!$C$11*$C$5</f>
        <v>0</v>
      </c>
      <c r="AE29" s="118">
        <f>B29*'Input data'!B59*'Baseline data (from input)'!E14*'Input data'!S59*'4C2 Open-burning '!$C$10*'4C2 Open-burning '!$C$11*$C$5</f>
        <v>0</v>
      </c>
      <c r="AF29" s="118">
        <f>B29*'Input data'!B59*'Baseline data (from input)'!E14*'Input data'!T59*'4C2 Open-burning '!$C$10*'4C2 Open-burning '!$C$11*$C$5</f>
        <v>0</v>
      </c>
      <c r="AG29" s="118" t="e">
        <f>B29*'Input data'!B59*'Baseline data (from input)'!E14*'Input data'!#REF!*'4C2 Open-burning '!$C$10*'4C2 Open-burning '!$C$11*$C$5</f>
        <v>#REF!</v>
      </c>
      <c r="AH29" s="119" t="e">
        <f t="shared" si="2"/>
        <v>#REF!</v>
      </c>
      <c r="AI29" s="1388"/>
      <c r="AJ29" s="1388"/>
      <c r="AK29" s="1388"/>
      <c r="AQ29" s="99"/>
      <c r="AR29" s="99"/>
      <c r="AS29" s="99"/>
    </row>
    <row r="30" spans="1:171" ht="15" hidden="1" customHeight="1" thickBot="1">
      <c r="A30" s="466">
        <f>'Input data'!A60</f>
        <v>1960</v>
      </c>
      <c r="B30" s="122">
        <f>'Baseline data (from input)'!G16</f>
        <v>0</v>
      </c>
      <c r="C30" s="523">
        <f>'Baseline data (from input)'!C16*'Baseline data (from input)'!D16</f>
        <v>838.32752487781931</v>
      </c>
      <c r="D30" s="529">
        <f>'Baseline data (from input)'!C16*'Baseline data (from input)'!E16</f>
        <v>1120.407589278261</v>
      </c>
      <c r="E30" s="529">
        <f>'Baseline data (from input)'!C16*'Baseline data (from input)'!F16</f>
        <v>376.03330037248242</v>
      </c>
      <c r="F30" s="529">
        <f>'Baseline data (from input)'!C16*'Baseline data (from input)'!G16</f>
        <v>0</v>
      </c>
      <c r="G30" s="529">
        <f>'Baseline data (from input)'!C16*'Baseline data (from input)'!H16</f>
        <v>0</v>
      </c>
      <c r="H30" s="529">
        <f>'Baseline data (from input)'!H16*'Baseline data (from input)'!I16</f>
        <v>0</v>
      </c>
      <c r="I30" s="529">
        <f>'Baseline data (from input)'!C16*'Baseline data (from input)'!J16</f>
        <v>1879.5235371594374</v>
      </c>
      <c r="J30" s="935">
        <f t="shared" si="3"/>
        <v>4214.2919516880002</v>
      </c>
      <c r="K30" s="117">
        <f>'Input data'!B60*'Baseline data (from input)'!E15*'Input data'!O60*'4C2 Open-burning '!B30*'4C2 Open-burning '!$C$14*'4C2 Open-burning '!$C$5*'4C2 Open-burning '!$C$6*'4C2 Open-burning '!$C$7</f>
        <v>0</v>
      </c>
      <c r="L30" s="118">
        <f>'Input data'!B60*'Baseline data (from input)'!E15*'Input data'!P60*'4C2 Open-burning '!B30*'4C2 Open-burning '!$C$15*'4C2 Open-burning '!$C$5*'4C2 Open-burning '!$C$6*'4C2 Open-burning '!$C$7</f>
        <v>0</v>
      </c>
      <c r="M30" s="118" t="e">
        <f>'Input data'!B60*'Baseline data (from input)'!E15*'Input data'!Q60*'4C2 Open-burning '!B30*'4C2 Open-burning '!#REF!*'4C2 Open-burning '!$C$5*'4C2 Open-burning '!$C$6*'4C2 Open-burning '!$C$7</f>
        <v>#REF!</v>
      </c>
      <c r="N30" s="118" t="e">
        <f>'Input data'!B60*'Baseline data (from input)'!E15*'Input data'!R60*'4C2 Open-burning '!B30*'4C2 Open-burning '!#REF!*'4C2 Open-burning '!$C$5*'4C2 Open-burning '!$C$6*'4C2 Open-burning '!$C$7</f>
        <v>#REF!</v>
      </c>
      <c r="O30" s="118" t="e">
        <f>'Input data'!B60*'Baseline data (from input)'!E15*'Input data'!S60*'4C2 Open-burning '!B30*'4C2 Open-burning '!#REF!*'4C2 Open-burning '!$C$5*'4C2 Open-burning '!$C$6*'4C2 Open-burning '!$C$7</f>
        <v>#REF!</v>
      </c>
      <c r="P30" s="118" t="e">
        <f>'Input data'!B60*'Baseline data (from input)'!E15*'Input data'!T60*'4C2 Open-burning '!B30*'4C2 Open-burning '!#REF!*'4C2 Open-burning '!$C$5*'4C2 Open-burning '!$C$6*'4C2 Open-burning '!$C$7</f>
        <v>#REF!</v>
      </c>
      <c r="Q30" s="118" t="e">
        <f>'Input data'!B60*'Baseline data (from input)'!E15*'Input data'!#REF!*'4C2 Open-burning '!B30*'4C2 Open-burning '!#REF!*'4C2 Open-burning '!$C$5*'4C2 Open-burning '!$C$6*'4C2 Open-burning '!$C$7</f>
        <v>#REF!</v>
      </c>
      <c r="R30" s="119" t="e">
        <f t="shared" si="0"/>
        <v>#REF!</v>
      </c>
      <c r="S30" s="117">
        <f>B30*'Input data'!B60*'Baseline data (from input)'!E15*'Input data'!O60*'4C2 Open-burning '!$C$9*'4C2 Open-burning '!$C$11*$C$5</f>
        <v>0</v>
      </c>
      <c r="T30" s="118">
        <f>B30*'Input data'!B60*'Baseline data (from input)'!E15*'Input data'!P60*'4C2 Open-burning '!$C$9*'4C2 Open-burning '!$C$11*$C$5</f>
        <v>0</v>
      </c>
      <c r="U30" s="118">
        <f>B30*'Input data'!B60*'Baseline data (from input)'!E15*'Input data'!Q60*'4C2 Open-burning '!$C$9*'4C2 Open-burning '!$C$11*$C$5</f>
        <v>0</v>
      </c>
      <c r="V30" s="118">
        <f>B30*'Input data'!B60*'Baseline data (from input)'!E15*'Input data'!R60*'4C2 Open-burning '!$C$9*'4C2 Open-burning '!$C$11*$C$5</f>
        <v>0</v>
      </c>
      <c r="W30" s="118">
        <f>B30*'Input data'!B60*'Baseline data (from input)'!E15*'Input data'!S60*'4C2 Open-burning '!$C$9*'4C2 Open-burning '!$C$11*$C$5</f>
        <v>0</v>
      </c>
      <c r="X30" s="118">
        <f>B30*'Input data'!B60*'Baseline data (from input)'!E15*'Input data'!T60*'4C2 Open-burning '!$C$9*'4C2 Open-burning '!$C$11*$C$5</f>
        <v>0</v>
      </c>
      <c r="Y30" s="118" t="e">
        <f>B30*'Input data'!B60*'Baseline data (from input)'!E15*'Input data'!#REF!*'4C2 Open-burning '!$C$9*'4C2 Open-burning '!$C$11*$C$5</f>
        <v>#REF!</v>
      </c>
      <c r="Z30" s="119" t="e">
        <f t="shared" si="1"/>
        <v>#REF!</v>
      </c>
      <c r="AA30" s="117">
        <f>B30*'Input data'!B60*'Baseline data (from input)'!E15*'Input data'!O60*'4C2 Open-burning '!$C$10*'4C2 Open-burning '!$C$11*$C$5</f>
        <v>0</v>
      </c>
      <c r="AB30" s="118">
        <f>B30*'Input data'!B60*'Baseline data (from input)'!E15*'Input data'!P60*'4C2 Open-burning '!$C$10*'4C2 Open-burning '!$C$11*$C$5</f>
        <v>0</v>
      </c>
      <c r="AC30" s="118">
        <f>B30*'Input data'!B60*'Baseline data (from input)'!E15*'Input data'!Q60*'4C2 Open-burning '!$C$10*'4C2 Open-burning '!$C$11*$C$5</f>
        <v>0</v>
      </c>
      <c r="AD30" s="118">
        <f>B30*'Input data'!B60*'Baseline data (from input)'!E15*'Input data'!R60*'4C2 Open-burning '!$C$10*'4C2 Open-burning '!$C$11*$C$5</f>
        <v>0</v>
      </c>
      <c r="AE30" s="118">
        <f>B30*'Input data'!B60*'Baseline data (from input)'!E15*'Input data'!S60*'4C2 Open-burning '!$C$10*'4C2 Open-burning '!$C$11*$C$5</f>
        <v>0</v>
      </c>
      <c r="AF30" s="118">
        <f>B30*'Input data'!B60*'Baseline data (from input)'!E15*'Input data'!T60*'4C2 Open-burning '!$C$10*'4C2 Open-burning '!$C$11*$C$5</f>
        <v>0</v>
      </c>
      <c r="AG30" s="118" t="e">
        <f>B30*'Input data'!B60*'Baseline data (from input)'!E15*'Input data'!#REF!*'4C2 Open-burning '!$C$10*'4C2 Open-burning '!$C$11*$C$5</f>
        <v>#REF!</v>
      </c>
      <c r="AH30" s="119" t="e">
        <f t="shared" si="2"/>
        <v>#REF!</v>
      </c>
      <c r="AI30" s="1388"/>
      <c r="AJ30" s="1388"/>
      <c r="AK30" s="1388"/>
      <c r="AQ30" s="99"/>
      <c r="AR30" s="99"/>
      <c r="AS30" s="99"/>
    </row>
    <row r="31" spans="1:171" ht="15" hidden="1" customHeight="1" thickBot="1">
      <c r="A31" s="466">
        <f>'Input data'!A61</f>
        <v>1961</v>
      </c>
      <c r="B31" s="122">
        <f>'Baseline data (from input)'!G17</f>
        <v>0</v>
      </c>
      <c r="C31" s="523">
        <f>'Baseline data (from input)'!C17*'Baseline data (from input)'!D17</f>
        <v>880.67887566399543</v>
      </c>
      <c r="D31" s="529">
        <f>'Baseline data (from input)'!C17*'Baseline data (from input)'!E17</f>
        <v>1177.0093033206733</v>
      </c>
      <c r="E31" s="529">
        <f>'Baseline data (from input)'!C17*'Baseline data (from input)'!F17</f>
        <v>395.03007399467685</v>
      </c>
      <c r="F31" s="529">
        <f>'Baseline data (from input)'!C17*'Baseline data (from input)'!G17</f>
        <v>0</v>
      </c>
      <c r="G31" s="529">
        <f>'Baseline data (from input)'!C17*'Baseline data (from input)'!H17</f>
        <v>0</v>
      </c>
      <c r="H31" s="529">
        <f>'Baseline data (from input)'!H17*'Baseline data (from input)'!I17</f>
        <v>0</v>
      </c>
      <c r="I31" s="529">
        <f>'Baseline data (from input)'!C17*'Baseline data (from input)'!J17</f>
        <v>1974.4749234266544</v>
      </c>
      <c r="J31" s="935">
        <f t="shared" si="3"/>
        <v>4427.193176406</v>
      </c>
      <c r="K31" s="117">
        <f>'Input data'!B61*'Baseline data (from input)'!E16*'Input data'!O61*'4C2 Open-burning '!B31*'4C2 Open-burning '!$C$14*'4C2 Open-burning '!$C$5*'4C2 Open-burning '!$C$6*'4C2 Open-burning '!$C$7</f>
        <v>0</v>
      </c>
      <c r="L31" s="118">
        <f>'Input data'!B61*'Baseline data (from input)'!E16*'Input data'!P61*'4C2 Open-burning '!B31*'4C2 Open-burning '!$C$15*'4C2 Open-burning '!$C$5*'4C2 Open-burning '!$C$6*'4C2 Open-burning '!$C$7</f>
        <v>0</v>
      </c>
      <c r="M31" s="118" t="e">
        <f>'Input data'!B61*'Baseline data (from input)'!E16*'Input data'!Q61*'4C2 Open-burning '!B31*'4C2 Open-burning '!#REF!*'4C2 Open-burning '!$C$5*'4C2 Open-burning '!$C$6*'4C2 Open-burning '!$C$7</f>
        <v>#REF!</v>
      </c>
      <c r="N31" s="118" t="e">
        <f>'Input data'!B61*'Baseline data (from input)'!E16*'Input data'!R61*'4C2 Open-burning '!B31*'4C2 Open-burning '!#REF!*'4C2 Open-burning '!$C$5*'4C2 Open-burning '!$C$6*'4C2 Open-burning '!$C$7</f>
        <v>#REF!</v>
      </c>
      <c r="O31" s="118" t="e">
        <f>'Input data'!B61*'Baseline data (from input)'!E16*'Input data'!S61*'4C2 Open-burning '!B31*'4C2 Open-burning '!#REF!*'4C2 Open-burning '!$C$5*'4C2 Open-burning '!$C$6*'4C2 Open-burning '!$C$7</f>
        <v>#REF!</v>
      </c>
      <c r="P31" s="118" t="e">
        <f>'Input data'!B61*'Baseline data (from input)'!E16*'Input data'!T61*'4C2 Open-burning '!B31*'4C2 Open-burning '!#REF!*'4C2 Open-burning '!$C$5*'4C2 Open-burning '!$C$6*'4C2 Open-burning '!$C$7</f>
        <v>#REF!</v>
      </c>
      <c r="Q31" s="118" t="e">
        <f>'Input data'!B61*'Baseline data (from input)'!E16*'Input data'!#REF!*'4C2 Open-burning '!B31*'4C2 Open-burning '!#REF!*'4C2 Open-burning '!$C$5*'4C2 Open-burning '!$C$6*'4C2 Open-burning '!$C$7</f>
        <v>#REF!</v>
      </c>
      <c r="R31" s="119" t="e">
        <f t="shared" si="0"/>
        <v>#REF!</v>
      </c>
      <c r="S31" s="117">
        <f>B31*'Input data'!B61*'Baseline data (from input)'!E16*'Input data'!O61*'4C2 Open-burning '!$C$9*'4C2 Open-burning '!$C$11*$C$5</f>
        <v>0</v>
      </c>
      <c r="T31" s="118">
        <f>B31*'Input data'!B61*'Baseline data (from input)'!E16*'Input data'!P61*'4C2 Open-burning '!$C$9*'4C2 Open-burning '!$C$11*$C$5</f>
        <v>0</v>
      </c>
      <c r="U31" s="118">
        <f>B31*'Input data'!B61*'Baseline data (from input)'!E16*'Input data'!Q61*'4C2 Open-burning '!$C$9*'4C2 Open-burning '!$C$11*$C$5</f>
        <v>0</v>
      </c>
      <c r="V31" s="118">
        <f>B31*'Input data'!B61*'Baseline data (from input)'!E16*'Input data'!R61*'4C2 Open-burning '!$C$9*'4C2 Open-burning '!$C$11*$C$5</f>
        <v>0</v>
      </c>
      <c r="W31" s="118">
        <f>B31*'Input data'!B61*'Baseline data (from input)'!E16*'Input data'!S61*'4C2 Open-burning '!$C$9*'4C2 Open-burning '!$C$11*$C$5</f>
        <v>0</v>
      </c>
      <c r="X31" s="118">
        <f>B31*'Input data'!B61*'Baseline data (from input)'!E16*'Input data'!T61*'4C2 Open-burning '!$C$9*'4C2 Open-burning '!$C$11*$C$5</f>
        <v>0</v>
      </c>
      <c r="Y31" s="118" t="e">
        <f>B31*'Input data'!B61*'Baseline data (from input)'!E16*'Input data'!#REF!*'4C2 Open-burning '!$C$9*'4C2 Open-burning '!$C$11*$C$5</f>
        <v>#REF!</v>
      </c>
      <c r="Z31" s="119" t="e">
        <f t="shared" si="1"/>
        <v>#REF!</v>
      </c>
      <c r="AA31" s="117">
        <f>B31*'Input data'!B61*'Baseline data (from input)'!E16*'Input data'!O61*'4C2 Open-burning '!$C$10*'4C2 Open-burning '!$C$11*$C$5</f>
        <v>0</v>
      </c>
      <c r="AB31" s="118">
        <f>B31*'Input data'!B61*'Baseline data (from input)'!E16*'Input data'!P61*'4C2 Open-burning '!$C$10*'4C2 Open-burning '!$C$11*$C$5</f>
        <v>0</v>
      </c>
      <c r="AC31" s="118">
        <f>B31*'Input data'!B61*'Baseline data (from input)'!E16*'Input data'!Q61*'4C2 Open-burning '!$C$10*'4C2 Open-burning '!$C$11*$C$5</f>
        <v>0</v>
      </c>
      <c r="AD31" s="118">
        <f>B31*'Input data'!B61*'Baseline data (from input)'!E16*'Input data'!R61*'4C2 Open-burning '!$C$10*'4C2 Open-burning '!$C$11*$C$5</f>
        <v>0</v>
      </c>
      <c r="AE31" s="118">
        <f>B31*'Input data'!B61*'Baseline data (from input)'!E16*'Input data'!S61*'4C2 Open-burning '!$C$10*'4C2 Open-burning '!$C$11*$C$5</f>
        <v>0</v>
      </c>
      <c r="AF31" s="118">
        <f>B31*'Input data'!B61*'Baseline data (from input)'!E16*'Input data'!T61*'4C2 Open-burning '!$C$10*'4C2 Open-burning '!$C$11*$C$5</f>
        <v>0</v>
      </c>
      <c r="AG31" s="118" t="e">
        <f>B31*'Input data'!B61*'Baseline data (from input)'!E16*'Input data'!#REF!*'4C2 Open-burning '!$C$10*'4C2 Open-burning '!$C$11*$C$5</f>
        <v>#REF!</v>
      </c>
      <c r="AH31" s="119" t="e">
        <f t="shared" si="2"/>
        <v>#REF!</v>
      </c>
      <c r="AI31" s="1388"/>
      <c r="AJ31" s="1388"/>
      <c r="AK31" s="1388"/>
      <c r="AQ31" s="99"/>
      <c r="AR31" s="99"/>
      <c r="AS31" s="99"/>
    </row>
    <row r="32" spans="1:171" ht="15" hidden="1" customHeight="1" thickBot="1">
      <c r="A32" s="466">
        <f>'Input data'!A62</f>
        <v>1962</v>
      </c>
      <c r="B32" s="122">
        <f>'Baseline data (from input)'!G18</f>
        <v>0</v>
      </c>
      <c r="C32" s="523">
        <f>'Baseline data (from input)'!C18*'Baseline data (from input)'!D18</f>
        <v>904.41180745813881</v>
      </c>
      <c r="D32" s="529">
        <f>'Baseline data (from input)'!C18*'Baseline data (from input)'!E18</f>
        <v>1208.7278812140294</v>
      </c>
      <c r="E32" s="529">
        <f>'Baseline data (from input)'!C18*'Baseline data (from input)'!F18</f>
        <v>405.67552270682239</v>
      </c>
      <c r="F32" s="529">
        <f>'Baseline data (from input)'!C18*'Baseline data (from input)'!G18</f>
        <v>0</v>
      </c>
      <c r="G32" s="529">
        <f>'Baseline data (from input)'!C18*'Baseline data (from input)'!H18</f>
        <v>0</v>
      </c>
      <c r="H32" s="529">
        <f>'Baseline data (from input)'!H18*'Baseline data (from input)'!I18</f>
        <v>0</v>
      </c>
      <c r="I32" s="529">
        <f>'Baseline data (from input)'!C18*'Baseline data (from input)'!J18</f>
        <v>2027.6839647490101</v>
      </c>
      <c r="J32" s="935">
        <f t="shared" si="3"/>
        <v>4546.4991761280007</v>
      </c>
      <c r="K32" s="117">
        <f>'Input data'!B62*'Baseline data (from input)'!E17*'Input data'!O62*'4C2 Open-burning '!B32*'4C2 Open-burning '!$C$14*'4C2 Open-burning '!$C$5*'4C2 Open-burning '!$C$6*'4C2 Open-burning '!$C$7</f>
        <v>0</v>
      </c>
      <c r="L32" s="118">
        <f>'Input data'!B62*'Baseline data (from input)'!E17*'Input data'!P62*'4C2 Open-burning '!B32*'4C2 Open-burning '!$C$15*'4C2 Open-burning '!$C$5*'4C2 Open-burning '!$C$6*'4C2 Open-burning '!$C$7</f>
        <v>0</v>
      </c>
      <c r="M32" s="118" t="e">
        <f>'Input data'!B62*'Baseline data (from input)'!E17*'Input data'!Q62*'4C2 Open-burning '!B32*'4C2 Open-burning '!#REF!*'4C2 Open-burning '!$C$5*'4C2 Open-burning '!$C$6*'4C2 Open-burning '!$C$7</f>
        <v>#REF!</v>
      </c>
      <c r="N32" s="118" t="e">
        <f>'Input data'!B62*'Baseline data (from input)'!E17*'Input data'!R62*'4C2 Open-burning '!B32*'4C2 Open-burning '!#REF!*'4C2 Open-burning '!$C$5*'4C2 Open-burning '!$C$6*'4C2 Open-burning '!$C$7</f>
        <v>#REF!</v>
      </c>
      <c r="O32" s="118" t="e">
        <f>'Input data'!B62*'Baseline data (from input)'!E17*'Input data'!S62*'4C2 Open-burning '!B32*'4C2 Open-burning '!#REF!*'4C2 Open-burning '!$C$5*'4C2 Open-burning '!$C$6*'4C2 Open-burning '!$C$7</f>
        <v>#REF!</v>
      </c>
      <c r="P32" s="118" t="e">
        <f>'Input data'!B62*'Baseline data (from input)'!E17*'Input data'!T62*'4C2 Open-burning '!B32*'4C2 Open-burning '!#REF!*'4C2 Open-burning '!$C$5*'4C2 Open-burning '!$C$6*'4C2 Open-burning '!$C$7</f>
        <v>#REF!</v>
      </c>
      <c r="Q32" s="118" t="e">
        <f>'Input data'!B62*'Baseline data (from input)'!E17*'Input data'!#REF!*'4C2 Open-burning '!B32*'4C2 Open-burning '!#REF!*'4C2 Open-burning '!$C$5*'4C2 Open-burning '!$C$6*'4C2 Open-burning '!$C$7</f>
        <v>#REF!</v>
      </c>
      <c r="R32" s="119" t="e">
        <f t="shared" si="0"/>
        <v>#REF!</v>
      </c>
      <c r="S32" s="117">
        <f>B32*'Input data'!B62*'Baseline data (from input)'!E17*'Input data'!O62*'4C2 Open-burning '!$C$9*'4C2 Open-burning '!$C$11*$C$5</f>
        <v>0</v>
      </c>
      <c r="T32" s="118">
        <f>B32*'Input data'!B62*'Baseline data (from input)'!E17*'Input data'!P62*'4C2 Open-burning '!$C$9*'4C2 Open-burning '!$C$11*$C$5</f>
        <v>0</v>
      </c>
      <c r="U32" s="118">
        <f>B32*'Input data'!B62*'Baseline data (from input)'!E17*'Input data'!Q62*'4C2 Open-burning '!$C$9*'4C2 Open-burning '!$C$11*$C$5</f>
        <v>0</v>
      </c>
      <c r="V32" s="118">
        <f>B32*'Input data'!B62*'Baseline data (from input)'!E17*'Input data'!R62*'4C2 Open-burning '!$C$9*'4C2 Open-burning '!$C$11*$C$5</f>
        <v>0</v>
      </c>
      <c r="W32" s="118">
        <f>B32*'Input data'!B62*'Baseline data (from input)'!E17*'Input data'!S62*'4C2 Open-burning '!$C$9*'4C2 Open-burning '!$C$11*$C$5</f>
        <v>0</v>
      </c>
      <c r="X32" s="118">
        <f>B32*'Input data'!B62*'Baseline data (from input)'!E17*'Input data'!T62*'4C2 Open-burning '!$C$9*'4C2 Open-burning '!$C$11*$C$5</f>
        <v>0</v>
      </c>
      <c r="Y32" s="118" t="e">
        <f>B32*'Input data'!B62*'Baseline data (from input)'!E17*'Input data'!#REF!*'4C2 Open-burning '!$C$9*'4C2 Open-burning '!$C$11*$C$5</f>
        <v>#REF!</v>
      </c>
      <c r="Z32" s="119" t="e">
        <f t="shared" si="1"/>
        <v>#REF!</v>
      </c>
      <c r="AA32" s="117">
        <f>B32*'Input data'!B62*'Baseline data (from input)'!E17*'Input data'!O62*'4C2 Open-burning '!$C$10*'4C2 Open-burning '!$C$11*$C$5</f>
        <v>0</v>
      </c>
      <c r="AB32" s="118">
        <f>B32*'Input data'!B62*'Baseline data (from input)'!E17*'Input data'!P62*'4C2 Open-burning '!$C$10*'4C2 Open-burning '!$C$11*$C$5</f>
        <v>0</v>
      </c>
      <c r="AC32" s="118">
        <f>B32*'Input data'!B62*'Baseline data (from input)'!E17*'Input data'!Q62*'4C2 Open-burning '!$C$10*'4C2 Open-burning '!$C$11*$C$5</f>
        <v>0</v>
      </c>
      <c r="AD32" s="118">
        <f>B32*'Input data'!B62*'Baseline data (from input)'!E17*'Input data'!R62*'4C2 Open-burning '!$C$10*'4C2 Open-burning '!$C$11*$C$5</f>
        <v>0</v>
      </c>
      <c r="AE32" s="118">
        <f>B32*'Input data'!B62*'Baseline data (from input)'!E17*'Input data'!S62*'4C2 Open-burning '!$C$10*'4C2 Open-burning '!$C$11*$C$5</f>
        <v>0</v>
      </c>
      <c r="AF32" s="118">
        <f>B32*'Input data'!B62*'Baseline data (from input)'!E17*'Input data'!T62*'4C2 Open-burning '!$C$10*'4C2 Open-burning '!$C$11*$C$5</f>
        <v>0</v>
      </c>
      <c r="AG32" s="118" t="e">
        <f>B32*'Input data'!B62*'Baseline data (from input)'!E17*'Input data'!#REF!*'4C2 Open-burning '!$C$10*'4C2 Open-burning '!$C$11*$C$5</f>
        <v>#REF!</v>
      </c>
      <c r="AH32" s="119" t="e">
        <f t="shared" si="2"/>
        <v>#REF!</v>
      </c>
      <c r="AI32" s="1388"/>
      <c r="AJ32" s="1388"/>
      <c r="AK32" s="1388"/>
      <c r="AQ32" s="99"/>
      <c r="AR32" s="99"/>
      <c r="AS32" s="99"/>
    </row>
    <row r="33" spans="1:45" ht="15" hidden="1" customHeight="1" thickBot="1">
      <c r="A33" s="466">
        <f>'Input data'!A63</f>
        <v>1963</v>
      </c>
      <c r="B33" s="122">
        <f>'Baseline data (from input)'!G19</f>
        <v>0</v>
      </c>
      <c r="C33" s="523">
        <f>'Baseline data (from input)'!C19*'Baseline data (from input)'!D19</f>
        <v>928.14473925228197</v>
      </c>
      <c r="D33" s="529">
        <f>'Baseline data (from input)'!C19*'Baseline data (from input)'!E19</f>
        <v>1240.4464591073852</v>
      </c>
      <c r="E33" s="529">
        <f>'Baseline data (from input)'!C19*'Baseline data (from input)'!F19</f>
        <v>416.32097141896787</v>
      </c>
      <c r="F33" s="529">
        <f>'Baseline data (from input)'!C19*'Baseline data (from input)'!G19</f>
        <v>0</v>
      </c>
      <c r="G33" s="529">
        <f>'Baseline data (from input)'!C19*'Baseline data (from input)'!H19</f>
        <v>0</v>
      </c>
      <c r="H33" s="529">
        <f>'Baseline data (from input)'!H19*'Baseline data (from input)'!I19</f>
        <v>0</v>
      </c>
      <c r="I33" s="529">
        <f>'Baseline data (from input)'!C19*'Baseline data (from input)'!J19</f>
        <v>2080.8930060713656</v>
      </c>
      <c r="J33" s="935">
        <f t="shared" si="3"/>
        <v>4665.8051758500005</v>
      </c>
      <c r="K33" s="117">
        <f>'Input data'!B63*'Baseline data (from input)'!E18*'Input data'!O63*'4C2 Open-burning '!B33*'4C2 Open-burning '!$C$14*'4C2 Open-burning '!$C$5*'4C2 Open-burning '!$C$6*'4C2 Open-burning '!$C$7</f>
        <v>0</v>
      </c>
      <c r="L33" s="118">
        <f>'Input data'!B63*'Baseline data (from input)'!E18*'Input data'!P63*'4C2 Open-burning '!B33*'4C2 Open-burning '!$C$15*'4C2 Open-burning '!$C$5*'4C2 Open-burning '!$C$6*'4C2 Open-burning '!$C$7</f>
        <v>0</v>
      </c>
      <c r="M33" s="118" t="e">
        <f>'Input data'!B63*'Baseline data (from input)'!E18*'Input data'!Q63*'4C2 Open-burning '!B33*'4C2 Open-burning '!#REF!*'4C2 Open-burning '!$C$5*'4C2 Open-burning '!$C$6*'4C2 Open-burning '!$C$7</f>
        <v>#REF!</v>
      </c>
      <c r="N33" s="118" t="e">
        <f>'Input data'!B63*'Baseline data (from input)'!E18*'Input data'!R63*'4C2 Open-burning '!B33*'4C2 Open-burning '!#REF!*'4C2 Open-burning '!$C$5*'4C2 Open-burning '!$C$6*'4C2 Open-burning '!$C$7</f>
        <v>#REF!</v>
      </c>
      <c r="O33" s="118" t="e">
        <f>'Input data'!B63*'Baseline data (from input)'!E18*'Input data'!S63*'4C2 Open-burning '!B33*'4C2 Open-burning '!#REF!*'4C2 Open-burning '!$C$5*'4C2 Open-burning '!$C$6*'4C2 Open-burning '!$C$7</f>
        <v>#REF!</v>
      </c>
      <c r="P33" s="118" t="e">
        <f>'Input data'!B63*'Baseline data (from input)'!E18*'Input data'!T63*'4C2 Open-burning '!B33*'4C2 Open-burning '!#REF!*'4C2 Open-burning '!$C$5*'4C2 Open-burning '!$C$6*'4C2 Open-burning '!$C$7</f>
        <v>#REF!</v>
      </c>
      <c r="Q33" s="118" t="e">
        <f>'Input data'!B63*'Baseline data (from input)'!E18*'Input data'!#REF!*'4C2 Open-burning '!B33*'4C2 Open-burning '!#REF!*'4C2 Open-burning '!$C$5*'4C2 Open-burning '!$C$6*'4C2 Open-burning '!$C$7</f>
        <v>#REF!</v>
      </c>
      <c r="R33" s="119" t="e">
        <f t="shared" si="0"/>
        <v>#REF!</v>
      </c>
      <c r="S33" s="117">
        <f>B33*'Input data'!B63*'Baseline data (from input)'!E18*'Input data'!O63*'4C2 Open-burning '!$C$9*'4C2 Open-burning '!$C$11*$C$5</f>
        <v>0</v>
      </c>
      <c r="T33" s="118">
        <f>B33*'Input data'!B63*'Baseline data (from input)'!E18*'Input data'!P63*'4C2 Open-burning '!$C$9*'4C2 Open-burning '!$C$11*$C$5</f>
        <v>0</v>
      </c>
      <c r="U33" s="118">
        <f>B33*'Input data'!B63*'Baseline data (from input)'!E18*'Input data'!Q63*'4C2 Open-burning '!$C$9*'4C2 Open-burning '!$C$11*$C$5</f>
        <v>0</v>
      </c>
      <c r="V33" s="118">
        <f>B33*'Input data'!B63*'Baseline data (from input)'!E18*'Input data'!R63*'4C2 Open-burning '!$C$9*'4C2 Open-burning '!$C$11*$C$5</f>
        <v>0</v>
      </c>
      <c r="W33" s="118">
        <f>B33*'Input data'!B63*'Baseline data (from input)'!E18*'Input data'!S63*'4C2 Open-burning '!$C$9*'4C2 Open-burning '!$C$11*$C$5</f>
        <v>0</v>
      </c>
      <c r="X33" s="118">
        <f>B33*'Input data'!B63*'Baseline data (from input)'!E18*'Input data'!T63*'4C2 Open-burning '!$C$9*'4C2 Open-burning '!$C$11*$C$5</f>
        <v>0</v>
      </c>
      <c r="Y33" s="118" t="e">
        <f>B33*'Input data'!B63*'Baseline data (from input)'!E18*'Input data'!#REF!*'4C2 Open-burning '!$C$9*'4C2 Open-burning '!$C$11*$C$5</f>
        <v>#REF!</v>
      </c>
      <c r="Z33" s="119" t="e">
        <f t="shared" si="1"/>
        <v>#REF!</v>
      </c>
      <c r="AA33" s="117">
        <f>B33*'Input data'!B63*'Baseline data (from input)'!E18*'Input data'!O63*'4C2 Open-burning '!$C$10*'4C2 Open-burning '!$C$11*$C$5</f>
        <v>0</v>
      </c>
      <c r="AB33" s="118">
        <f>B33*'Input data'!B63*'Baseline data (from input)'!E18*'Input data'!P63*'4C2 Open-burning '!$C$10*'4C2 Open-burning '!$C$11*$C$5</f>
        <v>0</v>
      </c>
      <c r="AC33" s="118">
        <f>B33*'Input data'!B63*'Baseline data (from input)'!E18*'Input data'!Q63*'4C2 Open-burning '!$C$10*'4C2 Open-burning '!$C$11*$C$5</f>
        <v>0</v>
      </c>
      <c r="AD33" s="118">
        <f>B33*'Input data'!B63*'Baseline data (from input)'!E18*'Input data'!R63*'4C2 Open-burning '!$C$10*'4C2 Open-burning '!$C$11*$C$5</f>
        <v>0</v>
      </c>
      <c r="AE33" s="118">
        <f>B33*'Input data'!B63*'Baseline data (from input)'!E18*'Input data'!S63*'4C2 Open-burning '!$C$10*'4C2 Open-burning '!$C$11*$C$5</f>
        <v>0</v>
      </c>
      <c r="AF33" s="118">
        <f>B33*'Input data'!B63*'Baseline data (from input)'!E18*'Input data'!T63*'4C2 Open-burning '!$C$10*'4C2 Open-burning '!$C$11*$C$5</f>
        <v>0</v>
      </c>
      <c r="AG33" s="118" t="e">
        <f>B33*'Input data'!B63*'Baseline data (from input)'!E18*'Input data'!#REF!*'4C2 Open-burning '!$C$10*'4C2 Open-burning '!$C$11*$C$5</f>
        <v>#REF!</v>
      </c>
      <c r="AH33" s="119" t="e">
        <f t="shared" si="2"/>
        <v>#REF!</v>
      </c>
      <c r="AI33" s="1388"/>
      <c r="AJ33" s="1388"/>
      <c r="AK33" s="1388"/>
      <c r="AQ33" s="99"/>
      <c r="AR33" s="99"/>
      <c r="AS33" s="99"/>
    </row>
    <row r="34" spans="1:45" ht="15" hidden="1" customHeight="1" thickBot="1">
      <c r="A34" s="466">
        <f>'Input data'!A64</f>
        <v>1964</v>
      </c>
      <c r="B34" s="122">
        <f>'Baseline data (from input)'!G20</f>
        <v>0</v>
      </c>
      <c r="C34" s="523">
        <f>'Baseline data (from input)'!C20*'Baseline data (from input)'!D20</f>
        <v>951.87767104642512</v>
      </c>
      <c r="D34" s="529">
        <f>'Baseline data (from input)'!C20*'Baseline data (from input)'!E20</f>
        <v>1272.1650370007412</v>
      </c>
      <c r="E34" s="529">
        <f>'Baseline data (from input)'!C20*'Baseline data (from input)'!F20</f>
        <v>426.96642013111335</v>
      </c>
      <c r="F34" s="529">
        <f>'Baseline data (from input)'!C20*'Baseline data (from input)'!G20</f>
        <v>0</v>
      </c>
      <c r="G34" s="529">
        <f>'Baseline data (from input)'!C20*'Baseline data (from input)'!H20</f>
        <v>0</v>
      </c>
      <c r="H34" s="529">
        <f>'Baseline data (from input)'!H20*'Baseline data (from input)'!I20</f>
        <v>0</v>
      </c>
      <c r="I34" s="529">
        <f>'Baseline data (from input)'!C20*'Baseline data (from input)'!J20</f>
        <v>2134.1020473937206</v>
      </c>
      <c r="J34" s="935">
        <f t="shared" si="3"/>
        <v>4785.1111755720003</v>
      </c>
      <c r="K34" s="117">
        <f>'Input data'!B64*'Baseline data (from input)'!E19*'Input data'!O64*'4C2 Open-burning '!B34*'4C2 Open-burning '!$C$14*'4C2 Open-burning '!$C$5*'4C2 Open-burning '!$C$6*'4C2 Open-burning '!$C$7</f>
        <v>0</v>
      </c>
      <c r="L34" s="118">
        <f>'Input data'!B64*'Baseline data (from input)'!E19*'Input data'!P64*'4C2 Open-burning '!B34*'4C2 Open-burning '!$C$15*'4C2 Open-burning '!$C$5*'4C2 Open-burning '!$C$6*'4C2 Open-burning '!$C$7</f>
        <v>0</v>
      </c>
      <c r="M34" s="118" t="e">
        <f>'Input data'!B64*'Baseline data (from input)'!E19*'Input data'!Q64*'4C2 Open-burning '!B34*'4C2 Open-burning '!#REF!*'4C2 Open-burning '!$C$5*'4C2 Open-burning '!$C$6*'4C2 Open-burning '!$C$7</f>
        <v>#REF!</v>
      </c>
      <c r="N34" s="118" t="e">
        <f>'Input data'!B64*'Baseline data (from input)'!E19*'Input data'!R64*'4C2 Open-burning '!B34*'4C2 Open-burning '!#REF!*'4C2 Open-burning '!$C$5*'4C2 Open-burning '!$C$6*'4C2 Open-burning '!$C$7</f>
        <v>#REF!</v>
      </c>
      <c r="O34" s="118" t="e">
        <f>'Input data'!B64*'Baseline data (from input)'!E19*'Input data'!S64*'4C2 Open-burning '!B34*'4C2 Open-burning '!#REF!*'4C2 Open-burning '!$C$5*'4C2 Open-burning '!$C$6*'4C2 Open-burning '!$C$7</f>
        <v>#REF!</v>
      </c>
      <c r="P34" s="118" t="e">
        <f>'Input data'!B64*'Baseline data (from input)'!E19*'Input data'!T64*'4C2 Open-burning '!B34*'4C2 Open-burning '!#REF!*'4C2 Open-burning '!$C$5*'4C2 Open-burning '!$C$6*'4C2 Open-burning '!$C$7</f>
        <v>#REF!</v>
      </c>
      <c r="Q34" s="118" t="e">
        <f>'Input data'!B64*'Baseline data (from input)'!E19*'Input data'!#REF!*'4C2 Open-burning '!B34*'4C2 Open-burning '!#REF!*'4C2 Open-burning '!$C$5*'4C2 Open-burning '!$C$6*'4C2 Open-burning '!$C$7</f>
        <v>#REF!</v>
      </c>
      <c r="R34" s="119" t="e">
        <f t="shared" si="0"/>
        <v>#REF!</v>
      </c>
      <c r="S34" s="117">
        <f>B34*'Input data'!B64*'Baseline data (from input)'!E19*'Input data'!O64*'4C2 Open-burning '!$C$9*'4C2 Open-burning '!$C$11*$C$5</f>
        <v>0</v>
      </c>
      <c r="T34" s="118">
        <f>B34*'Input data'!B64*'Baseline data (from input)'!E19*'Input data'!P64*'4C2 Open-burning '!$C$9*'4C2 Open-burning '!$C$11*$C$5</f>
        <v>0</v>
      </c>
      <c r="U34" s="118">
        <f>B34*'Input data'!B64*'Baseline data (from input)'!E19*'Input data'!Q64*'4C2 Open-burning '!$C$9*'4C2 Open-burning '!$C$11*$C$5</f>
        <v>0</v>
      </c>
      <c r="V34" s="118">
        <f>B34*'Input data'!B64*'Baseline data (from input)'!E19*'Input data'!R64*'4C2 Open-burning '!$C$9*'4C2 Open-burning '!$C$11*$C$5</f>
        <v>0</v>
      </c>
      <c r="W34" s="118">
        <f>B34*'Input data'!B64*'Baseline data (from input)'!E19*'Input data'!S64*'4C2 Open-burning '!$C$9*'4C2 Open-burning '!$C$11*$C$5</f>
        <v>0</v>
      </c>
      <c r="X34" s="118">
        <f>B34*'Input data'!B64*'Baseline data (from input)'!E19*'Input data'!T64*'4C2 Open-burning '!$C$9*'4C2 Open-burning '!$C$11*$C$5</f>
        <v>0</v>
      </c>
      <c r="Y34" s="118" t="e">
        <f>B34*'Input data'!B64*'Baseline data (from input)'!E19*'Input data'!#REF!*'4C2 Open-burning '!$C$9*'4C2 Open-burning '!$C$11*$C$5</f>
        <v>#REF!</v>
      </c>
      <c r="Z34" s="119" t="e">
        <f t="shared" si="1"/>
        <v>#REF!</v>
      </c>
      <c r="AA34" s="117">
        <f>B34*'Input data'!B64*'Baseline data (from input)'!E19*'Input data'!O64*'4C2 Open-burning '!$C$10*'4C2 Open-burning '!$C$11*$C$5</f>
        <v>0</v>
      </c>
      <c r="AB34" s="118">
        <f>B34*'Input data'!B64*'Baseline data (from input)'!E19*'Input data'!P64*'4C2 Open-burning '!$C$10*'4C2 Open-burning '!$C$11*$C$5</f>
        <v>0</v>
      </c>
      <c r="AC34" s="118">
        <f>B34*'Input data'!B64*'Baseline data (from input)'!E19*'Input data'!Q64*'4C2 Open-burning '!$C$10*'4C2 Open-burning '!$C$11*$C$5</f>
        <v>0</v>
      </c>
      <c r="AD34" s="118">
        <f>B34*'Input data'!B64*'Baseline data (from input)'!E19*'Input data'!R64*'4C2 Open-burning '!$C$10*'4C2 Open-burning '!$C$11*$C$5</f>
        <v>0</v>
      </c>
      <c r="AE34" s="118">
        <f>B34*'Input data'!B64*'Baseline data (from input)'!E19*'Input data'!S64*'4C2 Open-burning '!$C$10*'4C2 Open-burning '!$C$11*$C$5</f>
        <v>0</v>
      </c>
      <c r="AF34" s="118">
        <f>B34*'Input data'!B64*'Baseline data (from input)'!E19*'Input data'!T64*'4C2 Open-burning '!$C$10*'4C2 Open-burning '!$C$11*$C$5</f>
        <v>0</v>
      </c>
      <c r="AG34" s="118" t="e">
        <f>B34*'Input data'!B64*'Baseline data (from input)'!E19*'Input data'!#REF!*'4C2 Open-burning '!$C$10*'4C2 Open-burning '!$C$11*$C$5</f>
        <v>#REF!</v>
      </c>
      <c r="AH34" s="119" t="e">
        <f t="shared" si="2"/>
        <v>#REF!</v>
      </c>
      <c r="AI34" s="1388"/>
      <c r="AJ34" s="1388"/>
      <c r="AK34" s="1388"/>
      <c r="AQ34" s="99"/>
      <c r="AR34" s="99"/>
      <c r="AS34" s="99"/>
    </row>
    <row r="35" spans="1:45" ht="15" hidden="1" customHeight="1" thickBot="1">
      <c r="A35" s="466">
        <f>'Input data'!A65</f>
        <v>1965</v>
      </c>
      <c r="B35" s="122">
        <f>'Baseline data (from input)'!G21</f>
        <v>0</v>
      </c>
      <c r="C35" s="523">
        <f>'Baseline data (from input)'!C21*'Baseline data (from input)'!D21</f>
        <v>975.61060284056839</v>
      </c>
      <c r="D35" s="529">
        <f>'Baseline data (from input)'!C21*'Baseline data (from input)'!E21</f>
        <v>1303.883614894097</v>
      </c>
      <c r="E35" s="529">
        <f>'Baseline data (from input)'!C21*'Baseline data (from input)'!F21</f>
        <v>437.61186884325883</v>
      </c>
      <c r="F35" s="529">
        <f>'Baseline data (from input)'!C21*'Baseline data (from input)'!G21</f>
        <v>0</v>
      </c>
      <c r="G35" s="529">
        <f>'Baseline data (from input)'!C21*'Baseline data (from input)'!H21</f>
        <v>0</v>
      </c>
      <c r="H35" s="529">
        <f>'Baseline data (from input)'!H21*'Baseline data (from input)'!I21</f>
        <v>0</v>
      </c>
      <c r="I35" s="529">
        <f>'Baseline data (from input)'!C21*'Baseline data (from input)'!J21</f>
        <v>2187.311088716076</v>
      </c>
      <c r="J35" s="935">
        <f t="shared" si="3"/>
        <v>4904.4171752940001</v>
      </c>
      <c r="K35" s="117">
        <f>'Input data'!B65*'Baseline data (from input)'!E20*'Input data'!O65*'4C2 Open-burning '!B35*'4C2 Open-burning '!$C$14*'4C2 Open-burning '!$C$5*'4C2 Open-burning '!$C$6*'4C2 Open-burning '!$C$7</f>
        <v>0</v>
      </c>
      <c r="L35" s="118">
        <f>'Input data'!B65*'Baseline data (from input)'!E20*'Input data'!P65*'4C2 Open-burning '!B35*'4C2 Open-burning '!$C$15*'4C2 Open-burning '!$C$5*'4C2 Open-burning '!$C$6*'4C2 Open-burning '!$C$7</f>
        <v>0</v>
      </c>
      <c r="M35" s="118" t="e">
        <f>'Input data'!B65*'Baseline data (from input)'!E20*'Input data'!Q65*'4C2 Open-burning '!B35*'4C2 Open-burning '!#REF!*'4C2 Open-burning '!$C$5*'4C2 Open-burning '!$C$6*'4C2 Open-burning '!$C$7</f>
        <v>#REF!</v>
      </c>
      <c r="N35" s="118" t="e">
        <f>'Input data'!B65*'Baseline data (from input)'!E20*'Input data'!R65*'4C2 Open-burning '!B35*'4C2 Open-burning '!#REF!*'4C2 Open-burning '!$C$5*'4C2 Open-burning '!$C$6*'4C2 Open-burning '!$C$7</f>
        <v>#REF!</v>
      </c>
      <c r="O35" s="118" t="e">
        <f>'Input data'!B65*'Baseline data (from input)'!E20*'Input data'!S65*'4C2 Open-burning '!B35*'4C2 Open-burning '!#REF!*'4C2 Open-burning '!$C$5*'4C2 Open-burning '!$C$6*'4C2 Open-burning '!$C$7</f>
        <v>#REF!</v>
      </c>
      <c r="P35" s="118" t="e">
        <f>'Input data'!B65*'Baseline data (from input)'!E20*'Input data'!T65*'4C2 Open-burning '!B35*'4C2 Open-burning '!#REF!*'4C2 Open-burning '!$C$5*'4C2 Open-burning '!$C$6*'4C2 Open-burning '!$C$7</f>
        <v>#REF!</v>
      </c>
      <c r="Q35" s="118" t="e">
        <f>'Input data'!B65*'Baseline data (from input)'!E20*'Input data'!#REF!*'4C2 Open-burning '!B35*'4C2 Open-burning '!#REF!*'4C2 Open-burning '!$C$5*'4C2 Open-burning '!$C$6*'4C2 Open-burning '!$C$7</f>
        <v>#REF!</v>
      </c>
      <c r="R35" s="119" t="e">
        <f t="shared" si="0"/>
        <v>#REF!</v>
      </c>
      <c r="S35" s="117">
        <f>B35*'Input data'!B65*'Baseline data (from input)'!E20*'Input data'!O65*'4C2 Open-burning '!$C$9*'4C2 Open-burning '!$C$11*$C$5</f>
        <v>0</v>
      </c>
      <c r="T35" s="118">
        <f>B35*'Input data'!B65*'Baseline data (from input)'!E20*'Input data'!P65*'4C2 Open-burning '!$C$9*'4C2 Open-burning '!$C$11*$C$5</f>
        <v>0</v>
      </c>
      <c r="U35" s="118">
        <f>B35*'Input data'!B65*'Baseline data (from input)'!E20*'Input data'!Q65*'4C2 Open-burning '!$C$9*'4C2 Open-burning '!$C$11*$C$5</f>
        <v>0</v>
      </c>
      <c r="V35" s="118">
        <f>B35*'Input data'!B65*'Baseline data (from input)'!E20*'Input data'!R65*'4C2 Open-burning '!$C$9*'4C2 Open-burning '!$C$11*$C$5</f>
        <v>0</v>
      </c>
      <c r="W35" s="118">
        <f>B35*'Input data'!B65*'Baseline data (from input)'!E20*'Input data'!S65*'4C2 Open-burning '!$C$9*'4C2 Open-burning '!$C$11*$C$5</f>
        <v>0</v>
      </c>
      <c r="X35" s="118">
        <f>B35*'Input data'!B65*'Baseline data (from input)'!E20*'Input data'!T65*'4C2 Open-burning '!$C$9*'4C2 Open-burning '!$C$11*$C$5</f>
        <v>0</v>
      </c>
      <c r="Y35" s="118" t="e">
        <f>B35*'Input data'!B65*'Baseline data (from input)'!E20*'Input data'!#REF!*'4C2 Open-burning '!$C$9*'4C2 Open-burning '!$C$11*$C$5</f>
        <v>#REF!</v>
      </c>
      <c r="Z35" s="119" t="e">
        <f t="shared" si="1"/>
        <v>#REF!</v>
      </c>
      <c r="AA35" s="117">
        <f>B35*'Input data'!B65*'Baseline data (from input)'!E20*'Input data'!O65*'4C2 Open-burning '!$C$10*'4C2 Open-burning '!$C$11*$C$5</f>
        <v>0</v>
      </c>
      <c r="AB35" s="118">
        <f>B35*'Input data'!B65*'Baseline data (from input)'!E20*'Input data'!P65*'4C2 Open-burning '!$C$10*'4C2 Open-burning '!$C$11*$C$5</f>
        <v>0</v>
      </c>
      <c r="AC35" s="118">
        <f>B35*'Input data'!B65*'Baseline data (from input)'!E20*'Input data'!Q65*'4C2 Open-burning '!$C$10*'4C2 Open-burning '!$C$11*$C$5</f>
        <v>0</v>
      </c>
      <c r="AD35" s="118">
        <f>B35*'Input data'!B65*'Baseline data (from input)'!E20*'Input data'!R65*'4C2 Open-burning '!$C$10*'4C2 Open-burning '!$C$11*$C$5</f>
        <v>0</v>
      </c>
      <c r="AE35" s="118">
        <f>B35*'Input data'!B65*'Baseline data (from input)'!E20*'Input data'!S65*'4C2 Open-burning '!$C$10*'4C2 Open-burning '!$C$11*$C$5</f>
        <v>0</v>
      </c>
      <c r="AF35" s="118">
        <f>B35*'Input data'!B65*'Baseline data (from input)'!E20*'Input data'!T65*'4C2 Open-burning '!$C$10*'4C2 Open-burning '!$C$11*$C$5</f>
        <v>0</v>
      </c>
      <c r="AG35" s="118" t="e">
        <f>B35*'Input data'!B65*'Baseline data (from input)'!E20*'Input data'!#REF!*'4C2 Open-burning '!$C$10*'4C2 Open-burning '!$C$11*$C$5</f>
        <v>#REF!</v>
      </c>
      <c r="AH35" s="119" t="e">
        <f t="shared" si="2"/>
        <v>#REF!</v>
      </c>
      <c r="AI35" s="1388"/>
      <c r="AJ35" s="1388"/>
      <c r="AK35" s="1388"/>
      <c r="AQ35" s="99"/>
      <c r="AR35" s="99"/>
      <c r="AS35" s="99"/>
    </row>
    <row r="36" spans="1:45" ht="15" hidden="1" customHeight="1" thickBot="1">
      <c r="A36" s="466">
        <f>'Input data'!A66</f>
        <v>1966</v>
      </c>
      <c r="B36" s="122">
        <f>'Baseline data (from input)'!G22</f>
        <v>0</v>
      </c>
      <c r="C36" s="523">
        <f>'Baseline data (from input)'!C22*'Baseline data (from input)'!D22</f>
        <v>1006.2662508568224</v>
      </c>
      <c r="D36" s="529">
        <f>'Baseline data (from input)'!C22*'Baseline data (from input)'!E22</f>
        <v>1344.8542614163616</v>
      </c>
      <c r="E36" s="529">
        <f>'Baseline data (from input)'!C22*'Baseline data (from input)'!F22</f>
        <v>451.36251421338335</v>
      </c>
      <c r="F36" s="529">
        <f>'Baseline data (from input)'!C22*'Baseline data (from input)'!G22</f>
        <v>0</v>
      </c>
      <c r="G36" s="529">
        <f>'Baseline data (from input)'!C22*'Baseline data (from input)'!H22</f>
        <v>0</v>
      </c>
      <c r="H36" s="529">
        <f>'Baseline data (from input)'!H22*'Baseline data (from input)'!I22</f>
        <v>0</v>
      </c>
      <c r="I36" s="529">
        <f>'Baseline data (from input)'!C22*'Baseline data (from input)'!J22</f>
        <v>2256.0408038734327</v>
      </c>
      <c r="J36" s="935">
        <f t="shared" si="3"/>
        <v>5058.5238303599999</v>
      </c>
      <c r="K36" s="117">
        <f>'Input data'!B66*'Baseline data (from input)'!E21*'Input data'!O66*'4C2 Open-burning '!B36*'4C2 Open-burning '!$C$14*'4C2 Open-burning '!$C$5*'4C2 Open-burning '!$C$6*'4C2 Open-burning '!$C$7</f>
        <v>0</v>
      </c>
      <c r="L36" s="118">
        <f>'Input data'!B66*'Baseline data (from input)'!E21*'Input data'!P66*'4C2 Open-burning '!B36*'4C2 Open-burning '!$C$15*'4C2 Open-burning '!$C$5*'4C2 Open-burning '!$C$6*'4C2 Open-burning '!$C$7</f>
        <v>0</v>
      </c>
      <c r="M36" s="118" t="e">
        <f>'Input data'!B66*'Baseline data (from input)'!E21*'Input data'!Q66*'4C2 Open-burning '!B36*'4C2 Open-burning '!#REF!*'4C2 Open-burning '!$C$5*'4C2 Open-burning '!$C$6*'4C2 Open-burning '!$C$7</f>
        <v>#REF!</v>
      </c>
      <c r="N36" s="118" t="e">
        <f>'Input data'!B66*'Baseline data (from input)'!E21*'Input data'!R66*'4C2 Open-burning '!B36*'4C2 Open-burning '!#REF!*'4C2 Open-burning '!$C$5*'4C2 Open-burning '!$C$6*'4C2 Open-burning '!$C$7</f>
        <v>#REF!</v>
      </c>
      <c r="O36" s="118" t="e">
        <f>'Input data'!B66*'Baseline data (from input)'!E21*'Input data'!S66*'4C2 Open-burning '!B36*'4C2 Open-burning '!#REF!*'4C2 Open-burning '!$C$5*'4C2 Open-burning '!$C$6*'4C2 Open-burning '!$C$7</f>
        <v>#REF!</v>
      </c>
      <c r="P36" s="118" t="e">
        <f>'Input data'!B66*'Baseline data (from input)'!E21*'Input data'!T66*'4C2 Open-burning '!B36*'4C2 Open-burning '!#REF!*'4C2 Open-burning '!$C$5*'4C2 Open-burning '!$C$6*'4C2 Open-burning '!$C$7</f>
        <v>#REF!</v>
      </c>
      <c r="Q36" s="118" t="e">
        <f>'Input data'!B66*'Baseline data (from input)'!E21*'Input data'!#REF!*'4C2 Open-burning '!B36*'4C2 Open-burning '!#REF!*'4C2 Open-burning '!$C$5*'4C2 Open-burning '!$C$6*'4C2 Open-burning '!$C$7</f>
        <v>#REF!</v>
      </c>
      <c r="R36" s="119" t="e">
        <f t="shared" si="0"/>
        <v>#REF!</v>
      </c>
      <c r="S36" s="117">
        <f>B36*'Input data'!B66*'Baseline data (from input)'!E21*'Input data'!O66*'4C2 Open-burning '!$C$9*'4C2 Open-burning '!$C$11*$C$5</f>
        <v>0</v>
      </c>
      <c r="T36" s="118">
        <f>B36*'Input data'!B66*'Baseline data (from input)'!E21*'Input data'!P66*'4C2 Open-burning '!$C$9*'4C2 Open-burning '!$C$11*$C$5</f>
        <v>0</v>
      </c>
      <c r="U36" s="118">
        <f>B36*'Input data'!B66*'Baseline data (from input)'!E21*'Input data'!Q66*'4C2 Open-burning '!$C$9*'4C2 Open-burning '!$C$11*$C$5</f>
        <v>0</v>
      </c>
      <c r="V36" s="118">
        <f>B36*'Input data'!B66*'Baseline data (from input)'!E21*'Input data'!R66*'4C2 Open-burning '!$C$9*'4C2 Open-burning '!$C$11*$C$5</f>
        <v>0</v>
      </c>
      <c r="W36" s="118">
        <f>B36*'Input data'!B66*'Baseline data (from input)'!E21*'Input data'!S66*'4C2 Open-burning '!$C$9*'4C2 Open-burning '!$C$11*$C$5</f>
        <v>0</v>
      </c>
      <c r="X36" s="118">
        <f>B36*'Input data'!B66*'Baseline data (from input)'!E21*'Input data'!T66*'4C2 Open-burning '!$C$9*'4C2 Open-burning '!$C$11*$C$5</f>
        <v>0</v>
      </c>
      <c r="Y36" s="118" t="e">
        <f>B36*'Input data'!B66*'Baseline data (from input)'!E21*'Input data'!#REF!*'4C2 Open-burning '!$C$9*'4C2 Open-burning '!$C$11*$C$5</f>
        <v>#REF!</v>
      </c>
      <c r="Z36" s="119" t="e">
        <f t="shared" si="1"/>
        <v>#REF!</v>
      </c>
      <c r="AA36" s="117">
        <f>B36*'Input data'!B66*'Baseline data (from input)'!E21*'Input data'!O66*'4C2 Open-burning '!$C$10*'4C2 Open-burning '!$C$11*$C$5</f>
        <v>0</v>
      </c>
      <c r="AB36" s="118">
        <f>B36*'Input data'!B66*'Baseline data (from input)'!E21*'Input data'!P66*'4C2 Open-burning '!$C$10*'4C2 Open-burning '!$C$11*$C$5</f>
        <v>0</v>
      </c>
      <c r="AC36" s="118">
        <f>B36*'Input data'!B66*'Baseline data (from input)'!E21*'Input data'!Q66*'4C2 Open-burning '!$C$10*'4C2 Open-burning '!$C$11*$C$5</f>
        <v>0</v>
      </c>
      <c r="AD36" s="118">
        <f>B36*'Input data'!B66*'Baseline data (from input)'!E21*'Input data'!R66*'4C2 Open-burning '!$C$10*'4C2 Open-burning '!$C$11*$C$5</f>
        <v>0</v>
      </c>
      <c r="AE36" s="118">
        <f>B36*'Input data'!B66*'Baseline data (from input)'!E21*'Input data'!S66*'4C2 Open-burning '!$C$10*'4C2 Open-burning '!$C$11*$C$5</f>
        <v>0</v>
      </c>
      <c r="AF36" s="118">
        <f>B36*'Input data'!B66*'Baseline data (from input)'!E21*'Input data'!T66*'4C2 Open-burning '!$C$10*'4C2 Open-burning '!$C$11*$C$5</f>
        <v>0</v>
      </c>
      <c r="AG36" s="118" t="e">
        <f>B36*'Input data'!B66*'Baseline data (from input)'!E21*'Input data'!#REF!*'4C2 Open-burning '!$C$10*'4C2 Open-burning '!$C$11*$C$5</f>
        <v>#REF!</v>
      </c>
      <c r="AH36" s="119" t="e">
        <f t="shared" si="2"/>
        <v>#REF!</v>
      </c>
      <c r="AI36" s="1388"/>
      <c r="AJ36" s="1388"/>
      <c r="AK36" s="1388"/>
      <c r="AQ36" s="99"/>
      <c r="AR36" s="99"/>
      <c r="AS36" s="99"/>
    </row>
    <row r="37" spans="1:45" ht="15" hidden="1" customHeight="1" thickBot="1">
      <c r="A37" s="466">
        <f>'Input data'!A67</f>
        <v>1967</v>
      </c>
      <c r="B37" s="122">
        <f>'Baseline data (from input)'!G23</f>
        <v>0</v>
      </c>
      <c r="C37" s="523">
        <f>'Baseline data (from input)'!C23*'Baseline data (from input)'!D23</f>
        <v>1037.2458250013872</v>
      </c>
      <c r="D37" s="529">
        <f>'Baseline data (from input)'!C23*'Baseline data (from input)'!E23</f>
        <v>1386.2578285833081</v>
      </c>
      <c r="E37" s="529">
        <f>'Baseline data (from input)'!C23*'Baseline data (from input)'!F23</f>
        <v>465.25845722373901</v>
      </c>
      <c r="F37" s="529">
        <f>'Baseline data (from input)'!C23*'Baseline data (from input)'!G23</f>
        <v>0</v>
      </c>
      <c r="G37" s="529">
        <f>'Baseline data (from input)'!C23*'Baseline data (from input)'!H23</f>
        <v>0</v>
      </c>
      <c r="H37" s="529">
        <f>'Baseline data (from input)'!H23*'Baseline data (from input)'!I23</f>
        <v>0</v>
      </c>
      <c r="I37" s="529">
        <f>'Baseline data (from input)'!C23*'Baseline data (from input)'!J23</f>
        <v>2325.4967587931656</v>
      </c>
      <c r="J37" s="935">
        <f t="shared" si="3"/>
        <v>5214.2588696015991</v>
      </c>
      <c r="K37" s="117">
        <f>'Input data'!B67*'Baseline data (from input)'!E22*'Input data'!O67*'4C2 Open-burning '!B37*'4C2 Open-burning '!$C$14*'4C2 Open-burning '!$C$5*'4C2 Open-burning '!$C$6*'4C2 Open-burning '!$C$7</f>
        <v>0</v>
      </c>
      <c r="L37" s="118">
        <f>'Input data'!B67*'Baseline data (from input)'!E22*'Input data'!P67*'4C2 Open-burning '!B37*'4C2 Open-burning '!$C$15*'4C2 Open-burning '!$C$5*'4C2 Open-burning '!$C$6*'4C2 Open-burning '!$C$7</f>
        <v>0</v>
      </c>
      <c r="M37" s="118" t="e">
        <f>'Input data'!B67*'Baseline data (from input)'!E22*'Input data'!Q67*'4C2 Open-burning '!B37*'4C2 Open-burning '!#REF!*'4C2 Open-burning '!$C$5*'4C2 Open-burning '!$C$6*'4C2 Open-burning '!$C$7</f>
        <v>#REF!</v>
      </c>
      <c r="N37" s="118" t="e">
        <f>'Input data'!B67*'Baseline data (from input)'!E22*'Input data'!R67*'4C2 Open-burning '!B37*'4C2 Open-burning '!#REF!*'4C2 Open-burning '!$C$5*'4C2 Open-burning '!$C$6*'4C2 Open-burning '!$C$7</f>
        <v>#REF!</v>
      </c>
      <c r="O37" s="118" t="e">
        <f>'Input data'!B67*'Baseline data (from input)'!E22*'Input data'!S67*'4C2 Open-burning '!B37*'4C2 Open-burning '!#REF!*'4C2 Open-burning '!$C$5*'4C2 Open-burning '!$C$6*'4C2 Open-burning '!$C$7</f>
        <v>#REF!</v>
      </c>
      <c r="P37" s="118" t="e">
        <f>'Input data'!B67*'Baseline data (from input)'!E22*'Input data'!T67*'4C2 Open-burning '!B37*'4C2 Open-burning '!#REF!*'4C2 Open-burning '!$C$5*'4C2 Open-burning '!$C$6*'4C2 Open-burning '!$C$7</f>
        <v>#REF!</v>
      </c>
      <c r="Q37" s="118" t="e">
        <f>'Input data'!B67*'Baseline data (from input)'!E22*'Input data'!#REF!*'4C2 Open-burning '!B37*'4C2 Open-burning '!#REF!*'4C2 Open-burning '!$C$5*'4C2 Open-burning '!$C$6*'4C2 Open-burning '!$C$7</f>
        <v>#REF!</v>
      </c>
      <c r="R37" s="119" t="e">
        <f t="shared" si="0"/>
        <v>#REF!</v>
      </c>
      <c r="S37" s="117">
        <f>B37*'Input data'!B67*'Baseline data (from input)'!E22*'Input data'!O67*'4C2 Open-burning '!$C$9*'4C2 Open-burning '!$C$11*$C$5</f>
        <v>0</v>
      </c>
      <c r="T37" s="118">
        <f>B37*'Input data'!B67*'Baseline data (from input)'!E22*'Input data'!P67*'4C2 Open-burning '!$C$9*'4C2 Open-burning '!$C$11*$C$5</f>
        <v>0</v>
      </c>
      <c r="U37" s="118">
        <f>B37*'Input data'!B67*'Baseline data (from input)'!E22*'Input data'!Q67*'4C2 Open-burning '!$C$9*'4C2 Open-burning '!$C$11*$C$5</f>
        <v>0</v>
      </c>
      <c r="V37" s="118">
        <f>B37*'Input data'!B67*'Baseline data (from input)'!E22*'Input data'!R67*'4C2 Open-burning '!$C$9*'4C2 Open-burning '!$C$11*$C$5</f>
        <v>0</v>
      </c>
      <c r="W37" s="118">
        <f>B37*'Input data'!B67*'Baseline data (from input)'!E22*'Input data'!S67*'4C2 Open-burning '!$C$9*'4C2 Open-burning '!$C$11*$C$5</f>
        <v>0</v>
      </c>
      <c r="X37" s="118">
        <f>B37*'Input data'!B67*'Baseline data (from input)'!E22*'Input data'!T67*'4C2 Open-burning '!$C$9*'4C2 Open-burning '!$C$11*$C$5</f>
        <v>0</v>
      </c>
      <c r="Y37" s="118" t="e">
        <f>B37*'Input data'!B67*'Baseline data (from input)'!E22*'Input data'!#REF!*'4C2 Open-burning '!$C$9*'4C2 Open-burning '!$C$11*$C$5</f>
        <v>#REF!</v>
      </c>
      <c r="Z37" s="119" t="e">
        <f t="shared" si="1"/>
        <v>#REF!</v>
      </c>
      <c r="AA37" s="117">
        <f>B37*'Input data'!B67*'Baseline data (from input)'!E22*'Input data'!O67*'4C2 Open-burning '!$C$10*'4C2 Open-burning '!$C$11*$C$5</f>
        <v>0</v>
      </c>
      <c r="AB37" s="118">
        <f>B37*'Input data'!B67*'Baseline data (from input)'!E22*'Input data'!P67*'4C2 Open-burning '!$C$10*'4C2 Open-burning '!$C$11*$C$5</f>
        <v>0</v>
      </c>
      <c r="AC37" s="118">
        <f>B37*'Input data'!B67*'Baseline data (from input)'!E22*'Input data'!Q67*'4C2 Open-burning '!$C$10*'4C2 Open-burning '!$C$11*$C$5</f>
        <v>0</v>
      </c>
      <c r="AD37" s="118">
        <f>B37*'Input data'!B67*'Baseline data (from input)'!E22*'Input data'!R67*'4C2 Open-burning '!$C$10*'4C2 Open-burning '!$C$11*$C$5</f>
        <v>0</v>
      </c>
      <c r="AE37" s="118">
        <f>B37*'Input data'!B67*'Baseline data (from input)'!E22*'Input data'!S67*'4C2 Open-burning '!$C$10*'4C2 Open-burning '!$C$11*$C$5</f>
        <v>0</v>
      </c>
      <c r="AF37" s="118">
        <f>B37*'Input data'!B67*'Baseline data (from input)'!E22*'Input data'!T67*'4C2 Open-burning '!$C$10*'4C2 Open-burning '!$C$11*$C$5</f>
        <v>0</v>
      </c>
      <c r="AG37" s="118" t="e">
        <f>B37*'Input data'!B67*'Baseline data (from input)'!E22*'Input data'!#REF!*'4C2 Open-burning '!$C$10*'4C2 Open-burning '!$C$11*$C$5</f>
        <v>#REF!</v>
      </c>
      <c r="AH37" s="119" t="e">
        <f t="shared" si="2"/>
        <v>#REF!</v>
      </c>
      <c r="AI37" s="1388"/>
      <c r="AJ37" s="1388"/>
      <c r="AK37" s="1388"/>
      <c r="AQ37" s="99"/>
      <c r="AR37" s="99"/>
      <c r="AS37" s="99"/>
    </row>
    <row r="38" spans="1:45" ht="15" hidden="1" customHeight="1" thickBot="1">
      <c r="A38" s="466">
        <f>'Input data'!A68</f>
        <v>1968</v>
      </c>
      <c r="B38" s="122">
        <f>'Baseline data (from input)'!G24</f>
        <v>0</v>
      </c>
      <c r="C38" s="523">
        <f>'Baseline data (from input)'!C24*'Baseline data (from input)'!D24</f>
        <v>1068.4508483788513</v>
      </c>
      <c r="D38" s="529">
        <f>'Baseline data (from input)'!C24*'Baseline data (from input)'!E24</f>
        <v>1427.962704038533</v>
      </c>
      <c r="E38" s="529">
        <f>'Baseline data (from input)'!C24*'Baseline data (from input)'!F24</f>
        <v>479.25552588796842</v>
      </c>
      <c r="F38" s="529">
        <f>'Baseline data (from input)'!C24*'Baseline data (from input)'!G24</f>
        <v>0</v>
      </c>
      <c r="G38" s="529">
        <f>'Baseline data (from input)'!C24*'Baseline data (from input)'!H24</f>
        <v>0</v>
      </c>
      <c r="H38" s="529">
        <f>'Baseline data (from input)'!H24*'Baseline data (from input)'!I24</f>
        <v>0</v>
      </c>
      <c r="I38" s="529">
        <f>'Baseline data (from input)'!C24*'Baseline data (from input)'!J24</f>
        <v>2395.4581690714485</v>
      </c>
      <c r="J38" s="935">
        <f t="shared" si="3"/>
        <v>5371.1272473768013</v>
      </c>
      <c r="K38" s="117">
        <f>'Input data'!B68*'Baseline data (from input)'!E23*'Input data'!O68*'4C2 Open-burning '!B38*'4C2 Open-burning '!$C$14*'4C2 Open-burning '!$C$5*'4C2 Open-burning '!$C$6*'4C2 Open-burning '!$C$7</f>
        <v>0</v>
      </c>
      <c r="L38" s="118">
        <f>'Input data'!B68*'Baseline data (from input)'!E23*'Input data'!P68*'4C2 Open-burning '!B38*'4C2 Open-burning '!$C$15*'4C2 Open-burning '!$C$5*'4C2 Open-burning '!$C$6*'4C2 Open-burning '!$C$7</f>
        <v>0</v>
      </c>
      <c r="M38" s="118" t="e">
        <f>'Input data'!B68*'Baseline data (from input)'!E23*'Input data'!Q68*'4C2 Open-burning '!B38*'4C2 Open-burning '!#REF!*'4C2 Open-burning '!$C$5*'4C2 Open-burning '!$C$6*'4C2 Open-burning '!$C$7</f>
        <v>#REF!</v>
      </c>
      <c r="N38" s="118" t="e">
        <f>'Input data'!B68*'Baseline data (from input)'!E23*'Input data'!R68*'4C2 Open-burning '!B38*'4C2 Open-burning '!#REF!*'4C2 Open-burning '!$C$5*'4C2 Open-burning '!$C$6*'4C2 Open-burning '!$C$7</f>
        <v>#REF!</v>
      </c>
      <c r="O38" s="118" t="e">
        <f>'Input data'!B68*'Baseline data (from input)'!E23*'Input data'!S68*'4C2 Open-burning '!B38*'4C2 Open-burning '!#REF!*'4C2 Open-burning '!$C$5*'4C2 Open-burning '!$C$6*'4C2 Open-burning '!$C$7</f>
        <v>#REF!</v>
      </c>
      <c r="P38" s="118" t="e">
        <f>'Input data'!B68*'Baseline data (from input)'!E23*'Input data'!T68*'4C2 Open-burning '!B38*'4C2 Open-burning '!#REF!*'4C2 Open-burning '!$C$5*'4C2 Open-burning '!$C$6*'4C2 Open-burning '!$C$7</f>
        <v>#REF!</v>
      </c>
      <c r="Q38" s="118" t="e">
        <f>'Input data'!B68*'Baseline data (from input)'!E23*'Input data'!#REF!*'4C2 Open-burning '!B38*'4C2 Open-burning '!#REF!*'4C2 Open-burning '!$C$5*'4C2 Open-burning '!$C$6*'4C2 Open-burning '!$C$7</f>
        <v>#REF!</v>
      </c>
      <c r="R38" s="119" t="e">
        <f t="shared" si="0"/>
        <v>#REF!</v>
      </c>
      <c r="S38" s="117">
        <f>B38*'Input data'!B68*'Baseline data (from input)'!E23*'Input data'!O68*'4C2 Open-burning '!$C$9*'4C2 Open-burning '!$C$11*$C$5</f>
        <v>0</v>
      </c>
      <c r="T38" s="118">
        <f>B38*'Input data'!B68*'Baseline data (from input)'!E23*'Input data'!P68*'4C2 Open-burning '!$C$9*'4C2 Open-burning '!$C$11*$C$5</f>
        <v>0</v>
      </c>
      <c r="U38" s="118">
        <f>B38*'Input data'!B68*'Baseline data (from input)'!E23*'Input data'!Q68*'4C2 Open-burning '!$C$9*'4C2 Open-burning '!$C$11*$C$5</f>
        <v>0</v>
      </c>
      <c r="V38" s="118">
        <f>B38*'Input data'!B68*'Baseline data (from input)'!E23*'Input data'!R68*'4C2 Open-burning '!$C$9*'4C2 Open-burning '!$C$11*$C$5</f>
        <v>0</v>
      </c>
      <c r="W38" s="118">
        <f>B38*'Input data'!B68*'Baseline data (from input)'!E23*'Input data'!S68*'4C2 Open-burning '!$C$9*'4C2 Open-burning '!$C$11*$C$5</f>
        <v>0</v>
      </c>
      <c r="X38" s="118">
        <f>B38*'Input data'!B68*'Baseline data (from input)'!E23*'Input data'!T68*'4C2 Open-burning '!$C$9*'4C2 Open-burning '!$C$11*$C$5</f>
        <v>0</v>
      </c>
      <c r="Y38" s="118" t="e">
        <f>B38*'Input data'!B68*'Baseline data (from input)'!E23*'Input data'!#REF!*'4C2 Open-burning '!$C$9*'4C2 Open-burning '!$C$11*$C$5</f>
        <v>#REF!</v>
      </c>
      <c r="Z38" s="119" t="e">
        <f t="shared" si="1"/>
        <v>#REF!</v>
      </c>
      <c r="AA38" s="117">
        <f>B38*'Input data'!B68*'Baseline data (from input)'!E23*'Input data'!O68*'4C2 Open-burning '!$C$10*'4C2 Open-burning '!$C$11*$C$5</f>
        <v>0</v>
      </c>
      <c r="AB38" s="118">
        <f>B38*'Input data'!B68*'Baseline data (from input)'!E23*'Input data'!P68*'4C2 Open-burning '!$C$10*'4C2 Open-burning '!$C$11*$C$5</f>
        <v>0</v>
      </c>
      <c r="AC38" s="118">
        <f>B38*'Input data'!B68*'Baseline data (from input)'!E23*'Input data'!Q68*'4C2 Open-burning '!$C$10*'4C2 Open-burning '!$C$11*$C$5</f>
        <v>0</v>
      </c>
      <c r="AD38" s="118">
        <f>B38*'Input data'!B68*'Baseline data (from input)'!E23*'Input data'!R68*'4C2 Open-burning '!$C$10*'4C2 Open-burning '!$C$11*$C$5</f>
        <v>0</v>
      </c>
      <c r="AE38" s="118">
        <f>B38*'Input data'!B68*'Baseline data (from input)'!E23*'Input data'!S68*'4C2 Open-burning '!$C$10*'4C2 Open-burning '!$C$11*$C$5</f>
        <v>0</v>
      </c>
      <c r="AF38" s="118">
        <f>B38*'Input data'!B68*'Baseline data (from input)'!E23*'Input data'!T68*'4C2 Open-burning '!$C$10*'4C2 Open-burning '!$C$11*$C$5</f>
        <v>0</v>
      </c>
      <c r="AG38" s="118" t="e">
        <f>B38*'Input data'!B68*'Baseline data (from input)'!E23*'Input data'!#REF!*'4C2 Open-burning '!$C$10*'4C2 Open-burning '!$C$11*$C$5</f>
        <v>#REF!</v>
      </c>
      <c r="AH38" s="119" t="e">
        <f t="shared" si="2"/>
        <v>#REF!</v>
      </c>
      <c r="AI38" s="1388"/>
      <c r="AJ38" s="1388"/>
      <c r="AK38" s="1388"/>
      <c r="AQ38" s="99"/>
      <c r="AR38" s="99"/>
      <c r="AS38" s="99"/>
    </row>
    <row r="39" spans="1:45" ht="15" hidden="1" customHeight="1" thickBot="1">
      <c r="A39" s="466">
        <f>'Input data'!A69</f>
        <v>1969</v>
      </c>
      <c r="B39" s="122">
        <f>'Baseline data (from input)'!G25</f>
        <v>0</v>
      </c>
      <c r="C39" s="523">
        <f>'Baseline data (from input)'!C25*'Baseline data (from input)'!D25</f>
        <v>1099.8813209892141</v>
      </c>
      <c r="D39" s="529">
        <f>'Baseline data (from input)'!C25*'Baseline data (from input)'!E25</f>
        <v>1469.9688877820354</v>
      </c>
      <c r="E39" s="529">
        <f>'Baseline data (from input)'!C25*'Baseline data (from input)'!F25</f>
        <v>493.35372020607122</v>
      </c>
      <c r="F39" s="529">
        <f>'Baseline data (from input)'!C25*'Baseline data (from input)'!G25</f>
        <v>0</v>
      </c>
      <c r="G39" s="529">
        <f>'Baseline data (from input)'!C25*'Baseline data (from input)'!H25</f>
        <v>0</v>
      </c>
      <c r="H39" s="529">
        <f>'Baseline data (from input)'!H25*'Baseline data (from input)'!I25</f>
        <v>0</v>
      </c>
      <c r="I39" s="529">
        <f>'Baseline data (from input)'!C25*'Baseline data (from input)'!J25</f>
        <v>2465.9250347082793</v>
      </c>
      <c r="J39" s="935">
        <f t="shared" si="3"/>
        <v>5529.1289636856</v>
      </c>
      <c r="K39" s="117">
        <f>'Input data'!B69*'Baseline data (from input)'!E24*'Input data'!O69*'4C2 Open-burning '!B39*'4C2 Open-burning '!$C$14*'4C2 Open-burning '!$C$5*'4C2 Open-burning '!$C$6*'4C2 Open-burning '!$C$7</f>
        <v>0</v>
      </c>
      <c r="L39" s="118">
        <f>'Input data'!B69*'Baseline data (from input)'!E24*'Input data'!P69*'4C2 Open-burning '!B39*'4C2 Open-burning '!$C$15*'4C2 Open-burning '!$C$5*'4C2 Open-burning '!$C$6*'4C2 Open-burning '!$C$7</f>
        <v>0</v>
      </c>
      <c r="M39" s="118" t="e">
        <f>'Input data'!B69*'Baseline data (from input)'!E24*'Input data'!Q69*'4C2 Open-burning '!B39*'4C2 Open-burning '!#REF!*'4C2 Open-burning '!$C$5*'4C2 Open-burning '!$C$6*'4C2 Open-burning '!$C$7</f>
        <v>#REF!</v>
      </c>
      <c r="N39" s="118" t="e">
        <f>'Input data'!B69*'Baseline data (from input)'!E24*'Input data'!R69*'4C2 Open-burning '!B39*'4C2 Open-burning '!#REF!*'4C2 Open-burning '!$C$5*'4C2 Open-burning '!$C$6*'4C2 Open-burning '!$C$7</f>
        <v>#REF!</v>
      </c>
      <c r="O39" s="118" t="e">
        <f>'Input data'!B69*'Baseline data (from input)'!E24*'Input data'!S69*'4C2 Open-burning '!B39*'4C2 Open-burning '!#REF!*'4C2 Open-burning '!$C$5*'4C2 Open-burning '!$C$6*'4C2 Open-burning '!$C$7</f>
        <v>#REF!</v>
      </c>
      <c r="P39" s="118" t="e">
        <f>'Input data'!B69*'Baseline data (from input)'!E24*'Input data'!T69*'4C2 Open-burning '!B39*'4C2 Open-burning '!#REF!*'4C2 Open-burning '!$C$5*'4C2 Open-burning '!$C$6*'4C2 Open-burning '!$C$7</f>
        <v>#REF!</v>
      </c>
      <c r="Q39" s="118" t="e">
        <f>'Input data'!B69*'Baseline data (from input)'!E24*'Input data'!#REF!*'4C2 Open-burning '!B39*'4C2 Open-burning '!#REF!*'4C2 Open-burning '!$C$5*'4C2 Open-burning '!$C$6*'4C2 Open-burning '!$C$7</f>
        <v>#REF!</v>
      </c>
      <c r="R39" s="119" t="e">
        <f t="shared" si="0"/>
        <v>#REF!</v>
      </c>
      <c r="S39" s="117">
        <f>B39*'Input data'!B69*'Baseline data (from input)'!E24*'Input data'!O69*'4C2 Open-burning '!$C$9*'4C2 Open-burning '!$C$11*$C$5</f>
        <v>0</v>
      </c>
      <c r="T39" s="118">
        <f>B39*'Input data'!B69*'Baseline data (from input)'!E24*'Input data'!P69*'4C2 Open-burning '!$C$9*'4C2 Open-burning '!$C$11*$C$5</f>
        <v>0</v>
      </c>
      <c r="U39" s="118">
        <f>B39*'Input data'!B69*'Baseline data (from input)'!E24*'Input data'!Q69*'4C2 Open-burning '!$C$9*'4C2 Open-burning '!$C$11*$C$5</f>
        <v>0</v>
      </c>
      <c r="V39" s="118">
        <f>B39*'Input data'!B69*'Baseline data (from input)'!E24*'Input data'!R69*'4C2 Open-burning '!$C$9*'4C2 Open-burning '!$C$11*$C$5</f>
        <v>0</v>
      </c>
      <c r="W39" s="118">
        <f>B39*'Input data'!B69*'Baseline data (from input)'!E24*'Input data'!S69*'4C2 Open-burning '!$C$9*'4C2 Open-burning '!$C$11*$C$5</f>
        <v>0</v>
      </c>
      <c r="X39" s="118">
        <f>B39*'Input data'!B69*'Baseline data (from input)'!E24*'Input data'!T69*'4C2 Open-burning '!$C$9*'4C2 Open-burning '!$C$11*$C$5</f>
        <v>0</v>
      </c>
      <c r="Y39" s="118" t="e">
        <f>B39*'Input data'!B69*'Baseline data (from input)'!E24*'Input data'!#REF!*'4C2 Open-burning '!$C$9*'4C2 Open-burning '!$C$11*$C$5</f>
        <v>#REF!</v>
      </c>
      <c r="Z39" s="119" t="e">
        <f t="shared" si="1"/>
        <v>#REF!</v>
      </c>
      <c r="AA39" s="117">
        <f>B39*'Input data'!B69*'Baseline data (from input)'!E24*'Input data'!O69*'4C2 Open-burning '!$C$10*'4C2 Open-burning '!$C$11*$C$5</f>
        <v>0</v>
      </c>
      <c r="AB39" s="118">
        <f>B39*'Input data'!B69*'Baseline data (from input)'!E24*'Input data'!P69*'4C2 Open-burning '!$C$10*'4C2 Open-burning '!$C$11*$C$5</f>
        <v>0</v>
      </c>
      <c r="AC39" s="118">
        <f>B39*'Input data'!B69*'Baseline data (from input)'!E24*'Input data'!Q69*'4C2 Open-burning '!$C$10*'4C2 Open-burning '!$C$11*$C$5</f>
        <v>0</v>
      </c>
      <c r="AD39" s="118">
        <f>B39*'Input data'!B69*'Baseline data (from input)'!E24*'Input data'!R69*'4C2 Open-burning '!$C$10*'4C2 Open-burning '!$C$11*$C$5</f>
        <v>0</v>
      </c>
      <c r="AE39" s="118">
        <f>B39*'Input data'!B69*'Baseline data (from input)'!E24*'Input data'!S69*'4C2 Open-burning '!$C$10*'4C2 Open-burning '!$C$11*$C$5</f>
        <v>0</v>
      </c>
      <c r="AF39" s="118">
        <f>B39*'Input data'!B69*'Baseline data (from input)'!E24*'Input data'!T69*'4C2 Open-burning '!$C$10*'4C2 Open-burning '!$C$11*$C$5</f>
        <v>0</v>
      </c>
      <c r="AG39" s="118" t="e">
        <f>B39*'Input data'!B69*'Baseline data (from input)'!E24*'Input data'!#REF!*'4C2 Open-burning '!$C$10*'4C2 Open-burning '!$C$11*$C$5</f>
        <v>#REF!</v>
      </c>
      <c r="AH39" s="119" t="e">
        <f t="shared" si="2"/>
        <v>#REF!</v>
      </c>
      <c r="AI39" s="1388"/>
      <c r="AJ39" s="1388"/>
      <c r="AK39" s="1388"/>
      <c r="AQ39" s="99"/>
      <c r="AR39" s="99"/>
      <c r="AS39" s="99"/>
    </row>
    <row r="40" spans="1:45" ht="15" hidden="1" customHeight="1" thickBot="1">
      <c r="A40" s="466">
        <f>'Input data'!A70</f>
        <v>1970</v>
      </c>
      <c r="B40" s="122">
        <f>'Baseline data (from input)'!G26</f>
        <v>0</v>
      </c>
      <c r="C40" s="523">
        <f>'Baseline data (from input)'!C26*'Baseline data (from input)'!D26</f>
        <v>1131.5372428324765</v>
      </c>
      <c r="D40" s="529">
        <f>'Baseline data (from input)'!C26*'Baseline data (from input)'!E26</f>
        <v>1512.2763798138158</v>
      </c>
      <c r="E40" s="529">
        <f>'Baseline data (from input)'!C26*'Baseline data (from input)'!F26</f>
        <v>507.55304017804781</v>
      </c>
      <c r="F40" s="529">
        <f>'Baseline data (from input)'!C26*'Baseline data (from input)'!G26</f>
        <v>0</v>
      </c>
      <c r="G40" s="529">
        <f>'Baseline data (from input)'!C26*'Baseline data (from input)'!H26</f>
        <v>0</v>
      </c>
      <c r="H40" s="529">
        <f>'Baseline data (from input)'!H26*'Baseline data (from input)'!I26</f>
        <v>0</v>
      </c>
      <c r="I40" s="529">
        <f>'Baseline data (from input)'!C26*'Baseline data (from input)'!J26</f>
        <v>2536.8973557036593</v>
      </c>
      <c r="J40" s="935">
        <f t="shared" si="3"/>
        <v>5688.2640185279997</v>
      </c>
      <c r="K40" s="117">
        <f>'Input data'!B70*'Baseline data (from input)'!E25*'Input data'!O70*'4C2 Open-burning '!B40*'4C2 Open-burning '!$C$14*'4C2 Open-burning '!$C$5*'4C2 Open-burning '!$C$6*'4C2 Open-burning '!$C$7</f>
        <v>0</v>
      </c>
      <c r="L40" s="118">
        <f>'Input data'!B70*'Baseline data (from input)'!E25*'Input data'!P70*'4C2 Open-burning '!B40*'4C2 Open-burning '!$C$15*'4C2 Open-burning '!$C$5*'4C2 Open-burning '!$C$6*'4C2 Open-burning '!$C$7</f>
        <v>0</v>
      </c>
      <c r="M40" s="118" t="e">
        <f>'Input data'!B70*'Baseline data (from input)'!E25*'Input data'!Q70*'4C2 Open-burning '!B40*'4C2 Open-burning '!#REF!*'4C2 Open-burning '!$C$5*'4C2 Open-burning '!$C$6*'4C2 Open-burning '!$C$7</f>
        <v>#REF!</v>
      </c>
      <c r="N40" s="118" t="e">
        <f>'Input data'!B70*'Baseline data (from input)'!E25*'Input data'!R70*'4C2 Open-burning '!B40*'4C2 Open-burning '!#REF!*'4C2 Open-burning '!$C$5*'4C2 Open-burning '!$C$6*'4C2 Open-burning '!$C$7</f>
        <v>#REF!</v>
      </c>
      <c r="O40" s="118" t="e">
        <f>'Input data'!B70*'Baseline data (from input)'!E25*'Input data'!S70*'4C2 Open-burning '!B40*'4C2 Open-burning '!#REF!*'4C2 Open-burning '!$C$5*'4C2 Open-burning '!$C$6*'4C2 Open-burning '!$C$7</f>
        <v>#REF!</v>
      </c>
      <c r="P40" s="118" t="e">
        <f>'Input data'!B70*'Baseline data (from input)'!E25*'Input data'!T70*'4C2 Open-burning '!B40*'4C2 Open-burning '!#REF!*'4C2 Open-burning '!$C$5*'4C2 Open-burning '!$C$6*'4C2 Open-burning '!$C$7</f>
        <v>#REF!</v>
      </c>
      <c r="Q40" s="118" t="e">
        <f>'Input data'!B70*'Baseline data (from input)'!E25*'Input data'!#REF!*'4C2 Open-burning '!B40*'4C2 Open-burning '!#REF!*'4C2 Open-burning '!$C$5*'4C2 Open-burning '!$C$6*'4C2 Open-burning '!$C$7</f>
        <v>#REF!</v>
      </c>
      <c r="R40" s="119" t="e">
        <f t="shared" si="0"/>
        <v>#REF!</v>
      </c>
      <c r="S40" s="117">
        <f>B40*'Input data'!B70*'Baseline data (from input)'!E25*'Input data'!O70*'4C2 Open-burning '!$C$9*'4C2 Open-burning '!$C$11*$C$5</f>
        <v>0</v>
      </c>
      <c r="T40" s="118">
        <f>B40*'Input data'!B70*'Baseline data (from input)'!E25*'Input data'!P70*'4C2 Open-burning '!$C$9*'4C2 Open-burning '!$C$11*$C$5</f>
        <v>0</v>
      </c>
      <c r="U40" s="118">
        <f>B40*'Input data'!B70*'Baseline data (from input)'!E25*'Input data'!Q70*'4C2 Open-burning '!$C$9*'4C2 Open-burning '!$C$11*$C$5</f>
        <v>0</v>
      </c>
      <c r="V40" s="118">
        <f>B40*'Input data'!B70*'Baseline data (from input)'!E25*'Input data'!R70*'4C2 Open-burning '!$C$9*'4C2 Open-burning '!$C$11*$C$5</f>
        <v>0</v>
      </c>
      <c r="W40" s="118">
        <f>B40*'Input data'!B70*'Baseline data (from input)'!E25*'Input data'!S70*'4C2 Open-burning '!$C$9*'4C2 Open-burning '!$C$11*$C$5</f>
        <v>0</v>
      </c>
      <c r="X40" s="118">
        <f>B40*'Input data'!B70*'Baseline data (from input)'!E25*'Input data'!T70*'4C2 Open-burning '!$C$9*'4C2 Open-burning '!$C$11*$C$5</f>
        <v>0</v>
      </c>
      <c r="Y40" s="118" t="e">
        <f>B40*'Input data'!B70*'Baseline data (from input)'!E25*'Input data'!#REF!*'4C2 Open-burning '!$C$9*'4C2 Open-burning '!$C$11*$C$5</f>
        <v>#REF!</v>
      </c>
      <c r="Z40" s="119" t="e">
        <f t="shared" si="1"/>
        <v>#REF!</v>
      </c>
      <c r="AA40" s="117">
        <f>B40*'Input data'!B70*'Baseline data (from input)'!E25*'Input data'!O70*'4C2 Open-burning '!$C$10*'4C2 Open-burning '!$C$11*$C$5</f>
        <v>0</v>
      </c>
      <c r="AB40" s="118">
        <f>B40*'Input data'!B70*'Baseline data (from input)'!E25*'Input data'!P70*'4C2 Open-burning '!$C$10*'4C2 Open-burning '!$C$11*$C$5</f>
        <v>0</v>
      </c>
      <c r="AC40" s="118">
        <f>B40*'Input data'!B70*'Baseline data (from input)'!E25*'Input data'!Q70*'4C2 Open-burning '!$C$10*'4C2 Open-burning '!$C$11*$C$5</f>
        <v>0</v>
      </c>
      <c r="AD40" s="118">
        <f>B40*'Input data'!B70*'Baseline data (from input)'!E25*'Input data'!R70*'4C2 Open-burning '!$C$10*'4C2 Open-burning '!$C$11*$C$5</f>
        <v>0</v>
      </c>
      <c r="AE40" s="118">
        <f>B40*'Input data'!B70*'Baseline data (from input)'!E25*'Input data'!S70*'4C2 Open-burning '!$C$10*'4C2 Open-burning '!$C$11*$C$5</f>
        <v>0</v>
      </c>
      <c r="AF40" s="118">
        <f>B40*'Input data'!B70*'Baseline data (from input)'!E25*'Input data'!T70*'4C2 Open-burning '!$C$10*'4C2 Open-burning '!$C$11*$C$5</f>
        <v>0</v>
      </c>
      <c r="AG40" s="118" t="e">
        <f>B40*'Input data'!B70*'Baseline data (from input)'!E25*'Input data'!#REF!*'4C2 Open-burning '!$C$10*'4C2 Open-burning '!$C$11*$C$5</f>
        <v>#REF!</v>
      </c>
      <c r="AH40" s="119" t="e">
        <f t="shared" si="2"/>
        <v>#REF!</v>
      </c>
      <c r="AI40" s="1388"/>
      <c r="AJ40" s="1388"/>
      <c r="AK40" s="1388"/>
      <c r="AQ40" s="99"/>
      <c r="AR40" s="99"/>
      <c r="AS40" s="99"/>
    </row>
    <row r="41" spans="1:45" ht="15" hidden="1" customHeight="1" thickBot="1">
      <c r="A41" s="466">
        <f>'Input data'!A71</f>
        <v>1971</v>
      </c>
      <c r="B41" s="122">
        <f>'Baseline data (from input)'!G27</f>
        <v>0</v>
      </c>
      <c r="C41" s="523">
        <f>'Baseline data (from input)'!C27*'Baseline data (from input)'!D27</f>
        <v>2367.8455213702891</v>
      </c>
      <c r="D41" s="529">
        <f>'Baseline data (from input)'!C27*'Baseline data (from input)'!E27</f>
        <v>3164.5771057898437</v>
      </c>
      <c r="E41" s="529">
        <f>'Baseline data (from input)'!C27*'Baseline data (from input)'!F27</f>
        <v>1062.1013145224349</v>
      </c>
      <c r="F41" s="529">
        <f>'Baseline data (from input)'!C27*'Baseline data (from input)'!G27</f>
        <v>0</v>
      </c>
      <c r="G41" s="529">
        <f>'Baseline data (from input)'!C27*'Baseline data (from input)'!H27</f>
        <v>0</v>
      </c>
      <c r="H41" s="529">
        <f>'Baseline data (from input)'!H27*'Baseline data (from input)'!I27</f>
        <v>0</v>
      </c>
      <c r="I41" s="529">
        <f>'Baseline data (from input)'!C27*'Baseline data (from input)'!J27</f>
        <v>5308.6905269174331</v>
      </c>
      <c r="J41" s="935">
        <f t="shared" si="3"/>
        <v>11903.214468600001</v>
      </c>
      <c r="K41" s="117">
        <f>'Input data'!B71*'Baseline data (from input)'!E26*'Input data'!O71*'4C2 Open-burning '!B41*'4C2 Open-burning '!$C$14*'4C2 Open-burning '!$C$5*'4C2 Open-burning '!$C$6*'4C2 Open-burning '!$C$7</f>
        <v>0</v>
      </c>
      <c r="L41" s="118">
        <f>'Input data'!B71*'Baseline data (from input)'!E26*'Input data'!P71*'4C2 Open-burning '!B41*'4C2 Open-burning '!$C$15*'4C2 Open-burning '!$C$5*'4C2 Open-burning '!$C$6*'4C2 Open-burning '!$C$7</f>
        <v>0</v>
      </c>
      <c r="M41" s="118" t="e">
        <f>'Input data'!B71*'Baseline data (from input)'!E26*'Input data'!Q71*'4C2 Open-burning '!B41*'4C2 Open-burning '!#REF!*'4C2 Open-burning '!$C$5*'4C2 Open-burning '!$C$6*'4C2 Open-burning '!$C$7</f>
        <v>#REF!</v>
      </c>
      <c r="N41" s="118" t="e">
        <f>'Input data'!B71*'Baseline data (from input)'!E26*'Input data'!R71*'4C2 Open-burning '!B41*'4C2 Open-burning '!#REF!*'4C2 Open-burning '!$C$5*'4C2 Open-burning '!$C$6*'4C2 Open-burning '!$C$7</f>
        <v>#REF!</v>
      </c>
      <c r="O41" s="118" t="e">
        <f>'Input data'!B71*'Baseline data (from input)'!E26*'Input data'!S71*'4C2 Open-burning '!B41*'4C2 Open-burning '!#REF!*'4C2 Open-burning '!$C$5*'4C2 Open-burning '!$C$6*'4C2 Open-burning '!$C$7</f>
        <v>#REF!</v>
      </c>
      <c r="P41" s="118" t="e">
        <f>'Input data'!B71*'Baseline data (from input)'!E26*'Input data'!T71*'4C2 Open-burning '!B41*'4C2 Open-burning '!#REF!*'4C2 Open-burning '!$C$5*'4C2 Open-burning '!$C$6*'4C2 Open-burning '!$C$7</f>
        <v>#REF!</v>
      </c>
      <c r="Q41" s="118" t="e">
        <f>'Input data'!B71*'Baseline data (from input)'!E26*'Input data'!#REF!*'4C2 Open-burning '!B41*'4C2 Open-burning '!#REF!*'4C2 Open-burning '!$C$5*'4C2 Open-burning '!$C$6*'4C2 Open-burning '!$C$7</f>
        <v>#REF!</v>
      </c>
      <c r="R41" s="119" t="e">
        <f t="shared" si="0"/>
        <v>#REF!</v>
      </c>
      <c r="S41" s="117">
        <f>B41*'Input data'!B71*'Baseline data (from input)'!E26*'Input data'!O71*'4C2 Open-burning '!$C$9*'4C2 Open-burning '!$C$11*$C$5</f>
        <v>0</v>
      </c>
      <c r="T41" s="118">
        <f>B41*'Input data'!B71*'Baseline data (from input)'!E26*'Input data'!P71*'4C2 Open-burning '!$C$9*'4C2 Open-burning '!$C$11*$C$5</f>
        <v>0</v>
      </c>
      <c r="U41" s="118">
        <f>B41*'Input data'!B71*'Baseline data (from input)'!E26*'Input data'!Q71*'4C2 Open-burning '!$C$9*'4C2 Open-burning '!$C$11*$C$5</f>
        <v>0</v>
      </c>
      <c r="V41" s="118">
        <f>B41*'Input data'!B71*'Baseline data (from input)'!E26*'Input data'!R71*'4C2 Open-burning '!$C$9*'4C2 Open-burning '!$C$11*$C$5</f>
        <v>0</v>
      </c>
      <c r="W41" s="118">
        <f>B41*'Input data'!B71*'Baseline data (from input)'!E26*'Input data'!S71*'4C2 Open-burning '!$C$9*'4C2 Open-burning '!$C$11*$C$5</f>
        <v>0</v>
      </c>
      <c r="X41" s="118">
        <f>B41*'Input data'!B71*'Baseline data (from input)'!E26*'Input data'!T71*'4C2 Open-burning '!$C$9*'4C2 Open-burning '!$C$11*$C$5</f>
        <v>0</v>
      </c>
      <c r="Y41" s="118" t="e">
        <f>B41*'Input data'!B71*'Baseline data (from input)'!E26*'Input data'!#REF!*'4C2 Open-burning '!$C$9*'4C2 Open-burning '!$C$11*$C$5</f>
        <v>#REF!</v>
      </c>
      <c r="Z41" s="119" t="e">
        <f t="shared" si="1"/>
        <v>#REF!</v>
      </c>
      <c r="AA41" s="117">
        <f>B41*'Input data'!B71*'Baseline data (from input)'!E26*'Input data'!O71*'4C2 Open-burning '!$C$10*'4C2 Open-burning '!$C$11*$C$5</f>
        <v>0</v>
      </c>
      <c r="AB41" s="118">
        <f>B41*'Input data'!B71*'Baseline data (from input)'!E26*'Input data'!P71*'4C2 Open-burning '!$C$10*'4C2 Open-burning '!$C$11*$C$5</f>
        <v>0</v>
      </c>
      <c r="AC41" s="118">
        <f>B41*'Input data'!B71*'Baseline data (from input)'!E26*'Input data'!Q71*'4C2 Open-burning '!$C$10*'4C2 Open-burning '!$C$11*$C$5</f>
        <v>0</v>
      </c>
      <c r="AD41" s="118">
        <f>B41*'Input data'!B71*'Baseline data (from input)'!E26*'Input data'!R71*'4C2 Open-burning '!$C$10*'4C2 Open-burning '!$C$11*$C$5</f>
        <v>0</v>
      </c>
      <c r="AE41" s="118">
        <f>B41*'Input data'!B71*'Baseline data (from input)'!E26*'Input data'!S71*'4C2 Open-burning '!$C$10*'4C2 Open-burning '!$C$11*$C$5</f>
        <v>0</v>
      </c>
      <c r="AF41" s="118">
        <f>B41*'Input data'!B71*'Baseline data (from input)'!E26*'Input data'!T71*'4C2 Open-burning '!$C$10*'4C2 Open-burning '!$C$11*$C$5</f>
        <v>0</v>
      </c>
      <c r="AG41" s="118" t="e">
        <f>B41*'Input data'!B71*'Baseline data (from input)'!E26*'Input data'!#REF!*'4C2 Open-burning '!$C$10*'4C2 Open-burning '!$C$11*$C$5</f>
        <v>#REF!</v>
      </c>
      <c r="AH41" s="119" t="e">
        <f t="shared" si="2"/>
        <v>#REF!</v>
      </c>
      <c r="AI41" s="1388"/>
      <c r="AJ41" s="1388"/>
      <c r="AK41" s="1388"/>
      <c r="AQ41" s="99"/>
      <c r="AR41" s="99"/>
      <c r="AS41" s="99"/>
    </row>
    <row r="42" spans="1:45" ht="15" hidden="1" customHeight="1" thickBot="1">
      <c r="A42" s="466">
        <f>'Input data'!A72</f>
        <v>1972</v>
      </c>
      <c r="B42" s="122">
        <f>'Baseline data (from input)'!G28</f>
        <v>0</v>
      </c>
      <c r="C42" s="523">
        <f>'Baseline data (from input)'!C28*'Baseline data (from input)'!D28</f>
        <v>2422.7411524294002</v>
      </c>
      <c r="D42" s="529">
        <f>'Baseline data (from input)'!C28*'Baseline data (from input)'!E28</f>
        <v>3237.9439938277992</v>
      </c>
      <c r="E42" s="529">
        <f>'Baseline data (from input)'!C28*'Baseline data (from input)'!F28</f>
        <v>1086.7248473429709</v>
      </c>
      <c r="F42" s="529">
        <f>'Baseline data (from input)'!C28*'Baseline data (from input)'!G28</f>
        <v>0</v>
      </c>
      <c r="G42" s="529">
        <f>'Baseline data (from input)'!C28*'Baseline data (from input)'!H28</f>
        <v>0</v>
      </c>
      <c r="H42" s="529">
        <f>'Baseline data (from input)'!H28*'Baseline data (from input)'!I28</f>
        <v>0</v>
      </c>
      <c r="I42" s="529">
        <f>'Baseline data (from input)'!C28*'Baseline data (from input)'!J28</f>
        <v>5431.7660881998299</v>
      </c>
      <c r="J42" s="935">
        <f t="shared" si="3"/>
        <v>12179.1760818</v>
      </c>
      <c r="K42" s="117">
        <f>'Input data'!B72*'Baseline data (from input)'!E27*'Input data'!O72*'4C2 Open-burning '!B42*'4C2 Open-burning '!$C$14*'4C2 Open-burning '!$C$5*'4C2 Open-burning '!$C$6*'4C2 Open-burning '!$C$7</f>
        <v>0</v>
      </c>
      <c r="L42" s="118">
        <f>'Input data'!B72*'Baseline data (from input)'!E27*'Input data'!P72*'4C2 Open-burning '!B42*'4C2 Open-burning '!$C$15*'4C2 Open-burning '!$C$5*'4C2 Open-burning '!$C$6*'4C2 Open-burning '!$C$7</f>
        <v>0</v>
      </c>
      <c r="M42" s="118" t="e">
        <f>'Input data'!B72*'Baseline data (from input)'!E27*'Input data'!Q72*'4C2 Open-burning '!B42*'4C2 Open-burning '!#REF!*'4C2 Open-burning '!$C$5*'4C2 Open-burning '!$C$6*'4C2 Open-burning '!$C$7</f>
        <v>#REF!</v>
      </c>
      <c r="N42" s="118" t="e">
        <f>'Input data'!B72*'Baseline data (from input)'!E27*'Input data'!R72*'4C2 Open-burning '!B42*'4C2 Open-burning '!#REF!*'4C2 Open-burning '!$C$5*'4C2 Open-burning '!$C$6*'4C2 Open-burning '!$C$7</f>
        <v>#REF!</v>
      </c>
      <c r="O42" s="118" t="e">
        <f>'Input data'!B72*'Baseline data (from input)'!E27*'Input data'!S72*'4C2 Open-burning '!B42*'4C2 Open-burning '!#REF!*'4C2 Open-burning '!$C$5*'4C2 Open-burning '!$C$6*'4C2 Open-burning '!$C$7</f>
        <v>#REF!</v>
      </c>
      <c r="P42" s="118" t="e">
        <f>'Input data'!B72*'Baseline data (from input)'!E27*'Input data'!T72*'4C2 Open-burning '!B42*'4C2 Open-burning '!#REF!*'4C2 Open-burning '!$C$5*'4C2 Open-burning '!$C$6*'4C2 Open-burning '!$C$7</f>
        <v>#REF!</v>
      </c>
      <c r="Q42" s="118" t="e">
        <f>'Input data'!B72*'Baseline data (from input)'!E27*'Input data'!#REF!*'4C2 Open-burning '!B42*'4C2 Open-burning '!#REF!*'4C2 Open-burning '!$C$5*'4C2 Open-burning '!$C$6*'4C2 Open-burning '!$C$7</f>
        <v>#REF!</v>
      </c>
      <c r="R42" s="119" t="e">
        <f t="shared" si="0"/>
        <v>#REF!</v>
      </c>
      <c r="S42" s="117">
        <f>B42*'Input data'!B72*'Baseline data (from input)'!E27*'Input data'!O72*'4C2 Open-burning '!$C$9*'4C2 Open-burning '!$C$11*$C$5</f>
        <v>0</v>
      </c>
      <c r="T42" s="118">
        <f>B42*'Input data'!B72*'Baseline data (from input)'!E27*'Input data'!P72*'4C2 Open-burning '!$C$9*'4C2 Open-burning '!$C$11*$C$5</f>
        <v>0</v>
      </c>
      <c r="U42" s="118">
        <f>B42*'Input data'!B72*'Baseline data (from input)'!E27*'Input data'!Q72*'4C2 Open-burning '!$C$9*'4C2 Open-burning '!$C$11*$C$5</f>
        <v>0</v>
      </c>
      <c r="V42" s="118">
        <f>B42*'Input data'!B72*'Baseline data (from input)'!E27*'Input data'!R72*'4C2 Open-burning '!$C$9*'4C2 Open-burning '!$C$11*$C$5</f>
        <v>0</v>
      </c>
      <c r="W42" s="118">
        <f>B42*'Input data'!B72*'Baseline data (from input)'!E27*'Input data'!S72*'4C2 Open-burning '!$C$9*'4C2 Open-burning '!$C$11*$C$5</f>
        <v>0</v>
      </c>
      <c r="X42" s="118">
        <f>B42*'Input data'!B72*'Baseline data (from input)'!E27*'Input data'!T72*'4C2 Open-burning '!$C$9*'4C2 Open-burning '!$C$11*$C$5</f>
        <v>0</v>
      </c>
      <c r="Y42" s="118" t="e">
        <f>B42*'Input data'!B72*'Baseline data (from input)'!E27*'Input data'!#REF!*'4C2 Open-burning '!$C$9*'4C2 Open-burning '!$C$11*$C$5</f>
        <v>#REF!</v>
      </c>
      <c r="Z42" s="119" t="e">
        <f t="shared" si="1"/>
        <v>#REF!</v>
      </c>
      <c r="AA42" s="117">
        <f>B42*'Input data'!B72*'Baseline data (from input)'!E27*'Input data'!O72*'4C2 Open-burning '!$C$10*'4C2 Open-burning '!$C$11*$C$5</f>
        <v>0</v>
      </c>
      <c r="AB42" s="118">
        <f>B42*'Input data'!B72*'Baseline data (from input)'!E27*'Input data'!P72*'4C2 Open-burning '!$C$10*'4C2 Open-burning '!$C$11*$C$5</f>
        <v>0</v>
      </c>
      <c r="AC42" s="118">
        <f>B42*'Input data'!B72*'Baseline data (from input)'!E27*'Input data'!Q72*'4C2 Open-burning '!$C$10*'4C2 Open-burning '!$C$11*$C$5</f>
        <v>0</v>
      </c>
      <c r="AD42" s="118">
        <f>B42*'Input data'!B72*'Baseline data (from input)'!E27*'Input data'!R72*'4C2 Open-burning '!$C$10*'4C2 Open-burning '!$C$11*$C$5</f>
        <v>0</v>
      </c>
      <c r="AE42" s="118">
        <f>B42*'Input data'!B72*'Baseline data (from input)'!E27*'Input data'!S72*'4C2 Open-burning '!$C$10*'4C2 Open-burning '!$C$11*$C$5</f>
        <v>0</v>
      </c>
      <c r="AF42" s="118">
        <f>B42*'Input data'!B72*'Baseline data (from input)'!E27*'Input data'!T72*'4C2 Open-burning '!$C$10*'4C2 Open-burning '!$C$11*$C$5</f>
        <v>0</v>
      </c>
      <c r="AG42" s="118" t="e">
        <f>B42*'Input data'!B72*'Baseline data (from input)'!E27*'Input data'!#REF!*'4C2 Open-burning '!$C$10*'4C2 Open-burning '!$C$11*$C$5</f>
        <v>#REF!</v>
      </c>
      <c r="AH42" s="119" t="e">
        <f t="shared" si="2"/>
        <v>#REF!</v>
      </c>
      <c r="AI42" s="1388"/>
      <c r="AJ42" s="1388"/>
      <c r="AK42" s="1388"/>
      <c r="AQ42" s="99"/>
      <c r="AR42" s="99"/>
      <c r="AS42" s="99"/>
    </row>
    <row r="43" spans="1:45" ht="15" hidden="1" customHeight="1" thickBot="1">
      <c r="A43" s="466">
        <f>'Input data'!A73</f>
        <v>1973</v>
      </c>
      <c r="B43" s="122">
        <f>'Baseline data (from input)'!G29</f>
        <v>0</v>
      </c>
      <c r="C43" s="523">
        <f>'Baseline data (from input)'!C29*'Baseline data (from input)'!D29</f>
        <v>2478.2653594166691</v>
      </c>
      <c r="D43" s="529">
        <f>'Baseline data (from input)'!C29*'Baseline data (from input)'!E29</f>
        <v>3312.1509607364187</v>
      </c>
      <c r="E43" s="529">
        <f>'Baseline data (from input)'!C29*'Baseline data (from input)'!F29</f>
        <v>1111.630329012597</v>
      </c>
      <c r="F43" s="529">
        <f>'Baseline data (from input)'!C29*'Baseline data (from input)'!G29</f>
        <v>0</v>
      </c>
      <c r="G43" s="529">
        <f>'Baseline data (from input)'!C29*'Baseline data (from input)'!H29</f>
        <v>0</v>
      </c>
      <c r="H43" s="529">
        <f>'Baseline data (from input)'!H29*'Baseline data (from input)'!I29</f>
        <v>0</v>
      </c>
      <c r="I43" s="529">
        <f>'Baseline data (from input)'!C29*'Baseline data (from input)'!J29</f>
        <v>5556.2509116343144</v>
      </c>
      <c r="J43" s="935">
        <f t="shared" si="3"/>
        <v>12458.2975608</v>
      </c>
      <c r="K43" s="117">
        <f>'Input data'!B73*'Baseline data (from input)'!E28*'Input data'!O73*'4C2 Open-burning '!B43*'4C2 Open-burning '!$C$14*'4C2 Open-burning '!$C$5*'4C2 Open-burning '!$C$6*'4C2 Open-burning '!$C$7</f>
        <v>0</v>
      </c>
      <c r="L43" s="118">
        <f>'Input data'!B73*'Baseline data (from input)'!E28*'Input data'!P73*'4C2 Open-burning '!B43*'4C2 Open-burning '!$C$15*'4C2 Open-burning '!$C$5*'4C2 Open-burning '!$C$6*'4C2 Open-burning '!$C$7</f>
        <v>0</v>
      </c>
      <c r="M43" s="118" t="e">
        <f>'Input data'!B73*'Baseline data (from input)'!E28*'Input data'!Q73*'4C2 Open-burning '!B43*'4C2 Open-burning '!#REF!*'4C2 Open-burning '!$C$5*'4C2 Open-burning '!$C$6*'4C2 Open-burning '!$C$7</f>
        <v>#REF!</v>
      </c>
      <c r="N43" s="118" t="e">
        <f>'Input data'!B73*'Baseline data (from input)'!E28*'Input data'!R73*'4C2 Open-burning '!B43*'4C2 Open-burning '!#REF!*'4C2 Open-burning '!$C$5*'4C2 Open-burning '!$C$6*'4C2 Open-burning '!$C$7</f>
        <v>#REF!</v>
      </c>
      <c r="O43" s="118" t="e">
        <f>'Input data'!B73*'Baseline data (from input)'!E28*'Input data'!S73*'4C2 Open-burning '!B43*'4C2 Open-burning '!#REF!*'4C2 Open-burning '!$C$5*'4C2 Open-burning '!$C$6*'4C2 Open-burning '!$C$7</f>
        <v>#REF!</v>
      </c>
      <c r="P43" s="118" t="e">
        <f>'Input data'!B73*'Baseline data (from input)'!E28*'Input data'!T73*'4C2 Open-burning '!B43*'4C2 Open-burning '!#REF!*'4C2 Open-burning '!$C$5*'4C2 Open-burning '!$C$6*'4C2 Open-burning '!$C$7</f>
        <v>#REF!</v>
      </c>
      <c r="Q43" s="118" t="e">
        <f>'Input data'!B73*'Baseline data (from input)'!E28*'Input data'!#REF!*'4C2 Open-burning '!B43*'4C2 Open-burning '!#REF!*'4C2 Open-burning '!$C$5*'4C2 Open-burning '!$C$6*'4C2 Open-burning '!$C$7</f>
        <v>#REF!</v>
      </c>
      <c r="R43" s="119" t="e">
        <f t="shared" si="0"/>
        <v>#REF!</v>
      </c>
      <c r="S43" s="117">
        <f>B43*'Input data'!B73*'Baseline data (from input)'!E28*'Input data'!O73*'4C2 Open-burning '!$C$9*'4C2 Open-burning '!$C$11*$C$5</f>
        <v>0</v>
      </c>
      <c r="T43" s="118">
        <f>B43*'Input data'!B73*'Baseline data (from input)'!E28*'Input data'!P73*'4C2 Open-burning '!$C$9*'4C2 Open-burning '!$C$11*$C$5</f>
        <v>0</v>
      </c>
      <c r="U43" s="118">
        <f>B43*'Input data'!B73*'Baseline data (from input)'!E28*'Input data'!Q73*'4C2 Open-burning '!$C$9*'4C2 Open-burning '!$C$11*$C$5</f>
        <v>0</v>
      </c>
      <c r="V43" s="118">
        <f>B43*'Input data'!B73*'Baseline data (from input)'!E28*'Input data'!R73*'4C2 Open-burning '!$C$9*'4C2 Open-burning '!$C$11*$C$5</f>
        <v>0</v>
      </c>
      <c r="W43" s="118">
        <f>B43*'Input data'!B73*'Baseline data (from input)'!E28*'Input data'!S73*'4C2 Open-burning '!$C$9*'4C2 Open-burning '!$C$11*$C$5</f>
        <v>0</v>
      </c>
      <c r="X43" s="118">
        <f>B43*'Input data'!B73*'Baseline data (from input)'!E28*'Input data'!T73*'4C2 Open-burning '!$C$9*'4C2 Open-burning '!$C$11*$C$5</f>
        <v>0</v>
      </c>
      <c r="Y43" s="118" t="e">
        <f>B43*'Input data'!B73*'Baseline data (from input)'!E28*'Input data'!#REF!*'4C2 Open-burning '!$C$9*'4C2 Open-burning '!$C$11*$C$5</f>
        <v>#REF!</v>
      </c>
      <c r="Z43" s="119" t="e">
        <f t="shared" si="1"/>
        <v>#REF!</v>
      </c>
      <c r="AA43" s="117">
        <f>B43*'Input data'!B73*'Baseline data (from input)'!E28*'Input data'!O73*'4C2 Open-burning '!$C$10*'4C2 Open-burning '!$C$11*$C$5</f>
        <v>0</v>
      </c>
      <c r="AB43" s="118">
        <f>B43*'Input data'!B73*'Baseline data (from input)'!E28*'Input data'!P73*'4C2 Open-burning '!$C$10*'4C2 Open-burning '!$C$11*$C$5</f>
        <v>0</v>
      </c>
      <c r="AC43" s="118">
        <f>B43*'Input data'!B73*'Baseline data (from input)'!E28*'Input data'!Q73*'4C2 Open-burning '!$C$10*'4C2 Open-burning '!$C$11*$C$5</f>
        <v>0</v>
      </c>
      <c r="AD43" s="118">
        <f>B43*'Input data'!B73*'Baseline data (from input)'!E28*'Input data'!R73*'4C2 Open-burning '!$C$10*'4C2 Open-burning '!$C$11*$C$5</f>
        <v>0</v>
      </c>
      <c r="AE43" s="118">
        <f>B43*'Input data'!B73*'Baseline data (from input)'!E28*'Input data'!S73*'4C2 Open-burning '!$C$10*'4C2 Open-burning '!$C$11*$C$5</f>
        <v>0</v>
      </c>
      <c r="AF43" s="118">
        <f>B43*'Input data'!B73*'Baseline data (from input)'!E28*'Input data'!T73*'4C2 Open-burning '!$C$10*'4C2 Open-burning '!$C$11*$C$5</f>
        <v>0</v>
      </c>
      <c r="AG43" s="118" t="e">
        <f>B43*'Input data'!B73*'Baseline data (from input)'!E28*'Input data'!#REF!*'4C2 Open-burning '!$C$10*'4C2 Open-burning '!$C$11*$C$5</f>
        <v>#REF!</v>
      </c>
      <c r="AH43" s="119" t="e">
        <f t="shared" si="2"/>
        <v>#REF!</v>
      </c>
      <c r="AI43" s="1388"/>
      <c r="AJ43" s="1388"/>
      <c r="AK43" s="1388"/>
      <c r="AQ43" s="99"/>
      <c r="AR43" s="99"/>
      <c r="AS43" s="99"/>
    </row>
    <row r="44" spans="1:45" ht="15" hidden="1" customHeight="1" thickBot="1">
      <c r="A44" s="466">
        <f>'Input data'!A74</f>
        <v>1974</v>
      </c>
      <c r="B44" s="122">
        <f>'Baseline data (from input)'!G30</f>
        <v>0</v>
      </c>
      <c r="C44" s="523">
        <f>'Baseline data (from input)'!C30*'Baseline data (from input)'!D30</f>
        <v>2534.2086170227103</v>
      </c>
      <c r="D44" s="529">
        <f>'Baseline data (from input)'!C30*'Baseline data (from input)'!E30</f>
        <v>3386.9179802254812</v>
      </c>
      <c r="E44" s="529">
        <f>'Baseline data (from input)'!C30*'Baseline data (from input)'!F30</f>
        <v>1136.7237765816167</v>
      </c>
      <c r="F44" s="529">
        <f>'Baseline data (from input)'!C30*'Baseline data (from input)'!G30</f>
        <v>0</v>
      </c>
      <c r="G44" s="529">
        <f>'Baseline data (from input)'!C30*'Baseline data (from input)'!H30</f>
        <v>0</v>
      </c>
      <c r="H44" s="529">
        <f>'Baseline data (from input)'!H30*'Baseline data (from input)'!I30</f>
        <v>0</v>
      </c>
      <c r="I44" s="529">
        <f>'Baseline data (from input)'!C30*'Baseline data (from input)'!J30</f>
        <v>5681.6752431701934</v>
      </c>
      <c r="J44" s="935">
        <f t="shared" si="3"/>
        <v>12739.525617000001</v>
      </c>
      <c r="K44" s="117">
        <f>'Input data'!B74*'Baseline data (from input)'!E29*'Input data'!O74*'4C2 Open-burning '!B44*'4C2 Open-burning '!$C$14*'4C2 Open-burning '!$C$5*'4C2 Open-burning '!$C$6*'4C2 Open-burning '!$C$7</f>
        <v>0</v>
      </c>
      <c r="L44" s="118">
        <f>'Input data'!B74*'Baseline data (from input)'!E29*'Input data'!P74*'4C2 Open-burning '!B44*'4C2 Open-burning '!$C$15*'4C2 Open-burning '!$C$5*'4C2 Open-burning '!$C$6*'4C2 Open-burning '!$C$7</f>
        <v>0</v>
      </c>
      <c r="M44" s="118" t="e">
        <f>'Input data'!B74*'Baseline data (from input)'!E29*'Input data'!Q74*'4C2 Open-burning '!B44*'4C2 Open-burning '!#REF!*'4C2 Open-burning '!$C$5*'4C2 Open-burning '!$C$6*'4C2 Open-burning '!$C$7</f>
        <v>#REF!</v>
      </c>
      <c r="N44" s="118" t="e">
        <f>'Input data'!B74*'Baseline data (from input)'!E29*'Input data'!R74*'4C2 Open-burning '!B44*'4C2 Open-burning '!#REF!*'4C2 Open-burning '!$C$5*'4C2 Open-burning '!$C$6*'4C2 Open-burning '!$C$7</f>
        <v>#REF!</v>
      </c>
      <c r="O44" s="118" t="e">
        <f>'Input data'!B74*'Baseline data (from input)'!E29*'Input data'!S74*'4C2 Open-burning '!B44*'4C2 Open-burning '!#REF!*'4C2 Open-burning '!$C$5*'4C2 Open-burning '!$C$6*'4C2 Open-burning '!$C$7</f>
        <v>#REF!</v>
      </c>
      <c r="P44" s="118" t="e">
        <f>'Input data'!B74*'Baseline data (from input)'!E29*'Input data'!T74*'4C2 Open-burning '!B44*'4C2 Open-burning '!#REF!*'4C2 Open-burning '!$C$5*'4C2 Open-burning '!$C$6*'4C2 Open-burning '!$C$7</f>
        <v>#REF!</v>
      </c>
      <c r="Q44" s="118" t="e">
        <f>'Input data'!B74*'Baseline data (from input)'!E29*'Input data'!#REF!*'4C2 Open-burning '!B44*'4C2 Open-burning '!#REF!*'4C2 Open-burning '!$C$5*'4C2 Open-burning '!$C$6*'4C2 Open-burning '!$C$7</f>
        <v>#REF!</v>
      </c>
      <c r="R44" s="119" t="e">
        <f t="shared" si="0"/>
        <v>#REF!</v>
      </c>
      <c r="S44" s="117">
        <f>B44*'Input data'!B74*'Baseline data (from input)'!E29*'Input data'!O74*'4C2 Open-burning '!$C$9*'4C2 Open-burning '!$C$11*$C$5</f>
        <v>0</v>
      </c>
      <c r="T44" s="118">
        <f>B44*'Input data'!B74*'Baseline data (from input)'!E29*'Input data'!P74*'4C2 Open-burning '!$C$9*'4C2 Open-burning '!$C$11*$C$5</f>
        <v>0</v>
      </c>
      <c r="U44" s="118">
        <f>B44*'Input data'!B74*'Baseline data (from input)'!E29*'Input data'!Q74*'4C2 Open-burning '!$C$9*'4C2 Open-burning '!$C$11*$C$5</f>
        <v>0</v>
      </c>
      <c r="V44" s="118">
        <f>B44*'Input data'!B74*'Baseline data (from input)'!E29*'Input data'!R74*'4C2 Open-burning '!$C$9*'4C2 Open-burning '!$C$11*$C$5</f>
        <v>0</v>
      </c>
      <c r="W44" s="118">
        <f>B44*'Input data'!B74*'Baseline data (from input)'!E29*'Input data'!S74*'4C2 Open-burning '!$C$9*'4C2 Open-burning '!$C$11*$C$5</f>
        <v>0</v>
      </c>
      <c r="X44" s="118">
        <f>B44*'Input data'!B74*'Baseline data (from input)'!E29*'Input data'!T74*'4C2 Open-burning '!$C$9*'4C2 Open-burning '!$C$11*$C$5</f>
        <v>0</v>
      </c>
      <c r="Y44" s="118" t="e">
        <f>B44*'Input data'!B74*'Baseline data (from input)'!E29*'Input data'!#REF!*'4C2 Open-burning '!$C$9*'4C2 Open-burning '!$C$11*$C$5</f>
        <v>#REF!</v>
      </c>
      <c r="Z44" s="119" t="e">
        <f t="shared" si="1"/>
        <v>#REF!</v>
      </c>
      <c r="AA44" s="117">
        <f>B44*'Input data'!B74*'Baseline data (from input)'!E29*'Input data'!O74*'4C2 Open-burning '!$C$10*'4C2 Open-burning '!$C$11*$C$5</f>
        <v>0</v>
      </c>
      <c r="AB44" s="118">
        <f>B44*'Input data'!B74*'Baseline data (from input)'!E29*'Input data'!P74*'4C2 Open-burning '!$C$10*'4C2 Open-burning '!$C$11*$C$5</f>
        <v>0</v>
      </c>
      <c r="AC44" s="118">
        <f>B44*'Input data'!B74*'Baseline data (from input)'!E29*'Input data'!Q74*'4C2 Open-burning '!$C$10*'4C2 Open-burning '!$C$11*$C$5</f>
        <v>0</v>
      </c>
      <c r="AD44" s="118">
        <f>B44*'Input data'!B74*'Baseline data (from input)'!E29*'Input data'!R74*'4C2 Open-burning '!$C$10*'4C2 Open-burning '!$C$11*$C$5</f>
        <v>0</v>
      </c>
      <c r="AE44" s="118">
        <f>B44*'Input data'!B74*'Baseline data (from input)'!E29*'Input data'!S74*'4C2 Open-burning '!$C$10*'4C2 Open-burning '!$C$11*$C$5</f>
        <v>0</v>
      </c>
      <c r="AF44" s="118">
        <f>B44*'Input data'!B74*'Baseline data (from input)'!E29*'Input data'!T74*'4C2 Open-burning '!$C$10*'4C2 Open-burning '!$C$11*$C$5</f>
        <v>0</v>
      </c>
      <c r="AG44" s="118" t="e">
        <f>B44*'Input data'!B74*'Baseline data (from input)'!E29*'Input data'!#REF!*'4C2 Open-burning '!$C$10*'4C2 Open-burning '!$C$11*$C$5</f>
        <v>#REF!</v>
      </c>
      <c r="AH44" s="119" t="e">
        <f t="shared" si="2"/>
        <v>#REF!</v>
      </c>
      <c r="AI44" s="1388"/>
      <c r="AJ44" s="1388"/>
      <c r="AK44" s="1388"/>
      <c r="AQ44" s="99"/>
      <c r="AR44" s="99"/>
      <c r="AS44" s="99"/>
    </row>
    <row r="45" spans="1:45" ht="15" hidden="1" customHeight="1" thickBot="1">
      <c r="A45" s="466">
        <f>'Input data'!A75</f>
        <v>1975</v>
      </c>
      <c r="B45" s="122">
        <f>'Baseline data (from input)'!G31</f>
        <v>0</v>
      </c>
      <c r="C45" s="523">
        <f>'Baseline data (from input)'!C31*'Baseline data (from input)'!D31</f>
        <v>2590.5709252475226</v>
      </c>
      <c r="D45" s="529">
        <f>'Baseline data (from input)'!C31*'Baseline data (from input)'!E31</f>
        <v>3462.2450522949853</v>
      </c>
      <c r="E45" s="529">
        <f>'Baseline data (from input)'!C31*'Baseline data (from input)'!F31</f>
        <v>1162.0051900500296</v>
      </c>
      <c r="F45" s="529">
        <f>'Baseline data (from input)'!C31*'Baseline data (from input)'!G31</f>
        <v>0</v>
      </c>
      <c r="G45" s="529">
        <f>'Baseline data (from input)'!C31*'Baseline data (from input)'!H31</f>
        <v>0</v>
      </c>
      <c r="H45" s="529">
        <f>'Baseline data (from input)'!H31*'Baseline data (from input)'!I31</f>
        <v>0</v>
      </c>
      <c r="I45" s="529">
        <f>'Baseline data (from input)'!C31*'Baseline data (from input)'!J31</f>
        <v>5808.0390828074633</v>
      </c>
      <c r="J45" s="935">
        <f t="shared" si="3"/>
        <v>13022.860250400001</v>
      </c>
      <c r="K45" s="117">
        <f>'Input data'!B75*'Baseline data (from input)'!E30*'Input data'!O75*'4C2 Open-burning '!B45*'4C2 Open-burning '!$C$14*'4C2 Open-burning '!$C$5*'4C2 Open-burning '!$C$6*'4C2 Open-burning '!$C$7</f>
        <v>0</v>
      </c>
      <c r="L45" s="118">
        <f>'Input data'!B75*'Baseline data (from input)'!E30*'Input data'!P75*'4C2 Open-burning '!B45*'4C2 Open-burning '!$C$15*'4C2 Open-burning '!$C$5*'4C2 Open-burning '!$C$6*'4C2 Open-burning '!$C$7</f>
        <v>0</v>
      </c>
      <c r="M45" s="118" t="e">
        <f>'Input data'!B75*'Baseline data (from input)'!E30*'Input data'!Q75*'4C2 Open-burning '!B45*'4C2 Open-burning '!#REF!*'4C2 Open-burning '!$C$5*'4C2 Open-burning '!$C$6*'4C2 Open-burning '!$C$7</f>
        <v>#REF!</v>
      </c>
      <c r="N45" s="118" t="e">
        <f>'Input data'!B75*'Baseline data (from input)'!E30*'Input data'!R75*'4C2 Open-burning '!B45*'4C2 Open-burning '!#REF!*'4C2 Open-burning '!$C$5*'4C2 Open-burning '!$C$6*'4C2 Open-burning '!$C$7</f>
        <v>#REF!</v>
      </c>
      <c r="O45" s="118" t="e">
        <f>'Input data'!B75*'Baseline data (from input)'!E30*'Input data'!S75*'4C2 Open-burning '!B45*'4C2 Open-burning '!#REF!*'4C2 Open-burning '!$C$5*'4C2 Open-burning '!$C$6*'4C2 Open-burning '!$C$7</f>
        <v>#REF!</v>
      </c>
      <c r="P45" s="118" t="e">
        <f>'Input data'!B75*'Baseline data (from input)'!E30*'Input data'!T75*'4C2 Open-burning '!B45*'4C2 Open-burning '!#REF!*'4C2 Open-burning '!$C$5*'4C2 Open-burning '!$C$6*'4C2 Open-burning '!$C$7</f>
        <v>#REF!</v>
      </c>
      <c r="Q45" s="118" t="e">
        <f>'Input data'!B75*'Baseline data (from input)'!E30*'Input data'!#REF!*'4C2 Open-burning '!B45*'4C2 Open-burning '!#REF!*'4C2 Open-burning '!$C$5*'4C2 Open-burning '!$C$6*'4C2 Open-burning '!$C$7</f>
        <v>#REF!</v>
      </c>
      <c r="R45" s="119" t="e">
        <f t="shared" si="0"/>
        <v>#REF!</v>
      </c>
      <c r="S45" s="117">
        <f>B45*'Input data'!B75*'Baseline data (from input)'!E30*'Input data'!O75*'4C2 Open-burning '!$C$9*'4C2 Open-burning '!$C$11*$C$5</f>
        <v>0</v>
      </c>
      <c r="T45" s="118">
        <f>B45*'Input data'!B75*'Baseline data (from input)'!E30*'Input data'!P75*'4C2 Open-burning '!$C$9*'4C2 Open-burning '!$C$11*$C$5</f>
        <v>0</v>
      </c>
      <c r="U45" s="118">
        <f>B45*'Input data'!B75*'Baseline data (from input)'!E30*'Input data'!Q75*'4C2 Open-burning '!$C$9*'4C2 Open-burning '!$C$11*$C$5</f>
        <v>0</v>
      </c>
      <c r="V45" s="118">
        <f>B45*'Input data'!B75*'Baseline data (from input)'!E30*'Input data'!R75*'4C2 Open-burning '!$C$9*'4C2 Open-burning '!$C$11*$C$5</f>
        <v>0</v>
      </c>
      <c r="W45" s="118">
        <f>B45*'Input data'!B75*'Baseline data (from input)'!E30*'Input data'!S75*'4C2 Open-burning '!$C$9*'4C2 Open-burning '!$C$11*$C$5</f>
        <v>0</v>
      </c>
      <c r="X45" s="118">
        <f>B45*'Input data'!B75*'Baseline data (from input)'!E30*'Input data'!T75*'4C2 Open-burning '!$C$9*'4C2 Open-burning '!$C$11*$C$5</f>
        <v>0</v>
      </c>
      <c r="Y45" s="118" t="e">
        <f>B45*'Input data'!B75*'Baseline data (from input)'!E30*'Input data'!#REF!*'4C2 Open-burning '!$C$9*'4C2 Open-burning '!$C$11*$C$5</f>
        <v>#REF!</v>
      </c>
      <c r="Z45" s="119" t="e">
        <f t="shared" si="1"/>
        <v>#REF!</v>
      </c>
      <c r="AA45" s="117">
        <f>B45*'Input data'!B75*'Baseline data (from input)'!E30*'Input data'!O75*'4C2 Open-burning '!$C$10*'4C2 Open-burning '!$C$11*$C$5</f>
        <v>0</v>
      </c>
      <c r="AB45" s="118">
        <f>B45*'Input data'!B75*'Baseline data (from input)'!E30*'Input data'!P75*'4C2 Open-burning '!$C$10*'4C2 Open-burning '!$C$11*$C$5</f>
        <v>0</v>
      </c>
      <c r="AC45" s="118">
        <f>B45*'Input data'!B75*'Baseline data (from input)'!E30*'Input data'!Q75*'4C2 Open-burning '!$C$10*'4C2 Open-burning '!$C$11*$C$5</f>
        <v>0</v>
      </c>
      <c r="AD45" s="118">
        <f>B45*'Input data'!B75*'Baseline data (from input)'!E30*'Input data'!R75*'4C2 Open-burning '!$C$10*'4C2 Open-burning '!$C$11*$C$5</f>
        <v>0</v>
      </c>
      <c r="AE45" s="118">
        <f>B45*'Input data'!B75*'Baseline data (from input)'!E30*'Input data'!S75*'4C2 Open-burning '!$C$10*'4C2 Open-burning '!$C$11*$C$5</f>
        <v>0</v>
      </c>
      <c r="AF45" s="118">
        <f>B45*'Input data'!B75*'Baseline data (from input)'!E30*'Input data'!T75*'4C2 Open-burning '!$C$10*'4C2 Open-burning '!$C$11*$C$5</f>
        <v>0</v>
      </c>
      <c r="AG45" s="118" t="e">
        <f>B45*'Input data'!B75*'Baseline data (from input)'!E30*'Input data'!#REF!*'4C2 Open-burning '!$C$10*'4C2 Open-burning '!$C$11*$C$5</f>
        <v>#REF!</v>
      </c>
      <c r="AH45" s="119" t="e">
        <f t="shared" si="2"/>
        <v>#REF!</v>
      </c>
      <c r="AI45" s="1388"/>
      <c r="AJ45" s="1388"/>
      <c r="AK45" s="1388"/>
      <c r="AQ45" s="99"/>
      <c r="AR45" s="99"/>
      <c r="AS45" s="99"/>
    </row>
    <row r="46" spans="1:45" ht="15" hidden="1" customHeight="1" thickBot="1">
      <c r="A46" s="466">
        <f>'Input data'!A76</f>
        <v>1976</v>
      </c>
      <c r="B46" s="122">
        <f>'Baseline data (from input)'!G32</f>
        <v>0</v>
      </c>
      <c r="C46" s="523">
        <f>'Baseline data (from input)'!C32*'Baseline data (from input)'!D32</f>
        <v>2647.1427587817211</v>
      </c>
      <c r="D46" s="529">
        <f>'Baseline data (from input)'!C32*'Baseline data (from input)'!E32</f>
        <v>3537.8521506547108</v>
      </c>
      <c r="E46" s="529">
        <f>'Baseline data (from input)'!C32*'Baseline data (from input)'!F32</f>
        <v>1187.3805864681392</v>
      </c>
      <c r="F46" s="529">
        <f>'Baseline data (from input)'!C32*'Baseline data (from input)'!G32</f>
        <v>0</v>
      </c>
      <c r="G46" s="529">
        <f>'Baseline data (from input)'!C32*'Baseline data (from input)'!H32</f>
        <v>0</v>
      </c>
      <c r="H46" s="529">
        <f>'Baseline data (from input)'!H32*'Baseline data (from input)'!I32</f>
        <v>0</v>
      </c>
      <c r="I46" s="529">
        <f>'Baseline data (from input)'!C32*'Baseline data (from input)'!J32</f>
        <v>5934.872676495429</v>
      </c>
      <c r="J46" s="935">
        <f t="shared" si="3"/>
        <v>13307.248172399999</v>
      </c>
      <c r="K46" s="117">
        <f>'Input data'!B76*'Baseline data (from input)'!E31*'Input data'!O76*'4C2 Open-burning '!B46*'4C2 Open-burning '!$C$14*'4C2 Open-burning '!$C$5*'4C2 Open-burning '!$C$6*'4C2 Open-burning '!$C$7</f>
        <v>0</v>
      </c>
      <c r="L46" s="118">
        <f>'Input data'!B76*'Baseline data (from input)'!E31*'Input data'!P76*'4C2 Open-burning '!B46*'4C2 Open-burning '!$C$15*'4C2 Open-burning '!$C$5*'4C2 Open-burning '!$C$6*'4C2 Open-burning '!$C$7</f>
        <v>0</v>
      </c>
      <c r="M46" s="118" t="e">
        <f>'Input data'!B76*'Baseline data (from input)'!E31*'Input data'!Q76*'4C2 Open-burning '!B46*'4C2 Open-burning '!#REF!*'4C2 Open-burning '!$C$5*'4C2 Open-burning '!$C$6*'4C2 Open-burning '!$C$7</f>
        <v>#REF!</v>
      </c>
      <c r="N46" s="118" t="e">
        <f>'Input data'!B76*'Baseline data (from input)'!E31*'Input data'!R76*'4C2 Open-burning '!B46*'4C2 Open-burning '!#REF!*'4C2 Open-burning '!$C$5*'4C2 Open-burning '!$C$6*'4C2 Open-burning '!$C$7</f>
        <v>#REF!</v>
      </c>
      <c r="O46" s="118" t="e">
        <f>'Input data'!B76*'Baseline data (from input)'!E31*'Input data'!S76*'4C2 Open-burning '!B46*'4C2 Open-burning '!#REF!*'4C2 Open-burning '!$C$5*'4C2 Open-burning '!$C$6*'4C2 Open-burning '!$C$7</f>
        <v>#REF!</v>
      </c>
      <c r="P46" s="118" t="e">
        <f>'Input data'!B76*'Baseline data (from input)'!E31*'Input data'!T76*'4C2 Open-burning '!B46*'4C2 Open-burning '!#REF!*'4C2 Open-burning '!$C$5*'4C2 Open-burning '!$C$6*'4C2 Open-burning '!$C$7</f>
        <v>#REF!</v>
      </c>
      <c r="Q46" s="118" t="e">
        <f>'Input data'!B76*'Baseline data (from input)'!E31*'Input data'!#REF!*'4C2 Open-burning '!B46*'4C2 Open-burning '!#REF!*'4C2 Open-burning '!$C$5*'4C2 Open-burning '!$C$6*'4C2 Open-burning '!$C$7</f>
        <v>#REF!</v>
      </c>
      <c r="R46" s="119" t="e">
        <f t="shared" si="0"/>
        <v>#REF!</v>
      </c>
      <c r="S46" s="117">
        <f>B46*'Input data'!B76*'Baseline data (from input)'!E31*'Input data'!O76*'4C2 Open-burning '!$C$9*'4C2 Open-burning '!$C$11*$C$5</f>
        <v>0</v>
      </c>
      <c r="T46" s="118">
        <f>B46*'Input data'!B76*'Baseline data (from input)'!E31*'Input data'!P76*'4C2 Open-burning '!$C$9*'4C2 Open-burning '!$C$11*$C$5</f>
        <v>0</v>
      </c>
      <c r="U46" s="118">
        <f>B46*'Input data'!B76*'Baseline data (from input)'!E31*'Input data'!Q76*'4C2 Open-burning '!$C$9*'4C2 Open-burning '!$C$11*$C$5</f>
        <v>0</v>
      </c>
      <c r="V46" s="118">
        <f>B46*'Input data'!B76*'Baseline data (from input)'!E31*'Input data'!R76*'4C2 Open-burning '!$C$9*'4C2 Open-burning '!$C$11*$C$5</f>
        <v>0</v>
      </c>
      <c r="W46" s="118">
        <f>B46*'Input data'!B76*'Baseline data (from input)'!E31*'Input data'!S76*'4C2 Open-burning '!$C$9*'4C2 Open-burning '!$C$11*$C$5</f>
        <v>0</v>
      </c>
      <c r="X46" s="118">
        <f>B46*'Input data'!B76*'Baseline data (from input)'!E31*'Input data'!T76*'4C2 Open-burning '!$C$9*'4C2 Open-burning '!$C$11*$C$5</f>
        <v>0</v>
      </c>
      <c r="Y46" s="118" t="e">
        <f>B46*'Input data'!B76*'Baseline data (from input)'!E31*'Input data'!#REF!*'4C2 Open-burning '!$C$9*'4C2 Open-burning '!$C$11*$C$5</f>
        <v>#REF!</v>
      </c>
      <c r="Z46" s="119" t="e">
        <f t="shared" si="1"/>
        <v>#REF!</v>
      </c>
      <c r="AA46" s="117">
        <f>B46*'Input data'!B76*'Baseline data (from input)'!E31*'Input data'!O76*'4C2 Open-burning '!$C$10*'4C2 Open-burning '!$C$11*$C$5</f>
        <v>0</v>
      </c>
      <c r="AB46" s="118">
        <f>B46*'Input data'!B76*'Baseline data (from input)'!E31*'Input data'!P76*'4C2 Open-burning '!$C$10*'4C2 Open-burning '!$C$11*$C$5</f>
        <v>0</v>
      </c>
      <c r="AC46" s="118">
        <f>B46*'Input data'!B76*'Baseline data (from input)'!E31*'Input data'!Q76*'4C2 Open-burning '!$C$10*'4C2 Open-burning '!$C$11*$C$5</f>
        <v>0</v>
      </c>
      <c r="AD46" s="118">
        <f>B46*'Input data'!B76*'Baseline data (from input)'!E31*'Input data'!R76*'4C2 Open-burning '!$C$10*'4C2 Open-burning '!$C$11*$C$5</f>
        <v>0</v>
      </c>
      <c r="AE46" s="118">
        <f>B46*'Input data'!B76*'Baseline data (from input)'!E31*'Input data'!S76*'4C2 Open-burning '!$C$10*'4C2 Open-burning '!$C$11*$C$5</f>
        <v>0</v>
      </c>
      <c r="AF46" s="118">
        <f>B46*'Input data'!B76*'Baseline data (from input)'!E31*'Input data'!T76*'4C2 Open-burning '!$C$10*'4C2 Open-burning '!$C$11*$C$5</f>
        <v>0</v>
      </c>
      <c r="AG46" s="118" t="e">
        <f>B46*'Input data'!B76*'Baseline data (from input)'!E31*'Input data'!#REF!*'4C2 Open-burning '!$C$10*'4C2 Open-burning '!$C$11*$C$5</f>
        <v>#REF!</v>
      </c>
      <c r="AH46" s="119" t="e">
        <f t="shared" si="2"/>
        <v>#REF!</v>
      </c>
      <c r="AI46" s="1388"/>
      <c r="AJ46" s="1388"/>
      <c r="AK46" s="1388"/>
      <c r="AQ46" s="99"/>
      <c r="AR46" s="99"/>
      <c r="AS46" s="99"/>
    </row>
    <row r="47" spans="1:45" ht="15" hidden="1" customHeight="1" thickBot="1">
      <c r="A47" s="466">
        <f>'Input data'!A77</f>
        <v>1977</v>
      </c>
      <c r="B47" s="122">
        <f>'Baseline data (from input)'!G33</f>
        <v>0</v>
      </c>
      <c r="C47" s="523">
        <f>'Baseline data (from input)'!C33*'Baseline data (from input)'!D33</f>
        <v>2703.5050670065339</v>
      </c>
      <c r="D47" s="529">
        <f>'Baseline data (from input)'!C33*'Baseline data (from input)'!E33</f>
        <v>3613.1792227242149</v>
      </c>
      <c r="E47" s="529">
        <f>'Baseline data (from input)'!C33*'Baseline data (from input)'!F33</f>
        <v>1212.6619999365523</v>
      </c>
      <c r="F47" s="529">
        <f>'Baseline data (from input)'!C33*'Baseline data (from input)'!G33</f>
        <v>0</v>
      </c>
      <c r="G47" s="529">
        <f>'Baseline data (from input)'!C33*'Baseline data (from input)'!H33</f>
        <v>0</v>
      </c>
      <c r="H47" s="529">
        <f>'Baseline data (from input)'!H33*'Baseline data (from input)'!I33</f>
        <v>0</v>
      </c>
      <c r="I47" s="529">
        <f>'Baseline data (from input)'!C33*'Baseline data (from input)'!J33</f>
        <v>6061.2365161326998</v>
      </c>
      <c r="J47" s="935">
        <f t="shared" si="3"/>
        <v>13590.582805800001</v>
      </c>
      <c r="K47" s="117">
        <f>'Input data'!B77*'Baseline data (from input)'!E32*'Input data'!O77*'4C2 Open-burning '!B47*'4C2 Open-burning '!$C$14*'4C2 Open-burning '!$C$5*'4C2 Open-burning '!$C$6*'4C2 Open-burning '!$C$7</f>
        <v>0</v>
      </c>
      <c r="L47" s="118">
        <f>'Input data'!B77*'Baseline data (from input)'!E32*'Input data'!P77*'4C2 Open-burning '!B47*'4C2 Open-burning '!$C$15*'4C2 Open-burning '!$C$5*'4C2 Open-burning '!$C$6*'4C2 Open-burning '!$C$7</f>
        <v>0</v>
      </c>
      <c r="M47" s="118" t="e">
        <f>'Input data'!B77*'Baseline data (from input)'!E32*'Input data'!Q77*'4C2 Open-burning '!B47*'4C2 Open-burning '!#REF!*'4C2 Open-burning '!$C$5*'4C2 Open-burning '!$C$6*'4C2 Open-burning '!$C$7</f>
        <v>#REF!</v>
      </c>
      <c r="N47" s="118" t="e">
        <f>'Input data'!B77*'Baseline data (from input)'!E32*'Input data'!R77*'4C2 Open-burning '!B47*'4C2 Open-burning '!#REF!*'4C2 Open-burning '!$C$5*'4C2 Open-burning '!$C$6*'4C2 Open-burning '!$C$7</f>
        <v>#REF!</v>
      </c>
      <c r="O47" s="118" t="e">
        <f>'Input data'!B77*'Baseline data (from input)'!E32*'Input data'!S77*'4C2 Open-burning '!B47*'4C2 Open-burning '!#REF!*'4C2 Open-burning '!$C$5*'4C2 Open-burning '!$C$6*'4C2 Open-burning '!$C$7</f>
        <v>#REF!</v>
      </c>
      <c r="P47" s="118" t="e">
        <f>'Input data'!B77*'Baseline data (from input)'!E32*'Input data'!T77*'4C2 Open-burning '!B47*'4C2 Open-burning '!#REF!*'4C2 Open-burning '!$C$5*'4C2 Open-burning '!$C$6*'4C2 Open-burning '!$C$7</f>
        <v>#REF!</v>
      </c>
      <c r="Q47" s="118" t="e">
        <f>'Input data'!B77*'Baseline data (from input)'!E32*'Input data'!#REF!*'4C2 Open-burning '!B47*'4C2 Open-burning '!#REF!*'4C2 Open-burning '!$C$5*'4C2 Open-burning '!$C$6*'4C2 Open-burning '!$C$7</f>
        <v>#REF!</v>
      </c>
      <c r="R47" s="119" t="e">
        <f t="shared" si="0"/>
        <v>#REF!</v>
      </c>
      <c r="S47" s="117">
        <f>B47*'Input data'!B77*'Baseline data (from input)'!E32*'Input data'!O77*'4C2 Open-burning '!$C$9*'4C2 Open-burning '!$C$11*$C$5</f>
        <v>0</v>
      </c>
      <c r="T47" s="118">
        <f>B47*'Input data'!B77*'Baseline data (from input)'!E32*'Input data'!P77*'4C2 Open-burning '!$C$9*'4C2 Open-burning '!$C$11*$C$5</f>
        <v>0</v>
      </c>
      <c r="U47" s="118">
        <f>B47*'Input data'!B77*'Baseline data (from input)'!E32*'Input data'!Q77*'4C2 Open-burning '!$C$9*'4C2 Open-burning '!$C$11*$C$5</f>
        <v>0</v>
      </c>
      <c r="V47" s="118">
        <f>B47*'Input data'!B77*'Baseline data (from input)'!E32*'Input data'!R77*'4C2 Open-burning '!$C$9*'4C2 Open-burning '!$C$11*$C$5</f>
        <v>0</v>
      </c>
      <c r="W47" s="118">
        <f>B47*'Input data'!B77*'Baseline data (from input)'!E32*'Input data'!S77*'4C2 Open-burning '!$C$9*'4C2 Open-burning '!$C$11*$C$5</f>
        <v>0</v>
      </c>
      <c r="X47" s="118">
        <f>B47*'Input data'!B77*'Baseline data (from input)'!E32*'Input data'!T77*'4C2 Open-burning '!$C$9*'4C2 Open-burning '!$C$11*$C$5</f>
        <v>0</v>
      </c>
      <c r="Y47" s="118" t="e">
        <f>B47*'Input data'!B77*'Baseline data (from input)'!E32*'Input data'!#REF!*'4C2 Open-burning '!$C$9*'4C2 Open-burning '!$C$11*$C$5</f>
        <v>#REF!</v>
      </c>
      <c r="Z47" s="119" t="e">
        <f t="shared" si="1"/>
        <v>#REF!</v>
      </c>
      <c r="AA47" s="117">
        <f>B47*'Input data'!B77*'Baseline data (from input)'!E32*'Input data'!O77*'4C2 Open-burning '!$C$10*'4C2 Open-burning '!$C$11*$C$5</f>
        <v>0</v>
      </c>
      <c r="AB47" s="118">
        <f>B47*'Input data'!B77*'Baseline data (from input)'!E32*'Input data'!P77*'4C2 Open-burning '!$C$10*'4C2 Open-burning '!$C$11*$C$5</f>
        <v>0</v>
      </c>
      <c r="AC47" s="118">
        <f>B47*'Input data'!B77*'Baseline data (from input)'!E32*'Input data'!Q77*'4C2 Open-burning '!$C$10*'4C2 Open-burning '!$C$11*$C$5</f>
        <v>0</v>
      </c>
      <c r="AD47" s="118">
        <f>B47*'Input data'!B77*'Baseline data (from input)'!E32*'Input data'!R77*'4C2 Open-burning '!$C$10*'4C2 Open-burning '!$C$11*$C$5</f>
        <v>0</v>
      </c>
      <c r="AE47" s="118">
        <f>B47*'Input data'!B77*'Baseline data (from input)'!E32*'Input data'!S77*'4C2 Open-burning '!$C$10*'4C2 Open-burning '!$C$11*$C$5</f>
        <v>0</v>
      </c>
      <c r="AF47" s="118">
        <f>B47*'Input data'!B77*'Baseline data (from input)'!E32*'Input data'!T77*'4C2 Open-burning '!$C$10*'4C2 Open-burning '!$C$11*$C$5</f>
        <v>0</v>
      </c>
      <c r="AG47" s="118" t="e">
        <f>B47*'Input data'!B77*'Baseline data (from input)'!E32*'Input data'!#REF!*'4C2 Open-burning '!$C$10*'4C2 Open-burning '!$C$11*$C$5</f>
        <v>#REF!</v>
      </c>
      <c r="AH47" s="119" t="e">
        <f t="shared" si="2"/>
        <v>#REF!</v>
      </c>
      <c r="AI47" s="1388"/>
      <c r="AJ47" s="1388"/>
      <c r="AK47" s="1388"/>
      <c r="AQ47" s="99"/>
      <c r="AR47" s="99"/>
      <c r="AS47" s="99"/>
    </row>
    <row r="48" spans="1:45" ht="15" hidden="1" customHeight="1" thickBot="1">
      <c r="A48" s="466">
        <f>'Input data'!A78</f>
        <v>1978</v>
      </c>
      <c r="B48" s="122">
        <f>'Baseline data (from input)'!G34</f>
        <v>0</v>
      </c>
      <c r="C48" s="523">
        <f>'Baseline data (from input)'!C34*'Baseline data (from input)'!D34</f>
        <v>2761.0197644329687</v>
      </c>
      <c r="D48" s="529">
        <f>'Baseline data (from input)'!C34*'Baseline data (from input)'!E34</f>
        <v>3690.0464393899356</v>
      </c>
      <c r="E48" s="529">
        <f>'Baseline data (from input)'!C34*'Baseline data (from input)'!F34</f>
        <v>1238.4603196282969</v>
      </c>
      <c r="F48" s="529">
        <f>'Baseline data (from input)'!C34*'Baseline data (from input)'!G34</f>
        <v>0</v>
      </c>
      <c r="G48" s="529">
        <f>'Baseline data (from input)'!C34*'Baseline data (from input)'!H34</f>
        <v>0</v>
      </c>
      <c r="H48" s="529">
        <f>'Baseline data (from input)'!H34*'Baseline data (from input)'!I34</f>
        <v>0</v>
      </c>
      <c r="I48" s="529">
        <f>'Baseline data (from input)'!C34*'Baseline data (from input)'!J34</f>
        <v>6190.1840030487974</v>
      </c>
      <c r="J48" s="935">
        <f t="shared" si="3"/>
        <v>13879.710526499999</v>
      </c>
      <c r="K48" s="117">
        <f>'Input data'!B78*'Baseline data (from input)'!E33*'Input data'!O78*'4C2 Open-burning '!B48*'4C2 Open-burning '!$C$14*'4C2 Open-burning '!$C$5*'4C2 Open-burning '!$C$6*'4C2 Open-burning '!$C$7</f>
        <v>0</v>
      </c>
      <c r="L48" s="118">
        <f>'Input data'!B78*'Baseline data (from input)'!E33*'Input data'!P78*'4C2 Open-burning '!B48*'4C2 Open-burning '!$C$15*'4C2 Open-burning '!$C$5*'4C2 Open-burning '!$C$6*'4C2 Open-burning '!$C$7</f>
        <v>0</v>
      </c>
      <c r="M48" s="118" t="e">
        <f>'Input data'!B78*'Baseline data (from input)'!E33*'Input data'!Q78*'4C2 Open-burning '!B48*'4C2 Open-burning '!#REF!*'4C2 Open-burning '!$C$5*'4C2 Open-burning '!$C$6*'4C2 Open-burning '!$C$7</f>
        <v>#REF!</v>
      </c>
      <c r="N48" s="118" t="e">
        <f>'Input data'!B78*'Baseline data (from input)'!E33*'Input data'!R78*'4C2 Open-burning '!B48*'4C2 Open-burning '!#REF!*'4C2 Open-burning '!$C$5*'4C2 Open-burning '!$C$6*'4C2 Open-burning '!$C$7</f>
        <v>#REF!</v>
      </c>
      <c r="O48" s="118" t="e">
        <f>'Input data'!B78*'Baseline data (from input)'!E33*'Input data'!S78*'4C2 Open-burning '!B48*'4C2 Open-burning '!#REF!*'4C2 Open-burning '!$C$5*'4C2 Open-burning '!$C$6*'4C2 Open-burning '!$C$7</f>
        <v>#REF!</v>
      </c>
      <c r="P48" s="118" t="e">
        <f>'Input data'!B78*'Baseline data (from input)'!E33*'Input data'!T78*'4C2 Open-burning '!B48*'4C2 Open-burning '!#REF!*'4C2 Open-burning '!$C$5*'4C2 Open-burning '!$C$6*'4C2 Open-burning '!$C$7</f>
        <v>#REF!</v>
      </c>
      <c r="Q48" s="118" t="e">
        <f>'Input data'!B78*'Baseline data (from input)'!E33*'Input data'!#REF!*'4C2 Open-burning '!B48*'4C2 Open-burning '!#REF!*'4C2 Open-burning '!$C$5*'4C2 Open-burning '!$C$6*'4C2 Open-burning '!$C$7</f>
        <v>#REF!</v>
      </c>
      <c r="R48" s="119" t="e">
        <f t="shared" si="0"/>
        <v>#REF!</v>
      </c>
      <c r="S48" s="117">
        <f>B48*'Input data'!B78*'Baseline data (from input)'!E33*'Input data'!O78*'4C2 Open-burning '!$C$9*'4C2 Open-burning '!$C$11*$C$5</f>
        <v>0</v>
      </c>
      <c r="T48" s="118">
        <f>B48*'Input data'!B78*'Baseline data (from input)'!E33*'Input data'!P78*'4C2 Open-burning '!$C$9*'4C2 Open-burning '!$C$11*$C$5</f>
        <v>0</v>
      </c>
      <c r="U48" s="118">
        <f>B48*'Input data'!B78*'Baseline data (from input)'!E33*'Input data'!Q78*'4C2 Open-burning '!$C$9*'4C2 Open-burning '!$C$11*$C$5</f>
        <v>0</v>
      </c>
      <c r="V48" s="118">
        <f>B48*'Input data'!B78*'Baseline data (from input)'!E33*'Input data'!R78*'4C2 Open-burning '!$C$9*'4C2 Open-burning '!$C$11*$C$5</f>
        <v>0</v>
      </c>
      <c r="W48" s="118">
        <f>B48*'Input data'!B78*'Baseline data (from input)'!E33*'Input data'!S78*'4C2 Open-burning '!$C$9*'4C2 Open-burning '!$C$11*$C$5</f>
        <v>0</v>
      </c>
      <c r="X48" s="118">
        <f>B48*'Input data'!B78*'Baseline data (from input)'!E33*'Input data'!T78*'4C2 Open-burning '!$C$9*'4C2 Open-burning '!$C$11*$C$5</f>
        <v>0</v>
      </c>
      <c r="Y48" s="118" t="e">
        <f>B48*'Input data'!B78*'Baseline data (from input)'!E33*'Input data'!#REF!*'4C2 Open-burning '!$C$9*'4C2 Open-burning '!$C$11*$C$5</f>
        <v>#REF!</v>
      </c>
      <c r="Z48" s="119" t="e">
        <f t="shared" si="1"/>
        <v>#REF!</v>
      </c>
      <c r="AA48" s="117">
        <f>B48*'Input data'!B78*'Baseline data (from input)'!E33*'Input data'!O78*'4C2 Open-burning '!$C$10*'4C2 Open-burning '!$C$11*$C$5</f>
        <v>0</v>
      </c>
      <c r="AB48" s="118">
        <f>B48*'Input data'!B78*'Baseline data (from input)'!E33*'Input data'!P78*'4C2 Open-burning '!$C$10*'4C2 Open-burning '!$C$11*$C$5</f>
        <v>0</v>
      </c>
      <c r="AC48" s="118">
        <f>B48*'Input data'!B78*'Baseline data (from input)'!E33*'Input data'!Q78*'4C2 Open-burning '!$C$10*'4C2 Open-burning '!$C$11*$C$5</f>
        <v>0</v>
      </c>
      <c r="AD48" s="118">
        <f>B48*'Input data'!B78*'Baseline data (from input)'!E33*'Input data'!R78*'4C2 Open-burning '!$C$10*'4C2 Open-burning '!$C$11*$C$5</f>
        <v>0</v>
      </c>
      <c r="AE48" s="118">
        <f>B48*'Input data'!B78*'Baseline data (from input)'!E33*'Input data'!S78*'4C2 Open-burning '!$C$10*'4C2 Open-burning '!$C$11*$C$5</f>
        <v>0</v>
      </c>
      <c r="AF48" s="118">
        <f>B48*'Input data'!B78*'Baseline data (from input)'!E33*'Input data'!T78*'4C2 Open-burning '!$C$10*'4C2 Open-burning '!$C$11*$C$5</f>
        <v>0</v>
      </c>
      <c r="AG48" s="118" t="e">
        <f>B48*'Input data'!B78*'Baseline data (from input)'!E33*'Input data'!#REF!*'4C2 Open-burning '!$C$10*'4C2 Open-burning '!$C$11*$C$5</f>
        <v>#REF!</v>
      </c>
      <c r="AH48" s="119" t="e">
        <f t="shared" si="2"/>
        <v>#REF!</v>
      </c>
      <c r="AI48" s="1388"/>
      <c r="AJ48" s="1388"/>
      <c r="AK48" s="1388"/>
      <c r="AQ48" s="99"/>
      <c r="AR48" s="99"/>
      <c r="AS48" s="99"/>
    </row>
    <row r="49" spans="1:45" ht="15" hidden="1" customHeight="1" thickBot="1">
      <c r="A49" s="466">
        <f>'Input data'!A79</f>
        <v>1979</v>
      </c>
      <c r="B49" s="122">
        <f>'Baseline data (from input)'!G35</f>
        <v>0</v>
      </c>
      <c r="C49" s="523">
        <f>'Baseline data (from input)'!C35*'Baseline data (from input)'!D35</f>
        <v>2822.4106800830436</v>
      </c>
      <c r="D49" s="529">
        <f>'Baseline data (from input)'!C35*'Baseline data (from input)'!E35</f>
        <v>3772.0941424247485</v>
      </c>
      <c r="E49" s="529">
        <f>'Baseline data (from input)'!C35*'Baseline data (from input)'!F35</f>
        <v>1265.9973238894308</v>
      </c>
      <c r="F49" s="529">
        <f>'Baseline data (from input)'!C35*'Baseline data (from input)'!G35</f>
        <v>0</v>
      </c>
      <c r="G49" s="529">
        <f>'Baseline data (from input)'!C35*'Baseline data (from input)'!H35</f>
        <v>0</v>
      </c>
      <c r="H49" s="529">
        <f>'Baseline data (from input)'!H35*'Baseline data (from input)'!I35</f>
        <v>0</v>
      </c>
      <c r="I49" s="529">
        <f>'Baseline data (from input)'!C35*'Baseline data (from input)'!J35</f>
        <v>6327.8219399027757</v>
      </c>
      <c r="J49" s="935">
        <f t="shared" si="3"/>
        <v>14188.324086299999</v>
      </c>
      <c r="K49" s="117">
        <f>'Input data'!B79*'Baseline data (from input)'!E34*'Input data'!O79*'4C2 Open-burning '!B49*'4C2 Open-burning '!$C$14*'4C2 Open-burning '!$C$5*'4C2 Open-burning '!$C$6*'4C2 Open-burning '!$C$7</f>
        <v>0</v>
      </c>
      <c r="L49" s="118">
        <f>'Input data'!B79*'Baseline data (from input)'!E34*'Input data'!P79*'4C2 Open-burning '!B49*'4C2 Open-burning '!$C$15*'4C2 Open-burning '!$C$5*'4C2 Open-burning '!$C$6*'4C2 Open-burning '!$C$7</f>
        <v>0</v>
      </c>
      <c r="M49" s="118" t="e">
        <f>'Input data'!B79*'Baseline data (from input)'!E34*'Input data'!Q79*'4C2 Open-burning '!B49*'4C2 Open-burning '!#REF!*'4C2 Open-burning '!$C$5*'4C2 Open-burning '!$C$6*'4C2 Open-burning '!$C$7</f>
        <v>#REF!</v>
      </c>
      <c r="N49" s="118" t="e">
        <f>'Input data'!B79*'Baseline data (from input)'!E34*'Input data'!R79*'4C2 Open-burning '!B49*'4C2 Open-burning '!#REF!*'4C2 Open-burning '!$C$5*'4C2 Open-burning '!$C$6*'4C2 Open-burning '!$C$7</f>
        <v>#REF!</v>
      </c>
      <c r="O49" s="118" t="e">
        <f>'Input data'!B79*'Baseline data (from input)'!E34*'Input data'!S79*'4C2 Open-burning '!B49*'4C2 Open-burning '!#REF!*'4C2 Open-burning '!$C$5*'4C2 Open-burning '!$C$6*'4C2 Open-burning '!$C$7</f>
        <v>#REF!</v>
      </c>
      <c r="P49" s="118" t="e">
        <f>'Input data'!B79*'Baseline data (from input)'!E34*'Input data'!T79*'4C2 Open-burning '!B49*'4C2 Open-burning '!#REF!*'4C2 Open-burning '!$C$5*'4C2 Open-burning '!$C$6*'4C2 Open-burning '!$C$7</f>
        <v>#REF!</v>
      </c>
      <c r="Q49" s="118" t="e">
        <f>'Input data'!B79*'Baseline data (from input)'!E34*'Input data'!#REF!*'4C2 Open-burning '!B49*'4C2 Open-burning '!#REF!*'4C2 Open-burning '!$C$5*'4C2 Open-burning '!$C$6*'4C2 Open-burning '!$C$7</f>
        <v>#REF!</v>
      </c>
      <c r="R49" s="119" t="e">
        <f t="shared" si="0"/>
        <v>#REF!</v>
      </c>
      <c r="S49" s="117">
        <f>B49*'Input data'!B79*'Baseline data (from input)'!E34*'Input data'!O79*'4C2 Open-burning '!$C$9*'4C2 Open-burning '!$C$11*$C$5</f>
        <v>0</v>
      </c>
      <c r="T49" s="118">
        <f>B49*'Input data'!B79*'Baseline data (from input)'!E34*'Input data'!P79*'4C2 Open-burning '!$C$9*'4C2 Open-burning '!$C$11*$C$5</f>
        <v>0</v>
      </c>
      <c r="U49" s="118">
        <f>B49*'Input data'!B79*'Baseline data (from input)'!E34*'Input data'!Q79*'4C2 Open-burning '!$C$9*'4C2 Open-burning '!$C$11*$C$5</f>
        <v>0</v>
      </c>
      <c r="V49" s="118">
        <f>B49*'Input data'!B79*'Baseline data (from input)'!E34*'Input data'!R79*'4C2 Open-burning '!$C$9*'4C2 Open-burning '!$C$11*$C$5</f>
        <v>0</v>
      </c>
      <c r="W49" s="118">
        <f>B49*'Input data'!B79*'Baseline data (from input)'!E34*'Input data'!S79*'4C2 Open-burning '!$C$9*'4C2 Open-burning '!$C$11*$C$5</f>
        <v>0</v>
      </c>
      <c r="X49" s="118">
        <f>B49*'Input data'!B79*'Baseline data (from input)'!E34*'Input data'!T79*'4C2 Open-burning '!$C$9*'4C2 Open-burning '!$C$11*$C$5</f>
        <v>0</v>
      </c>
      <c r="Y49" s="118" t="e">
        <f>B49*'Input data'!B79*'Baseline data (from input)'!E34*'Input data'!#REF!*'4C2 Open-burning '!$C$9*'4C2 Open-burning '!$C$11*$C$5</f>
        <v>#REF!</v>
      </c>
      <c r="Z49" s="119" t="e">
        <f t="shared" si="1"/>
        <v>#REF!</v>
      </c>
      <c r="AA49" s="117">
        <f>B49*'Input data'!B79*'Baseline data (from input)'!E34*'Input data'!O79*'4C2 Open-burning '!$C$10*'4C2 Open-burning '!$C$11*$C$5</f>
        <v>0</v>
      </c>
      <c r="AB49" s="118">
        <f>B49*'Input data'!B79*'Baseline data (from input)'!E34*'Input data'!P79*'4C2 Open-burning '!$C$10*'4C2 Open-burning '!$C$11*$C$5</f>
        <v>0</v>
      </c>
      <c r="AC49" s="118">
        <f>B49*'Input data'!B79*'Baseline data (from input)'!E34*'Input data'!Q79*'4C2 Open-burning '!$C$10*'4C2 Open-burning '!$C$11*$C$5</f>
        <v>0</v>
      </c>
      <c r="AD49" s="118">
        <f>B49*'Input data'!B79*'Baseline data (from input)'!E34*'Input data'!R79*'4C2 Open-burning '!$C$10*'4C2 Open-burning '!$C$11*$C$5</f>
        <v>0</v>
      </c>
      <c r="AE49" s="118">
        <f>B49*'Input data'!B79*'Baseline data (from input)'!E34*'Input data'!S79*'4C2 Open-burning '!$C$10*'4C2 Open-burning '!$C$11*$C$5</f>
        <v>0</v>
      </c>
      <c r="AF49" s="118">
        <f>B49*'Input data'!B79*'Baseline data (from input)'!E34*'Input data'!T79*'4C2 Open-burning '!$C$10*'4C2 Open-burning '!$C$11*$C$5</f>
        <v>0</v>
      </c>
      <c r="AG49" s="118" t="e">
        <f>B49*'Input data'!B79*'Baseline data (from input)'!E34*'Input data'!#REF!*'4C2 Open-burning '!$C$10*'4C2 Open-burning '!$C$11*$C$5</f>
        <v>#REF!</v>
      </c>
      <c r="AH49" s="119" t="e">
        <f t="shared" si="2"/>
        <v>#REF!</v>
      </c>
      <c r="AI49" s="1388"/>
      <c r="AJ49" s="1388"/>
      <c r="AK49" s="1388"/>
      <c r="AQ49" s="99"/>
      <c r="AR49" s="99"/>
      <c r="AS49" s="99"/>
    </row>
    <row r="50" spans="1:45" ht="15" hidden="1" customHeight="1" thickBot="1">
      <c r="A50" s="466">
        <f>'Input data'!A80</f>
        <v>1980</v>
      </c>
      <c r="B50" s="122">
        <f>'Baseline data (from input)'!G36</f>
        <v>0</v>
      </c>
      <c r="C50" s="523">
        <f>'Baseline data (from input)'!C36*'Baseline data (from input)'!D36</f>
        <v>2888.9349658130736</v>
      </c>
      <c r="D50" s="529">
        <f>'Baseline data (from input)'!C36*'Baseline data (from input)'!E36</f>
        <v>3861.0024895699821</v>
      </c>
      <c r="E50" s="529">
        <f>'Baseline data (from input)'!C36*'Baseline data (from input)'!F36</f>
        <v>1295.836910418134</v>
      </c>
      <c r="F50" s="529">
        <f>'Baseline data (from input)'!C36*'Baseline data (from input)'!G36</f>
        <v>0</v>
      </c>
      <c r="G50" s="529">
        <f>'Baseline data (from input)'!C36*'Baseline data (from input)'!H36</f>
        <v>0</v>
      </c>
      <c r="H50" s="529">
        <f>'Baseline data (from input)'!H36*'Baseline data (from input)'!I36</f>
        <v>0</v>
      </c>
      <c r="I50" s="529">
        <f>'Baseline data (from input)'!C36*'Baseline data (from input)'!J36</f>
        <v>6476.9688509988118</v>
      </c>
      <c r="J50" s="935">
        <f t="shared" si="3"/>
        <v>14522.743216800001</v>
      </c>
      <c r="K50" s="117">
        <f>'Input data'!B80*'Baseline data (from input)'!E35*'Input data'!O80*'4C2 Open-burning '!B50*'4C2 Open-burning '!$C$14*'4C2 Open-burning '!$C$5*'4C2 Open-burning '!$C$6*'4C2 Open-burning '!$C$7</f>
        <v>0</v>
      </c>
      <c r="L50" s="118">
        <f>'Input data'!B80*'Baseline data (from input)'!E35*'Input data'!P80*'4C2 Open-burning '!B50*'4C2 Open-burning '!$C$15*'4C2 Open-burning '!$C$5*'4C2 Open-burning '!$C$6*'4C2 Open-burning '!$C$7</f>
        <v>0</v>
      </c>
      <c r="M50" s="118" t="e">
        <f>'Input data'!B80*'Baseline data (from input)'!E35*'Input data'!Q80*'4C2 Open-burning '!B50*'4C2 Open-burning '!#REF!*'4C2 Open-burning '!$C$5*'4C2 Open-burning '!$C$6*'4C2 Open-burning '!$C$7</f>
        <v>#REF!</v>
      </c>
      <c r="N50" s="118" t="e">
        <f>'Input data'!B80*'Baseline data (from input)'!E35*'Input data'!R80*'4C2 Open-burning '!B50*'4C2 Open-burning '!#REF!*'4C2 Open-burning '!$C$5*'4C2 Open-burning '!$C$6*'4C2 Open-burning '!$C$7</f>
        <v>#REF!</v>
      </c>
      <c r="O50" s="118" t="e">
        <f>'Input data'!B80*'Baseline data (from input)'!E35*'Input data'!S80*'4C2 Open-burning '!B50*'4C2 Open-burning '!#REF!*'4C2 Open-burning '!$C$5*'4C2 Open-burning '!$C$6*'4C2 Open-burning '!$C$7</f>
        <v>#REF!</v>
      </c>
      <c r="P50" s="118" t="e">
        <f>'Input data'!B80*'Baseline data (from input)'!E35*'Input data'!T80*'4C2 Open-burning '!B50*'4C2 Open-burning '!#REF!*'4C2 Open-burning '!$C$5*'4C2 Open-burning '!$C$6*'4C2 Open-burning '!$C$7</f>
        <v>#REF!</v>
      </c>
      <c r="Q50" s="118" t="e">
        <f>'Input data'!B80*'Baseline data (from input)'!E35*'Input data'!#REF!*'4C2 Open-burning '!B50*'4C2 Open-burning '!#REF!*'4C2 Open-burning '!$C$5*'4C2 Open-burning '!$C$6*'4C2 Open-burning '!$C$7</f>
        <v>#REF!</v>
      </c>
      <c r="R50" s="119" t="e">
        <f t="shared" si="0"/>
        <v>#REF!</v>
      </c>
      <c r="S50" s="117">
        <f>B50*'Input data'!B80*'Baseline data (from input)'!E35*'Input data'!O80*'4C2 Open-burning '!$C$9*'4C2 Open-burning '!$C$11*$C$5</f>
        <v>0</v>
      </c>
      <c r="T50" s="118">
        <f>B50*'Input data'!B80*'Baseline data (from input)'!E35*'Input data'!P80*'4C2 Open-burning '!$C$9*'4C2 Open-burning '!$C$11*$C$5</f>
        <v>0</v>
      </c>
      <c r="U50" s="118">
        <f>B50*'Input data'!B80*'Baseline data (from input)'!E35*'Input data'!Q80*'4C2 Open-burning '!$C$9*'4C2 Open-burning '!$C$11*$C$5</f>
        <v>0</v>
      </c>
      <c r="V50" s="118">
        <f>B50*'Input data'!B80*'Baseline data (from input)'!E35*'Input data'!R80*'4C2 Open-burning '!$C$9*'4C2 Open-burning '!$C$11*$C$5</f>
        <v>0</v>
      </c>
      <c r="W50" s="118">
        <f>B50*'Input data'!B80*'Baseline data (from input)'!E35*'Input data'!S80*'4C2 Open-burning '!$C$9*'4C2 Open-burning '!$C$11*$C$5</f>
        <v>0</v>
      </c>
      <c r="X50" s="118">
        <f>B50*'Input data'!B80*'Baseline data (from input)'!E35*'Input data'!T80*'4C2 Open-burning '!$C$9*'4C2 Open-burning '!$C$11*$C$5</f>
        <v>0</v>
      </c>
      <c r="Y50" s="118" t="e">
        <f>B50*'Input data'!B80*'Baseline data (from input)'!E35*'Input data'!#REF!*'4C2 Open-burning '!$C$9*'4C2 Open-burning '!$C$11*$C$5</f>
        <v>#REF!</v>
      </c>
      <c r="Z50" s="119" t="e">
        <f t="shared" si="1"/>
        <v>#REF!</v>
      </c>
      <c r="AA50" s="117">
        <f>B50*'Input data'!B80*'Baseline data (from input)'!E35*'Input data'!O80*'4C2 Open-burning '!$C$10*'4C2 Open-burning '!$C$11*$C$5</f>
        <v>0</v>
      </c>
      <c r="AB50" s="118">
        <f>B50*'Input data'!B80*'Baseline data (from input)'!E35*'Input data'!P80*'4C2 Open-burning '!$C$10*'4C2 Open-burning '!$C$11*$C$5</f>
        <v>0</v>
      </c>
      <c r="AC50" s="118">
        <f>B50*'Input data'!B80*'Baseline data (from input)'!E35*'Input data'!Q80*'4C2 Open-burning '!$C$10*'4C2 Open-burning '!$C$11*$C$5</f>
        <v>0</v>
      </c>
      <c r="AD50" s="118">
        <f>B50*'Input data'!B80*'Baseline data (from input)'!E35*'Input data'!R80*'4C2 Open-burning '!$C$10*'4C2 Open-burning '!$C$11*$C$5</f>
        <v>0</v>
      </c>
      <c r="AE50" s="118">
        <f>B50*'Input data'!B80*'Baseline data (from input)'!E35*'Input data'!S80*'4C2 Open-burning '!$C$10*'4C2 Open-burning '!$C$11*$C$5</f>
        <v>0</v>
      </c>
      <c r="AF50" s="118">
        <f>B50*'Input data'!B80*'Baseline data (from input)'!E35*'Input data'!T80*'4C2 Open-burning '!$C$10*'4C2 Open-burning '!$C$11*$C$5</f>
        <v>0</v>
      </c>
      <c r="AG50" s="118" t="e">
        <f>B50*'Input data'!B80*'Baseline data (from input)'!E35*'Input data'!#REF!*'4C2 Open-burning '!$C$10*'4C2 Open-burning '!$C$11*$C$5</f>
        <v>#REF!</v>
      </c>
      <c r="AH50" s="119" t="e">
        <f t="shared" si="2"/>
        <v>#REF!</v>
      </c>
      <c r="AI50" s="1388"/>
      <c r="AJ50" s="1388"/>
      <c r="AK50" s="1388"/>
      <c r="AQ50" s="99"/>
      <c r="AR50" s="99"/>
      <c r="AS50" s="99"/>
    </row>
    <row r="51" spans="1:45" ht="15" hidden="1" customHeight="1" thickBot="1">
      <c r="A51" s="466">
        <f>'Input data'!A81</f>
        <v>1981</v>
      </c>
      <c r="B51" s="122">
        <f>'Baseline data (from input)'!G37</f>
        <v>0</v>
      </c>
      <c r="C51" s="523">
        <f>'Baseline data (from input)'!C37*'Baseline data (from input)'!D37</f>
        <v>2960.0688083495934</v>
      </c>
      <c r="D51" s="529">
        <f>'Baseline data (from input)'!C37*'Baseline data (from input)'!E37</f>
        <v>3956.0714151000807</v>
      </c>
      <c r="E51" s="529">
        <f>'Baseline data (from input)'!C37*'Baseline data (from input)'!F37</f>
        <v>1327.7441218401643</v>
      </c>
      <c r="F51" s="529">
        <f>'Baseline data (from input)'!C37*'Baseline data (from input)'!G37</f>
        <v>0</v>
      </c>
      <c r="G51" s="529">
        <f>'Baseline data (from input)'!C37*'Baseline data (from input)'!H37</f>
        <v>0</v>
      </c>
      <c r="H51" s="529">
        <f>'Baseline data (from input)'!H37*'Baseline data (from input)'!I37</f>
        <v>0</v>
      </c>
      <c r="I51" s="529">
        <f>'Baseline data (from input)'!C37*'Baseline data (from input)'!J37</f>
        <v>6636.450351210161</v>
      </c>
      <c r="J51" s="935">
        <f t="shared" si="3"/>
        <v>14880.334696499998</v>
      </c>
      <c r="K51" s="117">
        <f>'Input data'!B81*'Baseline data (from input)'!E36*'Input data'!O81*'4C2 Open-burning '!B51*'4C2 Open-burning '!$C$14*'4C2 Open-burning '!$C$5*'4C2 Open-burning '!$C$6*'4C2 Open-burning '!$C$7</f>
        <v>0</v>
      </c>
      <c r="L51" s="118">
        <f>'Input data'!B81*'Baseline data (from input)'!E36*'Input data'!P81*'4C2 Open-burning '!B51*'4C2 Open-burning '!$C$15*'4C2 Open-burning '!$C$5*'4C2 Open-burning '!$C$6*'4C2 Open-burning '!$C$7</f>
        <v>0</v>
      </c>
      <c r="M51" s="118" t="e">
        <f>'Input data'!B81*'Baseline data (from input)'!E36*'Input data'!Q81*'4C2 Open-burning '!B51*'4C2 Open-burning '!#REF!*'4C2 Open-burning '!$C$5*'4C2 Open-burning '!$C$6*'4C2 Open-burning '!$C$7</f>
        <v>#REF!</v>
      </c>
      <c r="N51" s="118" t="e">
        <f>'Input data'!B81*'Baseline data (from input)'!E36*'Input data'!R81*'4C2 Open-burning '!B51*'4C2 Open-burning '!#REF!*'4C2 Open-burning '!$C$5*'4C2 Open-burning '!$C$6*'4C2 Open-burning '!$C$7</f>
        <v>#REF!</v>
      </c>
      <c r="O51" s="118" t="e">
        <f>'Input data'!B81*'Baseline data (from input)'!E36*'Input data'!S81*'4C2 Open-burning '!B51*'4C2 Open-burning '!#REF!*'4C2 Open-burning '!$C$5*'4C2 Open-burning '!$C$6*'4C2 Open-burning '!$C$7</f>
        <v>#REF!</v>
      </c>
      <c r="P51" s="118" t="e">
        <f>'Input data'!B81*'Baseline data (from input)'!E36*'Input data'!T81*'4C2 Open-burning '!B51*'4C2 Open-burning '!#REF!*'4C2 Open-burning '!$C$5*'4C2 Open-burning '!$C$6*'4C2 Open-burning '!$C$7</f>
        <v>#REF!</v>
      </c>
      <c r="Q51" s="118" t="e">
        <f>'Input data'!B81*'Baseline data (from input)'!E36*'Input data'!#REF!*'4C2 Open-burning '!B51*'4C2 Open-burning '!#REF!*'4C2 Open-burning '!$C$5*'4C2 Open-burning '!$C$6*'4C2 Open-burning '!$C$7</f>
        <v>#REF!</v>
      </c>
      <c r="R51" s="119" t="e">
        <f t="shared" si="0"/>
        <v>#REF!</v>
      </c>
      <c r="S51" s="117">
        <f>B51*'Input data'!B81*'Baseline data (from input)'!E36*'Input data'!O81*'4C2 Open-burning '!$C$9*'4C2 Open-burning '!$C$11*$C$5</f>
        <v>0</v>
      </c>
      <c r="T51" s="118">
        <f>B51*'Input data'!B81*'Baseline data (from input)'!E36*'Input data'!P81*'4C2 Open-burning '!$C$9*'4C2 Open-burning '!$C$11*$C$5</f>
        <v>0</v>
      </c>
      <c r="U51" s="118">
        <f>B51*'Input data'!B81*'Baseline data (from input)'!E36*'Input data'!Q81*'4C2 Open-burning '!$C$9*'4C2 Open-burning '!$C$11*$C$5</f>
        <v>0</v>
      </c>
      <c r="V51" s="118">
        <f>B51*'Input data'!B81*'Baseline data (from input)'!E36*'Input data'!R81*'4C2 Open-burning '!$C$9*'4C2 Open-burning '!$C$11*$C$5</f>
        <v>0</v>
      </c>
      <c r="W51" s="118">
        <f>B51*'Input data'!B81*'Baseline data (from input)'!E36*'Input data'!S81*'4C2 Open-burning '!$C$9*'4C2 Open-burning '!$C$11*$C$5</f>
        <v>0</v>
      </c>
      <c r="X51" s="118">
        <f>B51*'Input data'!B81*'Baseline data (from input)'!E36*'Input data'!T81*'4C2 Open-burning '!$C$9*'4C2 Open-burning '!$C$11*$C$5</f>
        <v>0</v>
      </c>
      <c r="Y51" s="118" t="e">
        <f>B51*'Input data'!B81*'Baseline data (from input)'!E36*'Input data'!#REF!*'4C2 Open-burning '!$C$9*'4C2 Open-burning '!$C$11*$C$5</f>
        <v>#REF!</v>
      </c>
      <c r="Z51" s="119" t="e">
        <f t="shared" si="1"/>
        <v>#REF!</v>
      </c>
      <c r="AA51" s="117">
        <f>B51*'Input data'!B81*'Baseline data (from input)'!E36*'Input data'!O81*'4C2 Open-burning '!$C$10*'4C2 Open-burning '!$C$11*$C$5</f>
        <v>0</v>
      </c>
      <c r="AB51" s="118">
        <f>B51*'Input data'!B81*'Baseline data (from input)'!E36*'Input data'!P81*'4C2 Open-burning '!$C$10*'4C2 Open-burning '!$C$11*$C$5</f>
        <v>0</v>
      </c>
      <c r="AC51" s="118">
        <f>B51*'Input data'!B81*'Baseline data (from input)'!E36*'Input data'!Q81*'4C2 Open-burning '!$C$10*'4C2 Open-burning '!$C$11*$C$5</f>
        <v>0</v>
      </c>
      <c r="AD51" s="118">
        <f>B51*'Input data'!B81*'Baseline data (from input)'!E36*'Input data'!R81*'4C2 Open-burning '!$C$10*'4C2 Open-burning '!$C$11*$C$5</f>
        <v>0</v>
      </c>
      <c r="AE51" s="118">
        <f>B51*'Input data'!B81*'Baseline data (from input)'!E36*'Input data'!S81*'4C2 Open-burning '!$C$10*'4C2 Open-burning '!$C$11*$C$5</f>
        <v>0</v>
      </c>
      <c r="AF51" s="118">
        <f>B51*'Input data'!B81*'Baseline data (from input)'!E36*'Input data'!T81*'4C2 Open-burning '!$C$10*'4C2 Open-burning '!$C$11*$C$5</f>
        <v>0</v>
      </c>
      <c r="AG51" s="118" t="e">
        <f>B51*'Input data'!B81*'Baseline data (from input)'!E36*'Input data'!#REF!*'4C2 Open-burning '!$C$10*'4C2 Open-burning '!$C$11*$C$5</f>
        <v>#REF!</v>
      </c>
      <c r="AH51" s="119" t="e">
        <f t="shared" si="2"/>
        <v>#REF!</v>
      </c>
      <c r="AI51" s="1388"/>
      <c r="AJ51" s="1388"/>
      <c r="AK51" s="1388"/>
      <c r="AQ51" s="99"/>
      <c r="AR51" s="99"/>
      <c r="AS51" s="99"/>
    </row>
    <row r="52" spans="1:45" ht="15" hidden="1" customHeight="1" thickBot="1">
      <c r="A52" s="466">
        <f>'Input data'!A82</f>
        <v>1982</v>
      </c>
      <c r="B52" s="122">
        <f>'Baseline data (from input)'!G38</f>
        <v>0</v>
      </c>
      <c r="C52" s="523">
        <f>'Baseline data (from input)'!C38*'Baseline data (from input)'!D38</f>
        <v>3035.1836317644465</v>
      </c>
      <c r="D52" s="529">
        <f>'Baseline data (from input)'!C38*'Baseline data (from input)'!E38</f>
        <v>4056.4608401443838</v>
      </c>
      <c r="E52" s="529">
        <f>'Baseline data (from input)'!C38*'Baseline data (from input)'!F38</f>
        <v>1361.4370093064324</v>
      </c>
      <c r="F52" s="529">
        <f>'Baseline data (from input)'!C38*'Baseline data (from input)'!G38</f>
        <v>0</v>
      </c>
      <c r="G52" s="529">
        <f>'Baseline data (from input)'!C38*'Baseline data (from input)'!H38</f>
        <v>0</v>
      </c>
      <c r="H52" s="529">
        <f>'Baseline data (from input)'!H38*'Baseline data (from input)'!I38</f>
        <v>0</v>
      </c>
      <c r="I52" s="529">
        <f>'Baseline data (from input)'!C38*'Baseline data (from input)'!J38</f>
        <v>6804.8571783847392</v>
      </c>
      <c r="J52" s="935">
        <f t="shared" si="3"/>
        <v>15257.9386596</v>
      </c>
      <c r="K52" s="117">
        <f>'Input data'!B82*'Baseline data (from input)'!E37*'Input data'!O82*'4C2 Open-burning '!B52*'4C2 Open-burning '!$C$14*'4C2 Open-burning '!$C$5*'4C2 Open-burning '!$C$6*'4C2 Open-burning '!$C$7</f>
        <v>0</v>
      </c>
      <c r="L52" s="118">
        <f>'Input data'!B82*'Baseline data (from input)'!E37*'Input data'!P82*'4C2 Open-burning '!B52*'4C2 Open-burning '!$C$15*'4C2 Open-burning '!$C$5*'4C2 Open-burning '!$C$6*'4C2 Open-burning '!$C$7</f>
        <v>0</v>
      </c>
      <c r="M52" s="118" t="e">
        <f>'Input data'!B82*'Baseline data (from input)'!E37*'Input data'!Q82*'4C2 Open-burning '!B52*'4C2 Open-burning '!#REF!*'4C2 Open-burning '!$C$5*'4C2 Open-burning '!$C$6*'4C2 Open-burning '!$C$7</f>
        <v>#REF!</v>
      </c>
      <c r="N52" s="118" t="e">
        <f>'Input data'!B82*'Baseline data (from input)'!E37*'Input data'!R82*'4C2 Open-burning '!B52*'4C2 Open-burning '!#REF!*'4C2 Open-burning '!$C$5*'4C2 Open-burning '!$C$6*'4C2 Open-burning '!$C$7</f>
        <v>#REF!</v>
      </c>
      <c r="O52" s="118" t="e">
        <f>'Input data'!B82*'Baseline data (from input)'!E37*'Input data'!S82*'4C2 Open-burning '!B52*'4C2 Open-burning '!#REF!*'4C2 Open-burning '!$C$5*'4C2 Open-burning '!$C$6*'4C2 Open-burning '!$C$7</f>
        <v>#REF!</v>
      </c>
      <c r="P52" s="118" t="e">
        <f>'Input data'!B82*'Baseline data (from input)'!E37*'Input data'!T82*'4C2 Open-burning '!B52*'4C2 Open-burning '!#REF!*'4C2 Open-burning '!$C$5*'4C2 Open-burning '!$C$6*'4C2 Open-burning '!$C$7</f>
        <v>#REF!</v>
      </c>
      <c r="Q52" s="118" t="e">
        <f>'Input data'!B82*'Baseline data (from input)'!E37*'Input data'!#REF!*'4C2 Open-burning '!B52*'4C2 Open-burning '!#REF!*'4C2 Open-burning '!$C$5*'4C2 Open-burning '!$C$6*'4C2 Open-burning '!$C$7</f>
        <v>#REF!</v>
      </c>
      <c r="R52" s="119" t="e">
        <f t="shared" si="0"/>
        <v>#REF!</v>
      </c>
      <c r="S52" s="117">
        <f>B52*'Input data'!B82*'Baseline data (from input)'!E37*'Input data'!O82*'4C2 Open-burning '!$C$9*'4C2 Open-burning '!$C$11*$C$5</f>
        <v>0</v>
      </c>
      <c r="T52" s="118">
        <f>B52*'Input data'!B82*'Baseline data (from input)'!E37*'Input data'!P82*'4C2 Open-burning '!$C$9*'4C2 Open-burning '!$C$11*$C$5</f>
        <v>0</v>
      </c>
      <c r="U52" s="118">
        <f>B52*'Input data'!B82*'Baseline data (from input)'!E37*'Input data'!Q82*'4C2 Open-burning '!$C$9*'4C2 Open-burning '!$C$11*$C$5</f>
        <v>0</v>
      </c>
      <c r="V52" s="118">
        <f>B52*'Input data'!B82*'Baseline data (from input)'!E37*'Input data'!R82*'4C2 Open-burning '!$C$9*'4C2 Open-burning '!$C$11*$C$5</f>
        <v>0</v>
      </c>
      <c r="W52" s="118">
        <f>B52*'Input data'!B82*'Baseline data (from input)'!E37*'Input data'!S82*'4C2 Open-burning '!$C$9*'4C2 Open-burning '!$C$11*$C$5</f>
        <v>0</v>
      </c>
      <c r="X52" s="118">
        <f>B52*'Input data'!B82*'Baseline data (from input)'!E37*'Input data'!T82*'4C2 Open-burning '!$C$9*'4C2 Open-burning '!$C$11*$C$5</f>
        <v>0</v>
      </c>
      <c r="Y52" s="118" t="e">
        <f>B52*'Input data'!B82*'Baseline data (from input)'!E37*'Input data'!#REF!*'4C2 Open-burning '!$C$9*'4C2 Open-burning '!$C$11*$C$5</f>
        <v>#REF!</v>
      </c>
      <c r="Z52" s="119" t="e">
        <f t="shared" si="1"/>
        <v>#REF!</v>
      </c>
      <c r="AA52" s="117">
        <f>B52*'Input data'!B82*'Baseline data (from input)'!E37*'Input data'!O82*'4C2 Open-burning '!$C$10*'4C2 Open-burning '!$C$11*$C$5</f>
        <v>0</v>
      </c>
      <c r="AB52" s="118">
        <f>B52*'Input data'!B82*'Baseline data (from input)'!E37*'Input data'!P82*'4C2 Open-burning '!$C$10*'4C2 Open-burning '!$C$11*$C$5</f>
        <v>0</v>
      </c>
      <c r="AC52" s="118">
        <f>B52*'Input data'!B82*'Baseline data (from input)'!E37*'Input data'!Q82*'4C2 Open-burning '!$C$10*'4C2 Open-burning '!$C$11*$C$5</f>
        <v>0</v>
      </c>
      <c r="AD52" s="118">
        <f>B52*'Input data'!B82*'Baseline data (from input)'!E37*'Input data'!R82*'4C2 Open-burning '!$C$10*'4C2 Open-burning '!$C$11*$C$5</f>
        <v>0</v>
      </c>
      <c r="AE52" s="118">
        <f>B52*'Input data'!B82*'Baseline data (from input)'!E37*'Input data'!S82*'4C2 Open-burning '!$C$10*'4C2 Open-burning '!$C$11*$C$5</f>
        <v>0</v>
      </c>
      <c r="AF52" s="118">
        <f>B52*'Input data'!B82*'Baseline data (from input)'!E37*'Input data'!T82*'4C2 Open-burning '!$C$10*'4C2 Open-burning '!$C$11*$C$5</f>
        <v>0</v>
      </c>
      <c r="AG52" s="118" t="e">
        <f>B52*'Input data'!B82*'Baseline data (from input)'!E37*'Input data'!#REF!*'4C2 Open-burning '!$C$10*'4C2 Open-burning '!$C$11*$C$5</f>
        <v>#REF!</v>
      </c>
      <c r="AH52" s="119" t="e">
        <f t="shared" si="2"/>
        <v>#REF!</v>
      </c>
      <c r="AI52" s="1388"/>
      <c r="AJ52" s="1388"/>
      <c r="AK52" s="1388"/>
      <c r="AQ52" s="99"/>
      <c r="AR52" s="99"/>
      <c r="AS52" s="99"/>
    </row>
    <row r="53" spans="1:45" ht="15" hidden="1" customHeight="1" thickBot="1">
      <c r="A53" s="466">
        <f>'Input data'!A83</f>
        <v>1983</v>
      </c>
      <c r="B53" s="122">
        <f>'Baseline data (from input)'!G39</f>
        <v>0</v>
      </c>
      <c r="C53" s="523">
        <f>'Baseline data (from input)'!C39*'Baseline data (from input)'!D39</f>
        <v>3113.9651480935522</v>
      </c>
      <c r="D53" s="529">
        <f>'Baseline data (from input)'!C39*'Baseline data (from input)'!E39</f>
        <v>4161.7507252675568</v>
      </c>
      <c r="E53" s="529">
        <f>'Baseline data (from input)'!C39*'Baseline data (from input)'!F39</f>
        <v>1396.7745983923924</v>
      </c>
      <c r="F53" s="529">
        <f>'Baseline data (from input)'!C39*'Baseline data (from input)'!G39</f>
        <v>0</v>
      </c>
      <c r="G53" s="529">
        <f>'Baseline data (from input)'!C39*'Baseline data (from input)'!H39</f>
        <v>0</v>
      </c>
      <c r="H53" s="529">
        <f>'Baseline data (from input)'!H39*'Baseline data (from input)'!I39</f>
        <v>0</v>
      </c>
      <c r="I53" s="529">
        <f>'Baseline data (from input)'!C39*'Baseline data (from input)'!J39</f>
        <v>6981.4847014464995</v>
      </c>
      <c r="J53" s="935">
        <f t="shared" si="3"/>
        <v>15653.9751732</v>
      </c>
      <c r="K53" s="117">
        <f>'Input data'!B83*'Baseline data (from input)'!E38*'Input data'!O83*'4C2 Open-burning '!B53*'4C2 Open-burning '!$C$14*'4C2 Open-burning '!$C$5*'4C2 Open-burning '!$C$6*'4C2 Open-burning '!$C$7</f>
        <v>0</v>
      </c>
      <c r="L53" s="118">
        <f>'Input data'!B83*'Baseline data (from input)'!E38*'Input data'!P83*'4C2 Open-burning '!B53*'4C2 Open-burning '!$C$15*'4C2 Open-burning '!$C$5*'4C2 Open-burning '!$C$6*'4C2 Open-burning '!$C$7</f>
        <v>0</v>
      </c>
      <c r="M53" s="118" t="e">
        <f>'Input data'!B83*'Baseline data (from input)'!E38*'Input data'!Q83*'4C2 Open-burning '!B53*'4C2 Open-burning '!#REF!*'4C2 Open-burning '!$C$5*'4C2 Open-burning '!$C$6*'4C2 Open-burning '!$C$7</f>
        <v>#REF!</v>
      </c>
      <c r="N53" s="118" t="e">
        <f>'Input data'!B83*'Baseline data (from input)'!E38*'Input data'!R83*'4C2 Open-burning '!B53*'4C2 Open-burning '!#REF!*'4C2 Open-burning '!$C$5*'4C2 Open-burning '!$C$6*'4C2 Open-burning '!$C$7</f>
        <v>#REF!</v>
      </c>
      <c r="O53" s="118" t="e">
        <f>'Input data'!B83*'Baseline data (from input)'!E38*'Input data'!S83*'4C2 Open-burning '!B53*'4C2 Open-burning '!#REF!*'4C2 Open-burning '!$C$5*'4C2 Open-burning '!$C$6*'4C2 Open-burning '!$C$7</f>
        <v>#REF!</v>
      </c>
      <c r="P53" s="118" t="e">
        <f>'Input data'!B83*'Baseline data (from input)'!E38*'Input data'!T83*'4C2 Open-burning '!B53*'4C2 Open-burning '!#REF!*'4C2 Open-burning '!$C$5*'4C2 Open-burning '!$C$6*'4C2 Open-burning '!$C$7</f>
        <v>#REF!</v>
      </c>
      <c r="Q53" s="118" t="e">
        <f>'Input data'!B83*'Baseline data (from input)'!E38*'Input data'!#REF!*'4C2 Open-burning '!B53*'4C2 Open-burning '!#REF!*'4C2 Open-burning '!$C$5*'4C2 Open-burning '!$C$6*'4C2 Open-burning '!$C$7</f>
        <v>#REF!</v>
      </c>
      <c r="R53" s="119" t="e">
        <f t="shared" si="0"/>
        <v>#REF!</v>
      </c>
      <c r="S53" s="117">
        <f>B53*'Input data'!B83*'Baseline data (from input)'!E38*'Input data'!O83*'4C2 Open-burning '!$C$9*'4C2 Open-burning '!$C$11*$C$5</f>
        <v>0</v>
      </c>
      <c r="T53" s="118">
        <f>B53*'Input data'!B83*'Baseline data (from input)'!E38*'Input data'!P83*'4C2 Open-burning '!$C$9*'4C2 Open-burning '!$C$11*$C$5</f>
        <v>0</v>
      </c>
      <c r="U53" s="118">
        <f>B53*'Input data'!B83*'Baseline data (from input)'!E38*'Input data'!Q83*'4C2 Open-burning '!$C$9*'4C2 Open-burning '!$C$11*$C$5</f>
        <v>0</v>
      </c>
      <c r="V53" s="118">
        <f>B53*'Input data'!B83*'Baseline data (from input)'!E38*'Input data'!R83*'4C2 Open-burning '!$C$9*'4C2 Open-burning '!$C$11*$C$5</f>
        <v>0</v>
      </c>
      <c r="W53" s="118">
        <f>B53*'Input data'!B83*'Baseline data (from input)'!E38*'Input data'!S83*'4C2 Open-burning '!$C$9*'4C2 Open-burning '!$C$11*$C$5</f>
        <v>0</v>
      </c>
      <c r="X53" s="118">
        <f>B53*'Input data'!B83*'Baseline data (from input)'!E38*'Input data'!T83*'4C2 Open-burning '!$C$9*'4C2 Open-burning '!$C$11*$C$5</f>
        <v>0</v>
      </c>
      <c r="Y53" s="118" t="e">
        <f>B53*'Input data'!B83*'Baseline data (from input)'!E38*'Input data'!#REF!*'4C2 Open-burning '!$C$9*'4C2 Open-burning '!$C$11*$C$5</f>
        <v>#REF!</v>
      </c>
      <c r="Z53" s="119" t="e">
        <f t="shared" si="1"/>
        <v>#REF!</v>
      </c>
      <c r="AA53" s="117">
        <f>B53*'Input data'!B83*'Baseline data (from input)'!E38*'Input data'!O83*'4C2 Open-burning '!$C$10*'4C2 Open-burning '!$C$11*$C$5</f>
        <v>0</v>
      </c>
      <c r="AB53" s="118">
        <f>B53*'Input data'!B83*'Baseline data (from input)'!E38*'Input data'!P83*'4C2 Open-burning '!$C$10*'4C2 Open-burning '!$C$11*$C$5</f>
        <v>0</v>
      </c>
      <c r="AC53" s="118">
        <f>B53*'Input data'!B83*'Baseline data (from input)'!E38*'Input data'!Q83*'4C2 Open-burning '!$C$10*'4C2 Open-burning '!$C$11*$C$5</f>
        <v>0</v>
      </c>
      <c r="AD53" s="118">
        <f>B53*'Input data'!B83*'Baseline data (from input)'!E38*'Input data'!R83*'4C2 Open-burning '!$C$10*'4C2 Open-burning '!$C$11*$C$5</f>
        <v>0</v>
      </c>
      <c r="AE53" s="118">
        <f>B53*'Input data'!B83*'Baseline data (from input)'!E38*'Input data'!S83*'4C2 Open-burning '!$C$10*'4C2 Open-burning '!$C$11*$C$5</f>
        <v>0</v>
      </c>
      <c r="AF53" s="118">
        <f>B53*'Input data'!B83*'Baseline data (from input)'!E38*'Input data'!T83*'4C2 Open-burning '!$C$10*'4C2 Open-burning '!$C$11*$C$5</f>
        <v>0</v>
      </c>
      <c r="AG53" s="118" t="e">
        <f>B53*'Input data'!B83*'Baseline data (from input)'!E38*'Input data'!#REF!*'4C2 Open-burning '!$C$10*'4C2 Open-burning '!$C$11*$C$5</f>
        <v>#REF!</v>
      </c>
      <c r="AH53" s="119" t="e">
        <f t="shared" si="2"/>
        <v>#REF!</v>
      </c>
      <c r="AI53" s="1388"/>
      <c r="AJ53" s="1388"/>
      <c r="AK53" s="1388"/>
      <c r="AQ53" s="99"/>
      <c r="AR53" s="99"/>
      <c r="AS53" s="99"/>
    </row>
    <row r="54" spans="1:45" ht="15" hidden="1" customHeight="1" thickBot="1">
      <c r="A54" s="466">
        <f>'Input data'!A84</f>
        <v>1984</v>
      </c>
      <c r="B54" s="122">
        <f>'Baseline data (from input)'!G40</f>
        <v>0</v>
      </c>
      <c r="C54" s="523">
        <f>'Baseline data (from input)'!C40*'Baseline data (from input)'!D40</f>
        <v>3195.784781408754</v>
      </c>
      <c r="D54" s="529">
        <f>'Baseline data (from input)'!C40*'Baseline data (from input)'!E40</f>
        <v>4271.1009915989362</v>
      </c>
      <c r="E54" s="529">
        <f>'Baseline data (from input)'!C40*'Baseline data (from input)'!F40</f>
        <v>1433.4749402489545</v>
      </c>
      <c r="F54" s="529">
        <f>'Baseline data (from input)'!C40*'Baseline data (from input)'!G40</f>
        <v>0</v>
      </c>
      <c r="G54" s="529">
        <f>'Baseline data (from input)'!C40*'Baseline data (from input)'!H40</f>
        <v>0</v>
      </c>
      <c r="H54" s="529">
        <f>'Baseline data (from input)'!H40*'Baseline data (from input)'!I40</f>
        <v>0</v>
      </c>
      <c r="I54" s="529">
        <f>'Baseline data (from input)'!C40*'Baseline data (from input)'!J40</f>
        <v>7164.9236582433532</v>
      </c>
      <c r="J54" s="935">
        <f t="shared" si="3"/>
        <v>16065.284371499998</v>
      </c>
      <c r="K54" s="117">
        <f>'Input data'!B84*'Baseline data (from input)'!E39*'Input data'!O84*'4C2 Open-burning '!B54*'4C2 Open-burning '!$C$14*'4C2 Open-burning '!$C$5*'4C2 Open-burning '!$C$6*'4C2 Open-burning '!$C$7</f>
        <v>0</v>
      </c>
      <c r="L54" s="118">
        <f>'Input data'!B84*'Baseline data (from input)'!E39*'Input data'!P84*'4C2 Open-burning '!B54*'4C2 Open-burning '!$C$15*'4C2 Open-burning '!$C$5*'4C2 Open-burning '!$C$6*'4C2 Open-burning '!$C$7</f>
        <v>0</v>
      </c>
      <c r="M54" s="118" t="e">
        <f>'Input data'!B84*'Baseline data (from input)'!E39*'Input data'!Q84*'4C2 Open-burning '!B54*'4C2 Open-burning '!#REF!*'4C2 Open-burning '!$C$5*'4C2 Open-burning '!$C$6*'4C2 Open-burning '!$C$7</f>
        <v>#REF!</v>
      </c>
      <c r="N54" s="118" t="e">
        <f>'Input data'!B84*'Baseline data (from input)'!E39*'Input data'!R84*'4C2 Open-burning '!B54*'4C2 Open-burning '!#REF!*'4C2 Open-burning '!$C$5*'4C2 Open-burning '!$C$6*'4C2 Open-burning '!$C$7</f>
        <v>#REF!</v>
      </c>
      <c r="O54" s="118" t="e">
        <f>'Input data'!B84*'Baseline data (from input)'!E39*'Input data'!S84*'4C2 Open-burning '!B54*'4C2 Open-burning '!#REF!*'4C2 Open-burning '!$C$5*'4C2 Open-burning '!$C$6*'4C2 Open-burning '!$C$7</f>
        <v>#REF!</v>
      </c>
      <c r="P54" s="118" t="e">
        <f>'Input data'!B84*'Baseline data (from input)'!E39*'Input data'!T84*'4C2 Open-burning '!B54*'4C2 Open-burning '!#REF!*'4C2 Open-burning '!$C$5*'4C2 Open-burning '!$C$6*'4C2 Open-burning '!$C$7</f>
        <v>#REF!</v>
      </c>
      <c r="Q54" s="118" t="e">
        <f>'Input data'!B84*'Baseline data (from input)'!E39*'Input data'!#REF!*'4C2 Open-burning '!B54*'4C2 Open-burning '!#REF!*'4C2 Open-burning '!$C$5*'4C2 Open-burning '!$C$6*'4C2 Open-burning '!$C$7</f>
        <v>#REF!</v>
      </c>
      <c r="R54" s="119" t="e">
        <f t="shared" si="0"/>
        <v>#REF!</v>
      </c>
      <c r="S54" s="117">
        <f>B54*'Input data'!B84*'Baseline data (from input)'!E39*'Input data'!O84*'4C2 Open-burning '!$C$9*'4C2 Open-burning '!$C$11*$C$5</f>
        <v>0</v>
      </c>
      <c r="T54" s="118">
        <f>B54*'Input data'!B84*'Baseline data (from input)'!E39*'Input data'!P84*'4C2 Open-burning '!$C$9*'4C2 Open-burning '!$C$11*$C$5</f>
        <v>0</v>
      </c>
      <c r="U54" s="118">
        <f>B54*'Input data'!B84*'Baseline data (from input)'!E39*'Input data'!Q84*'4C2 Open-burning '!$C$9*'4C2 Open-burning '!$C$11*$C$5</f>
        <v>0</v>
      </c>
      <c r="V54" s="118">
        <f>B54*'Input data'!B84*'Baseline data (from input)'!E39*'Input data'!R84*'4C2 Open-burning '!$C$9*'4C2 Open-burning '!$C$11*$C$5</f>
        <v>0</v>
      </c>
      <c r="W54" s="118">
        <f>B54*'Input data'!B84*'Baseline data (from input)'!E39*'Input data'!S84*'4C2 Open-burning '!$C$9*'4C2 Open-burning '!$C$11*$C$5</f>
        <v>0</v>
      </c>
      <c r="X54" s="118">
        <f>B54*'Input data'!B84*'Baseline data (from input)'!E39*'Input data'!T84*'4C2 Open-burning '!$C$9*'4C2 Open-burning '!$C$11*$C$5</f>
        <v>0</v>
      </c>
      <c r="Y54" s="118" t="e">
        <f>B54*'Input data'!B84*'Baseline data (from input)'!E39*'Input data'!#REF!*'4C2 Open-burning '!$C$9*'4C2 Open-burning '!$C$11*$C$5</f>
        <v>#REF!</v>
      </c>
      <c r="Z54" s="119" t="e">
        <f t="shared" si="1"/>
        <v>#REF!</v>
      </c>
      <c r="AA54" s="117">
        <f>B54*'Input data'!B84*'Baseline data (from input)'!E39*'Input data'!O84*'4C2 Open-burning '!$C$10*'4C2 Open-burning '!$C$11*$C$5</f>
        <v>0</v>
      </c>
      <c r="AB54" s="118">
        <f>B54*'Input data'!B84*'Baseline data (from input)'!E39*'Input data'!P84*'4C2 Open-burning '!$C$10*'4C2 Open-burning '!$C$11*$C$5</f>
        <v>0</v>
      </c>
      <c r="AC54" s="118">
        <f>B54*'Input data'!B84*'Baseline data (from input)'!E39*'Input data'!Q84*'4C2 Open-burning '!$C$10*'4C2 Open-burning '!$C$11*$C$5</f>
        <v>0</v>
      </c>
      <c r="AD54" s="118">
        <f>B54*'Input data'!B84*'Baseline data (from input)'!E39*'Input data'!R84*'4C2 Open-burning '!$C$10*'4C2 Open-burning '!$C$11*$C$5</f>
        <v>0</v>
      </c>
      <c r="AE54" s="118">
        <f>B54*'Input data'!B84*'Baseline data (from input)'!E39*'Input data'!S84*'4C2 Open-burning '!$C$10*'4C2 Open-burning '!$C$11*$C$5</f>
        <v>0</v>
      </c>
      <c r="AF54" s="118">
        <f>B54*'Input data'!B84*'Baseline data (from input)'!E39*'Input data'!T84*'4C2 Open-burning '!$C$10*'4C2 Open-burning '!$C$11*$C$5</f>
        <v>0</v>
      </c>
      <c r="AG54" s="118" t="e">
        <f>B54*'Input data'!B84*'Baseline data (from input)'!E39*'Input data'!#REF!*'4C2 Open-burning '!$C$10*'4C2 Open-burning '!$C$11*$C$5</f>
        <v>#REF!</v>
      </c>
      <c r="AH54" s="119" t="e">
        <f t="shared" si="2"/>
        <v>#REF!</v>
      </c>
      <c r="AI54" s="1388"/>
      <c r="AJ54" s="1388"/>
      <c r="AK54" s="1388"/>
      <c r="AQ54" s="99"/>
      <c r="AR54" s="99"/>
      <c r="AS54" s="99"/>
    </row>
    <row r="55" spans="1:45" ht="15" hidden="1" customHeight="1" thickBot="1">
      <c r="A55" s="466">
        <f>'Input data'!A85</f>
        <v>1985</v>
      </c>
      <c r="B55" s="122">
        <f>'Baseline data (from input)'!G41</f>
        <v>0</v>
      </c>
      <c r="C55" s="523">
        <f>'Baseline data (from input)'!C41*'Baseline data (from input)'!D41</f>
        <v>3279.9091931272014</v>
      </c>
      <c r="D55" s="529">
        <f>'Baseline data (from input)'!C41*'Baseline data (from input)'!E41</f>
        <v>4383.5315471227514</v>
      </c>
      <c r="E55" s="529">
        <f>'Baseline data (from input)'!C41*'Baseline data (from input)'!F41</f>
        <v>1471.2090945521807</v>
      </c>
      <c r="F55" s="529">
        <f>'Baseline data (from input)'!C41*'Baseline data (from input)'!G41</f>
        <v>0</v>
      </c>
      <c r="G55" s="529">
        <f>'Baseline data (from input)'!C41*'Baseline data (from input)'!H41</f>
        <v>0</v>
      </c>
      <c r="H55" s="529">
        <f>'Baseline data (from input)'!H41*'Baseline data (from input)'!I41</f>
        <v>0</v>
      </c>
      <c r="I55" s="529">
        <f>'Baseline data (from input)'!C41*'Baseline data (from input)'!J41</f>
        <v>7353.5299095978671</v>
      </c>
      <c r="J55" s="935">
        <f t="shared" si="3"/>
        <v>16488.1797444</v>
      </c>
      <c r="K55" s="117">
        <f>'Input data'!B85*'Baseline data (from input)'!E40*'Input data'!O85*'4C2 Open-burning '!B55*'4C2 Open-burning '!$C$14*'4C2 Open-burning '!$C$5*'4C2 Open-burning '!$C$6*'4C2 Open-burning '!$C$7</f>
        <v>0</v>
      </c>
      <c r="L55" s="118">
        <f>'Input data'!B85*'Baseline data (from input)'!E40*'Input data'!P85*'4C2 Open-burning '!B55*'4C2 Open-burning '!$C$15*'4C2 Open-burning '!$C$5*'4C2 Open-burning '!$C$6*'4C2 Open-burning '!$C$7</f>
        <v>0</v>
      </c>
      <c r="M55" s="118" t="e">
        <f>'Input data'!B85*'Baseline data (from input)'!E40*'Input data'!Q85*'4C2 Open-burning '!B55*'4C2 Open-burning '!#REF!*'4C2 Open-burning '!$C$5*'4C2 Open-burning '!$C$6*'4C2 Open-burning '!$C$7</f>
        <v>#REF!</v>
      </c>
      <c r="N55" s="118" t="e">
        <f>'Input data'!B85*'Baseline data (from input)'!E40*'Input data'!R85*'4C2 Open-burning '!B55*'4C2 Open-burning '!#REF!*'4C2 Open-burning '!$C$5*'4C2 Open-burning '!$C$6*'4C2 Open-burning '!$C$7</f>
        <v>#REF!</v>
      </c>
      <c r="O55" s="118" t="e">
        <f>'Input data'!B85*'Baseline data (from input)'!E40*'Input data'!S85*'4C2 Open-burning '!B55*'4C2 Open-burning '!#REF!*'4C2 Open-burning '!$C$5*'4C2 Open-burning '!$C$6*'4C2 Open-burning '!$C$7</f>
        <v>#REF!</v>
      </c>
      <c r="P55" s="118" t="e">
        <f>'Input data'!B85*'Baseline data (from input)'!E40*'Input data'!T85*'4C2 Open-burning '!B55*'4C2 Open-burning '!#REF!*'4C2 Open-burning '!$C$5*'4C2 Open-burning '!$C$6*'4C2 Open-burning '!$C$7</f>
        <v>#REF!</v>
      </c>
      <c r="Q55" s="118" t="e">
        <f>'Input data'!B85*'Baseline data (from input)'!E40*'Input data'!#REF!*'4C2 Open-burning '!B55*'4C2 Open-burning '!#REF!*'4C2 Open-burning '!$C$5*'4C2 Open-burning '!$C$6*'4C2 Open-burning '!$C$7</f>
        <v>#REF!</v>
      </c>
      <c r="R55" s="119" t="e">
        <f t="shared" si="0"/>
        <v>#REF!</v>
      </c>
      <c r="S55" s="117">
        <f>B55*'Input data'!B85*'Baseline data (from input)'!E40*'Input data'!O85*'4C2 Open-burning '!$C$9*'4C2 Open-burning '!$C$11*$C$5</f>
        <v>0</v>
      </c>
      <c r="T55" s="118">
        <f>B55*'Input data'!B85*'Baseline data (from input)'!E40*'Input data'!P85*'4C2 Open-burning '!$C$9*'4C2 Open-burning '!$C$11*$C$5</f>
        <v>0</v>
      </c>
      <c r="U55" s="118">
        <f>B55*'Input data'!B85*'Baseline data (from input)'!E40*'Input data'!Q85*'4C2 Open-burning '!$C$9*'4C2 Open-burning '!$C$11*$C$5</f>
        <v>0</v>
      </c>
      <c r="V55" s="118">
        <f>B55*'Input data'!B85*'Baseline data (from input)'!E40*'Input data'!R85*'4C2 Open-burning '!$C$9*'4C2 Open-burning '!$C$11*$C$5</f>
        <v>0</v>
      </c>
      <c r="W55" s="118">
        <f>B55*'Input data'!B85*'Baseline data (from input)'!E40*'Input data'!S85*'4C2 Open-burning '!$C$9*'4C2 Open-burning '!$C$11*$C$5</f>
        <v>0</v>
      </c>
      <c r="X55" s="118">
        <f>B55*'Input data'!B85*'Baseline data (from input)'!E40*'Input data'!T85*'4C2 Open-burning '!$C$9*'4C2 Open-burning '!$C$11*$C$5</f>
        <v>0</v>
      </c>
      <c r="Y55" s="118" t="e">
        <f>B55*'Input data'!B85*'Baseline data (from input)'!E40*'Input data'!#REF!*'4C2 Open-burning '!$C$9*'4C2 Open-burning '!$C$11*$C$5</f>
        <v>#REF!</v>
      </c>
      <c r="Z55" s="119" t="e">
        <f t="shared" si="1"/>
        <v>#REF!</v>
      </c>
      <c r="AA55" s="117">
        <f>B55*'Input data'!B85*'Baseline data (from input)'!E40*'Input data'!O85*'4C2 Open-burning '!$C$10*'4C2 Open-burning '!$C$11*$C$5</f>
        <v>0</v>
      </c>
      <c r="AB55" s="118">
        <f>B55*'Input data'!B85*'Baseline data (from input)'!E40*'Input data'!P85*'4C2 Open-burning '!$C$10*'4C2 Open-burning '!$C$11*$C$5</f>
        <v>0</v>
      </c>
      <c r="AC55" s="118">
        <f>B55*'Input data'!B85*'Baseline data (from input)'!E40*'Input data'!Q85*'4C2 Open-burning '!$C$10*'4C2 Open-burning '!$C$11*$C$5</f>
        <v>0</v>
      </c>
      <c r="AD55" s="118">
        <f>B55*'Input data'!B85*'Baseline data (from input)'!E40*'Input data'!R85*'4C2 Open-burning '!$C$10*'4C2 Open-burning '!$C$11*$C$5</f>
        <v>0</v>
      </c>
      <c r="AE55" s="118">
        <f>B55*'Input data'!B85*'Baseline data (from input)'!E40*'Input data'!S85*'4C2 Open-burning '!$C$10*'4C2 Open-burning '!$C$11*$C$5</f>
        <v>0</v>
      </c>
      <c r="AF55" s="118">
        <f>B55*'Input data'!B85*'Baseline data (from input)'!E40*'Input data'!T85*'4C2 Open-burning '!$C$10*'4C2 Open-burning '!$C$11*$C$5</f>
        <v>0</v>
      </c>
      <c r="AG55" s="118" t="e">
        <f>B55*'Input data'!B85*'Baseline data (from input)'!E40*'Input data'!#REF!*'4C2 Open-burning '!$C$10*'4C2 Open-burning '!$C$11*$C$5</f>
        <v>#REF!</v>
      </c>
      <c r="AH55" s="119" t="e">
        <f t="shared" si="2"/>
        <v>#REF!</v>
      </c>
      <c r="AI55" s="1388"/>
      <c r="AJ55" s="1388"/>
      <c r="AK55" s="1388"/>
      <c r="AQ55" s="99"/>
      <c r="AR55" s="99"/>
      <c r="AS55" s="99"/>
    </row>
    <row r="56" spans="1:45" ht="15" hidden="1" customHeight="1" thickBot="1">
      <c r="A56" s="466">
        <f>'Input data'!A86</f>
        <v>1986</v>
      </c>
      <c r="B56" s="122">
        <f>'Baseline data (from input)'!G42</f>
        <v>0</v>
      </c>
      <c r="C56" s="523">
        <f>'Baseline data (from input)'!C42*'Baseline data (from input)'!D42</f>
        <v>3365.081231392579</v>
      </c>
      <c r="D56" s="529">
        <f>'Baseline data (from input)'!C42*'Baseline data (from input)'!E42</f>
        <v>4497.3622340976717</v>
      </c>
      <c r="E56" s="529">
        <f>'Baseline data (from input)'!C42*'Baseline data (from input)'!F42</f>
        <v>1509.4131636038906</v>
      </c>
      <c r="F56" s="529">
        <f>'Baseline data (from input)'!C42*'Baseline data (from input)'!G42</f>
        <v>0</v>
      </c>
      <c r="G56" s="529">
        <f>'Baseline data (from input)'!C42*'Baseline data (from input)'!H42</f>
        <v>0</v>
      </c>
      <c r="H56" s="529">
        <f>'Baseline data (from input)'!H42*'Baseline data (from input)'!I42</f>
        <v>0</v>
      </c>
      <c r="I56" s="529">
        <f>'Baseline data (from input)'!C42*'Baseline data (from input)'!J42</f>
        <v>7544.4849312058614</v>
      </c>
      <c r="J56" s="935">
        <f t="shared" si="3"/>
        <v>16916.341560300003</v>
      </c>
      <c r="K56" s="117">
        <f>'Input data'!B86*'Baseline data (from input)'!E41*'Input data'!O86*'4C2 Open-burning '!B56*'4C2 Open-burning '!$C$14*'4C2 Open-burning '!$C$5*'4C2 Open-burning '!$C$6*'4C2 Open-burning '!$C$7</f>
        <v>0</v>
      </c>
      <c r="L56" s="118">
        <f>'Input data'!B86*'Baseline data (from input)'!E41*'Input data'!P86*'4C2 Open-burning '!B56*'4C2 Open-burning '!$C$15*'4C2 Open-burning '!$C$5*'4C2 Open-burning '!$C$6*'4C2 Open-burning '!$C$7</f>
        <v>0</v>
      </c>
      <c r="M56" s="118" t="e">
        <f>'Input data'!B86*'Baseline data (from input)'!E41*'Input data'!Q86*'4C2 Open-burning '!B56*'4C2 Open-burning '!#REF!*'4C2 Open-burning '!$C$5*'4C2 Open-burning '!$C$6*'4C2 Open-burning '!$C$7</f>
        <v>#REF!</v>
      </c>
      <c r="N56" s="118" t="e">
        <f>'Input data'!B86*'Baseline data (from input)'!E41*'Input data'!R86*'4C2 Open-burning '!B56*'4C2 Open-burning '!#REF!*'4C2 Open-burning '!$C$5*'4C2 Open-burning '!$C$6*'4C2 Open-burning '!$C$7</f>
        <v>#REF!</v>
      </c>
      <c r="O56" s="118" t="e">
        <f>'Input data'!B86*'Baseline data (from input)'!E41*'Input data'!S86*'4C2 Open-burning '!B56*'4C2 Open-burning '!#REF!*'4C2 Open-burning '!$C$5*'4C2 Open-burning '!$C$6*'4C2 Open-burning '!$C$7</f>
        <v>#REF!</v>
      </c>
      <c r="P56" s="118" t="e">
        <f>'Input data'!B86*'Baseline data (from input)'!E41*'Input data'!T86*'4C2 Open-burning '!B56*'4C2 Open-burning '!#REF!*'4C2 Open-burning '!$C$5*'4C2 Open-burning '!$C$6*'4C2 Open-burning '!$C$7</f>
        <v>#REF!</v>
      </c>
      <c r="Q56" s="118" t="e">
        <f>'Input data'!B86*'Baseline data (from input)'!E41*'Input data'!#REF!*'4C2 Open-burning '!B56*'4C2 Open-burning '!#REF!*'4C2 Open-burning '!$C$5*'4C2 Open-burning '!$C$6*'4C2 Open-burning '!$C$7</f>
        <v>#REF!</v>
      </c>
      <c r="R56" s="119" t="e">
        <f t="shared" si="0"/>
        <v>#REF!</v>
      </c>
      <c r="S56" s="117">
        <f>B56*'Input data'!B86*'Baseline data (from input)'!E41*'Input data'!O86*'4C2 Open-burning '!$C$9*'4C2 Open-burning '!$C$11*$C$5</f>
        <v>0</v>
      </c>
      <c r="T56" s="118">
        <f>B56*'Input data'!B86*'Baseline data (from input)'!E41*'Input data'!P86*'4C2 Open-burning '!$C$9*'4C2 Open-burning '!$C$11*$C$5</f>
        <v>0</v>
      </c>
      <c r="U56" s="118">
        <f>B56*'Input data'!B86*'Baseline data (from input)'!E41*'Input data'!Q86*'4C2 Open-burning '!$C$9*'4C2 Open-burning '!$C$11*$C$5</f>
        <v>0</v>
      </c>
      <c r="V56" s="118">
        <f>B56*'Input data'!B86*'Baseline data (from input)'!E41*'Input data'!R86*'4C2 Open-burning '!$C$9*'4C2 Open-burning '!$C$11*$C$5</f>
        <v>0</v>
      </c>
      <c r="W56" s="118">
        <f>B56*'Input data'!B86*'Baseline data (from input)'!E41*'Input data'!S86*'4C2 Open-burning '!$C$9*'4C2 Open-burning '!$C$11*$C$5</f>
        <v>0</v>
      </c>
      <c r="X56" s="118">
        <f>B56*'Input data'!B86*'Baseline data (from input)'!E41*'Input data'!T86*'4C2 Open-burning '!$C$9*'4C2 Open-burning '!$C$11*$C$5</f>
        <v>0</v>
      </c>
      <c r="Y56" s="118" t="e">
        <f>B56*'Input data'!B86*'Baseline data (from input)'!E41*'Input data'!#REF!*'4C2 Open-burning '!$C$9*'4C2 Open-burning '!$C$11*$C$5</f>
        <v>#REF!</v>
      </c>
      <c r="Z56" s="119" t="e">
        <f t="shared" si="1"/>
        <v>#REF!</v>
      </c>
      <c r="AA56" s="117">
        <f>B56*'Input data'!B86*'Baseline data (from input)'!E41*'Input data'!O86*'4C2 Open-burning '!$C$10*'4C2 Open-burning '!$C$11*$C$5</f>
        <v>0</v>
      </c>
      <c r="AB56" s="118">
        <f>B56*'Input data'!B86*'Baseline data (from input)'!E41*'Input data'!P86*'4C2 Open-burning '!$C$10*'4C2 Open-burning '!$C$11*$C$5</f>
        <v>0</v>
      </c>
      <c r="AC56" s="118">
        <f>B56*'Input data'!B86*'Baseline data (from input)'!E41*'Input data'!Q86*'4C2 Open-burning '!$C$10*'4C2 Open-burning '!$C$11*$C$5</f>
        <v>0</v>
      </c>
      <c r="AD56" s="118">
        <f>B56*'Input data'!B86*'Baseline data (from input)'!E41*'Input data'!R86*'4C2 Open-burning '!$C$10*'4C2 Open-burning '!$C$11*$C$5</f>
        <v>0</v>
      </c>
      <c r="AE56" s="118">
        <f>B56*'Input data'!B86*'Baseline data (from input)'!E41*'Input data'!S86*'4C2 Open-burning '!$C$10*'4C2 Open-burning '!$C$11*$C$5</f>
        <v>0</v>
      </c>
      <c r="AF56" s="118">
        <f>B56*'Input data'!B86*'Baseline data (from input)'!E41*'Input data'!T86*'4C2 Open-burning '!$C$10*'4C2 Open-burning '!$C$11*$C$5</f>
        <v>0</v>
      </c>
      <c r="AG56" s="118" t="e">
        <f>B56*'Input data'!B86*'Baseline data (from input)'!E41*'Input data'!#REF!*'4C2 Open-burning '!$C$10*'4C2 Open-burning '!$C$11*$C$5</f>
        <v>#REF!</v>
      </c>
      <c r="AH56" s="119" t="e">
        <f t="shared" si="2"/>
        <v>#REF!</v>
      </c>
      <c r="AI56" s="1388"/>
      <c r="AJ56" s="1388"/>
      <c r="AK56" s="1388"/>
      <c r="AQ56" s="99"/>
      <c r="AR56" s="99"/>
      <c r="AS56" s="99"/>
    </row>
    <row r="57" spans="1:45" ht="15" hidden="1" customHeight="1" thickBot="1">
      <c r="A57" s="466">
        <f>'Input data'!A87</f>
        <v>1987</v>
      </c>
      <c r="B57" s="122">
        <f>'Baseline data (from input)'!G43</f>
        <v>0</v>
      </c>
      <c r="C57" s="523">
        <f>'Baseline data (from input)'!C43*'Baseline data (from input)'!D43</f>
        <v>3450.1485070032622</v>
      </c>
      <c r="D57" s="529">
        <f>'Baseline data (from input)'!C43*'Baseline data (from input)'!E43</f>
        <v>4611.0529079274811</v>
      </c>
      <c r="E57" s="529">
        <f>'Baseline data (from input)'!C43*'Baseline data (from input)'!F43</f>
        <v>1547.5702411807517</v>
      </c>
      <c r="F57" s="529">
        <f>'Baseline data (from input)'!C43*'Baseline data (from input)'!G43</f>
        <v>0</v>
      </c>
      <c r="G57" s="529">
        <f>'Baseline data (from input)'!C43*'Baseline data (from input)'!H43</f>
        <v>0</v>
      </c>
      <c r="H57" s="529">
        <f>'Baseline data (from input)'!H43*'Baseline data (from input)'!I43</f>
        <v>0</v>
      </c>
      <c r="I57" s="529">
        <f>'Baseline data (from input)'!C43*'Baseline data (from input)'!J43</f>
        <v>7735.2050757885063</v>
      </c>
      <c r="J57" s="935">
        <f t="shared" si="3"/>
        <v>17343.976731900002</v>
      </c>
      <c r="K57" s="117">
        <f>'Input data'!B87*'Baseline data (from input)'!E42*'Input data'!O87*'4C2 Open-burning '!B57*'4C2 Open-burning '!$C$14*'4C2 Open-burning '!$C$5*'4C2 Open-burning '!$C$6*'4C2 Open-burning '!$C$7</f>
        <v>0</v>
      </c>
      <c r="L57" s="118">
        <f>'Input data'!B87*'Baseline data (from input)'!E42*'Input data'!P87*'4C2 Open-burning '!B57*'4C2 Open-burning '!$C$15*'4C2 Open-burning '!$C$5*'4C2 Open-burning '!$C$6*'4C2 Open-burning '!$C$7</f>
        <v>0</v>
      </c>
      <c r="M57" s="118" t="e">
        <f>'Input data'!B87*'Baseline data (from input)'!E42*'Input data'!Q87*'4C2 Open-burning '!B57*'4C2 Open-burning '!#REF!*'4C2 Open-burning '!$C$5*'4C2 Open-burning '!$C$6*'4C2 Open-burning '!$C$7</f>
        <v>#REF!</v>
      </c>
      <c r="N57" s="118" t="e">
        <f>'Input data'!B87*'Baseline data (from input)'!E42*'Input data'!R87*'4C2 Open-burning '!B57*'4C2 Open-burning '!#REF!*'4C2 Open-burning '!$C$5*'4C2 Open-burning '!$C$6*'4C2 Open-burning '!$C$7</f>
        <v>#REF!</v>
      </c>
      <c r="O57" s="118" t="e">
        <f>'Input data'!B87*'Baseline data (from input)'!E42*'Input data'!S87*'4C2 Open-burning '!B57*'4C2 Open-burning '!#REF!*'4C2 Open-burning '!$C$5*'4C2 Open-burning '!$C$6*'4C2 Open-burning '!$C$7</f>
        <v>#REF!</v>
      </c>
      <c r="P57" s="118" t="e">
        <f>'Input data'!B87*'Baseline data (from input)'!E42*'Input data'!T87*'4C2 Open-burning '!B57*'4C2 Open-burning '!#REF!*'4C2 Open-burning '!$C$5*'4C2 Open-burning '!$C$6*'4C2 Open-burning '!$C$7</f>
        <v>#REF!</v>
      </c>
      <c r="Q57" s="118" t="e">
        <f>'Input data'!B87*'Baseline data (from input)'!E42*'Input data'!#REF!*'4C2 Open-burning '!B57*'4C2 Open-burning '!#REF!*'4C2 Open-burning '!$C$5*'4C2 Open-burning '!$C$6*'4C2 Open-burning '!$C$7</f>
        <v>#REF!</v>
      </c>
      <c r="R57" s="119" t="e">
        <f t="shared" si="0"/>
        <v>#REF!</v>
      </c>
      <c r="S57" s="117">
        <f>B57*'Input data'!B87*'Baseline data (from input)'!E42*'Input data'!O87*'4C2 Open-burning '!$C$9*'4C2 Open-burning '!$C$11*$C$5</f>
        <v>0</v>
      </c>
      <c r="T57" s="118">
        <f>B57*'Input data'!B87*'Baseline data (from input)'!E42*'Input data'!P87*'4C2 Open-burning '!$C$9*'4C2 Open-burning '!$C$11*$C$5</f>
        <v>0</v>
      </c>
      <c r="U57" s="118">
        <f>B57*'Input data'!B87*'Baseline data (from input)'!E42*'Input data'!Q87*'4C2 Open-burning '!$C$9*'4C2 Open-burning '!$C$11*$C$5</f>
        <v>0</v>
      </c>
      <c r="V57" s="118">
        <f>B57*'Input data'!B87*'Baseline data (from input)'!E42*'Input data'!R87*'4C2 Open-burning '!$C$9*'4C2 Open-burning '!$C$11*$C$5</f>
        <v>0</v>
      </c>
      <c r="W57" s="118">
        <f>B57*'Input data'!B87*'Baseline data (from input)'!E42*'Input data'!S87*'4C2 Open-burning '!$C$9*'4C2 Open-burning '!$C$11*$C$5</f>
        <v>0</v>
      </c>
      <c r="X57" s="118">
        <f>B57*'Input data'!B87*'Baseline data (from input)'!E42*'Input data'!T87*'4C2 Open-burning '!$C$9*'4C2 Open-burning '!$C$11*$C$5</f>
        <v>0</v>
      </c>
      <c r="Y57" s="118" t="e">
        <f>B57*'Input data'!B87*'Baseline data (from input)'!E42*'Input data'!#REF!*'4C2 Open-burning '!$C$9*'4C2 Open-burning '!$C$11*$C$5</f>
        <v>#REF!</v>
      </c>
      <c r="Z57" s="119" t="e">
        <f t="shared" si="1"/>
        <v>#REF!</v>
      </c>
      <c r="AA57" s="117">
        <f>B57*'Input data'!B87*'Baseline data (from input)'!E42*'Input data'!O87*'4C2 Open-burning '!$C$10*'4C2 Open-burning '!$C$11*$C$5</f>
        <v>0</v>
      </c>
      <c r="AB57" s="118">
        <f>B57*'Input data'!B87*'Baseline data (from input)'!E42*'Input data'!P87*'4C2 Open-burning '!$C$10*'4C2 Open-burning '!$C$11*$C$5</f>
        <v>0</v>
      </c>
      <c r="AC57" s="118">
        <f>B57*'Input data'!B87*'Baseline data (from input)'!E42*'Input data'!Q87*'4C2 Open-burning '!$C$10*'4C2 Open-burning '!$C$11*$C$5</f>
        <v>0</v>
      </c>
      <c r="AD57" s="118">
        <f>B57*'Input data'!B87*'Baseline data (from input)'!E42*'Input data'!R87*'4C2 Open-burning '!$C$10*'4C2 Open-burning '!$C$11*$C$5</f>
        <v>0</v>
      </c>
      <c r="AE57" s="118">
        <f>B57*'Input data'!B87*'Baseline data (from input)'!E42*'Input data'!S87*'4C2 Open-burning '!$C$10*'4C2 Open-burning '!$C$11*$C$5</f>
        <v>0</v>
      </c>
      <c r="AF57" s="118">
        <f>B57*'Input data'!B87*'Baseline data (from input)'!E42*'Input data'!T87*'4C2 Open-burning '!$C$10*'4C2 Open-burning '!$C$11*$C$5</f>
        <v>0</v>
      </c>
      <c r="AG57" s="118" t="e">
        <f>B57*'Input data'!B87*'Baseline data (from input)'!E42*'Input data'!#REF!*'4C2 Open-burning '!$C$10*'4C2 Open-burning '!$C$11*$C$5</f>
        <v>#REF!</v>
      </c>
      <c r="AH57" s="119" t="e">
        <f t="shared" si="2"/>
        <v>#REF!</v>
      </c>
      <c r="AI57" s="1388"/>
      <c r="AJ57" s="1388"/>
      <c r="AK57" s="1388"/>
      <c r="AQ57" s="99"/>
      <c r="AR57" s="99"/>
      <c r="AS57" s="99"/>
    </row>
    <row r="58" spans="1:45" ht="15" hidden="1" customHeight="1" thickBot="1">
      <c r="A58" s="466">
        <f>'Input data'!A88</f>
        <v>1988</v>
      </c>
      <c r="B58" s="122">
        <f>'Baseline data (from input)'!G44</f>
        <v>0</v>
      </c>
      <c r="C58" s="523">
        <f>'Baseline data (from input)'!C44*'Baseline data (from input)'!D44</f>
        <v>3533.4348174841662</v>
      </c>
      <c r="D58" s="529">
        <f>'Baseline data (from input)'!C44*'Baseline data (from input)'!E44</f>
        <v>4722.3633582904104</v>
      </c>
      <c r="E58" s="529">
        <f>'Baseline data (from input)'!C44*'Baseline data (from input)'!F44</f>
        <v>1584.928463685191</v>
      </c>
      <c r="F58" s="529">
        <f>'Baseline data (from input)'!C44*'Baseline data (from input)'!G44</f>
        <v>0</v>
      </c>
      <c r="G58" s="529">
        <f>'Baseline data (from input)'!C44*'Baseline data (from input)'!H44</f>
        <v>0</v>
      </c>
      <c r="H58" s="529">
        <f>'Baseline data (from input)'!H44*'Baseline data (from input)'!I44</f>
        <v>0</v>
      </c>
      <c r="I58" s="529">
        <f>'Baseline data (from input)'!C44*'Baseline data (from input)'!J44</f>
        <v>7921.9323109402358</v>
      </c>
      <c r="J58" s="935">
        <f t="shared" si="3"/>
        <v>17762.658950400004</v>
      </c>
      <c r="K58" s="117">
        <f>'Input data'!B88*'Baseline data (from input)'!E43*'Input data'!O88*'4C2 Open-burning '!B58*'4C2 Open-burning '!$C$14*'4C2 Open-burning '!$C$5*'4C2 Open-burning '!$C$6*'4C2 Open-burning '!$C$7</f>
        <v>0</v>
      </c>
      <c r="L58" s="118">
        <f>'Input data'!B88*'Baseline data (from input)'!E43*'Input data'!P88*'4C2 Open-burning '!B58*'4C2 Open-burning '!$C$15*'4C2 Open-burning '!$C$5*'4C2 Open-burning '!$C$6*'4C2 Open-burning '!$C$7</f>
        <v>0</v>
      </c>
      <c r="M58" s="118" t="e">
        <f>'Input data'!B88*'Baseline data (from input)'!E43*'Input data'!Q88*'4C2 Open-burning '!B58*'4C2 Open-burning '!#REF!*'4C2 Open-burning '!$C$5*'4C2 Open-burning '!$C$6*'4C2 Open-burning '!$C$7</f>
        <v>#REF!</v>
      </c>
      <c r="N58" s="118" t="e">
        <f>'Input data'!B88*'Baseline data (from input)'!E43*'Input data'!R88*'4C2 Open-burning '!B58*'4C2 Open-burning '!#REF!*'4C2 Open-burning '!$C$5*'4C2 Open-burning '!$C$6*'4C2 Open-burning '!$C$7</f>
        <v>#REF!</v>
      </c>
      <c r="O58" s="118" t="e">
        <f>'Input data'!B88*'Baseline data (from input)'!E43*'Input data'!S88*'4C2 Open-burning '!B58*'4C2 Open-burning '!#REF!*'4C2 Open-burning '!$C$5*'4C2 Open-burning '!$C$6*'4C2 Open-burning '!$C$7</f>
        <v>#REF!</v>
      </c>
      <c r="P58" s="118" t="e">
        <f>'Input data'!B88*'Baseline data (from input)'!E43*'Input data'!T88*'4C2 Open-burning '!B58*'4C2 Open-burning '!#REF!*'4C2 Open-burning '!$C$5*'4C2 Open-burning '!$C$6*'4C2 Open-burning '!$C$7</f>
        <v>#REF!</v>
      </c>
      <c r="Q58" s="118" t="e">
        <f>'Input data'!B88*'Baseline data (from input)'!E43*'Input data'!#REF!*'4C2 Open-burning '!B58*'4C2 Open-burning '!#REF!*'4C2 Open-burning '!$C$5*'4C2 Open-burning '!$C$6*'4C2 Open-burning '!$C$7</f>
        <v>#REF!</v>
      </c>
      <c r="R58" s="119" t="e">
        <f t="shared" si="0"/>
        <v>#REF!</v>
      </c>
      <c r="S58" s="117">
        <f>B58*'Input data'!B88*'Baseline data (from input)'!E43*'Input data'!O88*'4C2 Open-burning '!$C$9*'4C2 Open-burning '!$C$11*$C$5</f>
        <v>0</v>
      </c>
      <c r="T58" s="118">
        <f>B58*'Input data'!B88*'Baseline data (from input)'!E43*'Input data'!P88*'4C2 Open-burning '!$C$9*'4C2 Open-burning '!$C$11*$C$5</f>
        <v>0</v>
      </c>
      <c r="U58" s="118">
        <f>B58*'Input data'!B88*'Baseline data (from input)'!E43*'Input data'!Q88*'4C2 Open-burning '!$C$9*'4C2 Open-burning '!$C$11*$C$5</f>
        <v>0</v>
      </c>
      <c r="V58" s="118">
        <f>B58*'Input data'!B88*'Baseline data (from input)'!E43*'Input data'!R88*'4C2 Open-burning '!$C$9*'4C2 Open-burning '!$C$11*$C$5</f>
        <v>0</v>
      </c>
      <c r="W58" s="118">
        <f>B58*'Input data'!B88*'Baseline data (from input)'!E43*'Input data'!S88*'4C2 Open-burning '!$C$9*'4C2 Open-burning '!$C$11*$C$5</f>
        <v>0</v>
      </c>
      <c r="X58" s="118">
        <f>B58*'Input data'!B88*'Baseline data (from input)'!E43*'Input data'!T88*'4C2 Open-burning '!$C$9*'4C2 Open-burning '!$C$11*$C$5</f>
        <v>0</v>
      </c>
      <c r="Y58" s="118" t="e">
        <f>B58*'Input data'!B88*'Baseline data (from input)'!E43*'Input data'!#REF!*'4C2 Open-burning '!$C$9*'4C2 Open-burning '!$C$11*$C$5</f>
        <v>#REF!</v>
      </c>
      <c r="Z58" s="119" t="e">
        <f t="shared" si="1"/>
        <v>#REF!</v>
      </c>
      <c r="AA58" s="117">
        <f>B58*'Input data'!B88*'Baseline data (from input)'!E43*'Input data'!O88*'4C2 Open-burning '!$C$10*'4C2 Open-burning '!$C$11*$C$5</f>
        <v>0</v>
      </c>
      <c r="AB58" s="118">
        <f>B58*'Input data'!B88*'Baseline data (from input)'!E43*'Input data'!P88*'4C2 Open-burning '!$C$10*'4C2 Open-burning '!$C$11*$C$5</f>
        <v>0</v>
      </c>
      <c r="AC58" s="118">
        <f>B58*'Input data'!B88*'Baseline data (from input)'!E43*'Input data'!Q88*'4C2 Open-burning '!$C$10*'4C2 Open-burning '!$C$11*$C$5</f>
        <v>0</v>
      </c>
      <c r="AD58" s="118">
        <f>B58*'Input data'!B88*'Baseline data (from input)'!E43*'Input data'!R88*'4C2 Open-burning '!$C$10*'4C2 Open-burning '!$C$11*$C$5</f>
        <v>0</v>
      </c>
      <c r="AE58" s="118">
        <f>B58*'Input data'!B88*'Baseline data (from input)'!E43*'Input data'!S88*'4C2 Open-burning '!$C$10*'4C2 Open-burning '!$C$11*$C$5</f>
        <v>0</v>
      </c>
      <c r="AF58" s="118">
        <f>B58*'Input data'!B88*'Baseline data (from input)'!E43*'Input data'!T88*'4C2 Open-burning '!$C$10*'4C2 Open-burning '!$C$11*$C$5</f>
        <v>0</v>
      </c>
      <c r="AG58" s="118" t="e">
        <f>B58*'Input data'!B88*'Baseline data (from input)'!E43*'Input data'!#REF!*'4C2 Open-burning '!$C$10*'4C2 Open-burning '!$C$11*$C$5</f>
        <v>#REF!</v>
      </c>
      <c r="AH58" s="119" t="e">
        <f t="shared" si="2"/>
        <v>#REF!</v>
      </c>
      <c r="AI58" s="1388"/>
      <c r="AJ58" s="1388"/>
      <c r="AK58" s="1388"/>
      <c r="AQ58" s="99"/>
      <c r="AR58" s="99"/>
      <c r="AS58" s="99"/>
    </row>
    <row r="59" spans="1:45" ht="15" hidden="1" customHeight="1" thickBot="1">
      <c r="A59" s="466">
        <f>'Input data'!A89</f>
        <v>1989</v>
      </c>
      <c r="B59" s="122">
        <f>'Baseline data (from input)'!G45</f>
        <v>0</v>
      </c>
      <c r="C59" s="523">
        <f>'Baseline data (from input)'!C45*'Baseline data (from input)'!D45</f>
        <v>3613.3687230148944</v>
      </c>
      <c r="D59" s="529">
        <f>'Baseline data (from input)'!C45*'Baseline data (from input)'!E45</f>
        <v>4829.1933880097995</v>
      </c>
      <c r="E59" s="529">
        <f>'Baseline data (from input)'!C45*'Baseline data (from input)'!F45</f>
        <v>1620.7829589944829</v>
      </c>
      <c r="F59" s="529">
        <f>'Baseline data (from input)'!C45*'Baseline data (from input)'!G45</f>
        <v>0</v>
      </c>
      <c r="G59" s="529">
        <f>'Baseline data (from input)'!C45*'Baseline data (from input)'!H45</f>
        <v>0</v>
      </c>
      <c r="H59" s="529">
        <f>'Baseline data (from input)'!H45*'Baseline data (from input)'!I45</f>
        <v>0</v>
      </c>
      <c r="I59" s="529">
        <f>'Baseline data (from input)'!C45*'Baseline data (from input)'!J45</f>
        <v>8101.1434812808238</v>
      </c>
      <c r="J59" s="935">
        <f t="shared" si="3"/>
        <v>18164.488551300001</v>
      </c>
      <c r="K59" s="117">
        <f>'Input data'!B89*'Baseline data (from input)'!E44*'Input data'!O89*'4C2 Open-burning '!B59*'4C2 Open-burning '!$C$14*'4C2 Open-burning '!$C$5*'4C2 Open-burning '!$C$6*'4C2 Open-burning '!$C$7</f>
        <v>0</v>
      </c>
      <c r="L59" s="118">
        <f>'Input data'!B89*'Baseline data (from input)'!E44*'Input data'!P89*'4C2 Open-burning '!B59*'4C2 Open-burning '!$C$15*'4C2 Open-burning '!$C$5*'4C2 Open-burning '!$C$6*'4C2 Open-burning '!$C$7</f>
        <v>0</v>
      </c>
      <c r="M59" s="118" t="e">
        <f>'Input data'!B89*'Baseline data (from input)'!E44*'Input data'!Q89*'4C2 Open-burning '!B59*'4C2 Open-burning '!#REF!*'4C2 Open-burning '!$C$5*'4C2 Open-burning '!$C$6*'4C2 Open-burning '!$C$7</f>
        <v>#REF!</v>
      </c>
      <c r="N59" s="118" t="e">
        <f>'Input data'!B89*'Baseline data (from input)'!E44*'Input data'!R89*'4C2 Open-burning '!B59*'4C2 Open-burning '!#REF!*'4C2 Open-burning '!$C$5*'4C2 Open-burning '!$C$6*'4C2 Open-burning '!$C$7</f>
        <v>#REF!</v>
      </c>
      <c r="O59" s="118" t="e">
        <f>'Input data'!B89*'Baseline data (from input)'!E44*'Input data'!S89*'4C2 Open-burning '!B59*'4C2 Open-burning '!#REF!*'4C2 Open-burning '!$C$5*'4C2 Open-burning '!$C$6*'4C2 Open-burning '!$C$7</f>
        <v>#REF!</v>
      </c>
      <c r="P59" s="118" t="e">
        <f>'Input data'!B89*'Baseline data (from input)'!E44*'Input data'!T89*'4C2 Open-burning '!B59*'4C2 Open-burning '!#REF!*'4C2 Open-burning '!$C$5*'4C2 Open-burning '!$C$6*'4C2 Open-burning '!$C$7</f>
        <v>#REF!</v>
      </c>
      <c r="Q59" s="118" t="e">
        <f>'Input data'!B89*'Baseline data (from input)'!E44*'Input data'!#REF!*'4C2 Open-burning '!B59*'4C2 Open-burning '!#REF!*'4C2 Open-burning '!$C$5*'4C2 Open-burning '!$C$6*'4C2 Open-burning '!$C$7</f>
        <v>#REF!</v>
      </c>
      <c r="R59" s="119" t="e">
        <f t="shared" si="0"/>
        <v>#REF!</v>
      </c>
      <c r="S59" s="117">
        <f>B59*'Input data'!B89*'Baseline data (from input)'!E44*'Input data'!O89*'4C2 Open-burning '!$C$9*'4C2 Open-burning '!$C$11*$C$5</f>
        <v>0</v>
      </c>
      <c r="T59" s="118">
        <f>B59*'Input data'!B89*'Baseline data (from input)'!E44*'Input data'!P89*'4C2 Open-burning '!$C$9*'4C2 Open-burning '!$C$11*$C$5</f>
        <v>0</v>
      </c>
      <c r="U59" s="118">
        <f>B59*'Input data'!B89*'Baseline data (from input)'!E44*'Input data'!Q89*'4C2 Open-burning '!$C$9*'4C2 Open-burning '!$C$11*$C$5</f>
        <v>0</v>
      </c>
      <c r="V59" s="118">
        <f>B59*'Input data'!B89*'Baseline data (from input)'!E44*'Input data'!R89*'4C2 Open-burning '!$C$9*'4C2 Open-burning '!$C$11*$C$5</f>
        <v>0</v>
      </c>
      <c r="W59" s="118">
        <f>B59*'Input data'!B89*'Baseline data (from input)'!E44*'Input data'!S89*'4C2 Open-burning '!$C$9*'4C2 Open-burning '!$C$11*$C$5</f>
        <v>0</v>
      </c>
      <c r="X59" s="118">
        <f>B59*'Input data'!B89*'Baseline data (from input)'!E44*'Input data'!T89*'4C2 Open-burning '!$C$9*'4C2 Open-burning '!$C$11*$C$5</f>
        <v>0</v>
      </c>
      <c r="Y59" s="118" t="e">
        <f>B59*'Input data'!B89*'Baseline data (from input)'!E44*'Input data'!#REF!*'4C2 Open-burning '!$C$9*'4C2 Open-burning '!$C$11*$C$5</f>
        <v>#REF!</v>
      </c>
      <c r="Z59" s="119" t="e">
        <f t="shared" si="1"/>
        <v>#REF!</v>
      </c>
      <c r="AA59" s="117">
        <f>B59*'Input data'!B89*'Baseline data (from input)'!E44*'Input data'!O89*'4C2 Open-burning '!$C$10*'4C2 Open-burning '!$C$11*$C$5</f>
        <v>0</v>
      </c>
      <c r="AB59" s="118">
        <f>B59*'Input data'!B89*'Baseline data (from input)'!E44*'Input data'!P89*'4C2 Open-burning '!$C$10*'4C2 Open-burning '!$C$11*$C$5</f>
        <v>0</v>
      </c>
      <c r="AC59" s="118">
        <f>B59*'Input data'!B89*'Baseline data (from input)'!E44*'Input data'!Q89*'4C2 Open-burning '!$C$10*'4C2 Open-burning '!$C$11*$C$5</f>
        <v>0</v>
      </c>
      <c r="AD59" s="118">
        <f>B59*'Input data'!B89*'Baseline data (from input)'!E44*'Input data'!R89*'4C2 Open-burning '!$C$10*'4C2 Open-burning '!$C$11*$C$5</f>
        <v>0</v>
      </c>
      <c r="AE59" s="118">
        <f>B59*'Input data'!B89*'Baseline data (from input)'!E44*'Input data'!S89*'4C2 Open-burning '!$C$10*'4C2 Open-burning '!$C$11*$C$5</f>
        <v>0</v>
      </c>
      <c r="AF59" s="118">
        <f>B59*'Input data'!B89*'Baseline data (from input)'!E44*'Input data'!T89*'4C2 Open-burning '!$C$10*'4C2 Open-burning '!$C$11*$C$5</f>
        <v>0</v>
      </c>
      <c r="AG59" s="118" t="e">
        <f>B59*'Input data'!B89*'Baseline data (from input)'!E44*'Input data'!#REF!*'4C2 Open-burning '!$C$10*'4C2 Open-burning '!$C$11*$C$5</f>
        <v>#REF!</v>
      </c>
      <c r="AH59" s="119" t="e">
        <f t="shared" si="2"/>
        <v>#REF!</v>
      </c>
      <c r="AI59" s="1388"/>
      <c r="AJ59" s="1388"/>
      <c r="AK59" s="1388"/>
      <c r="AQ59" s="99"/>
      <c r="AR59" s="99"/>
      <c r="AS59" s="99"/>
    </row>
    <row r="60" spans="1:45" ht="15" hidden="1" customHeight="1" thickBot="1">
      <c r="A60" s="466">
        <f>'Input data'!A90</f>
        <v>1990</v>
      </c>
      <c r="B60" s="122">
        <f>'Baseline data (from input)'!G46</f>
        <v>0</v>
      </c>
      <c r="C60" s="523">
        <f>'Baseline data (from input)'!C46*'Baseline data (from input)'!D46</f>
        <v>3687.6454451922036</v>
      </c>
      <c r="D60" s="529">
        <f>'Baseline data (from input)'!C46*'Baseline data (from input)'!E46</f>
        <v>4928.4627078932181</v>
      </c>
      <c r="E60" s="529">
        <f>'Baseline data (from input)'!C46*'Baseline data (from input)'!F46</f>
        <v>1654.099914661964</v>
      </c>
      <c r="F60" s="529">
        <f>'Baseline data (from input)'!C46*'Baseline data (from input)'!G46</f>
        <v>0</v>
      </c>
      <c r="G60" s="529">
        <f>'Baseline data (from input)'!C46*'Baseline data (from input)'!H46</f>
        <v>0</v>
      </c>
      <c r="H60" s="529">
        <f>'Baseline data (from input)'!H46*'Baseline data (from input)'!I46</f>
        <v>0</v>
      </c>
      <c r="I60" s="529">
        <f>'Baseline data (from input)'!C46*'Baseline data (from input)'!J46</f>
        <v>8267.6712922526167</v>
      </c>
      <c r="J60" s="935">
        <f t="shared" si="3"/>
        <v>18537.879359999999</v>
      </c>
      <c r="K60" s="117">
        <f>'Input data'!B90*'Baseline data (from input)'!E45*'Input data'!O90*'4C2 Open-burning '!B60*'4C2 Open-burning '!$C$14*'4C2 Open-burning '!$C$5*'4C2 Open-burning '!$C$6*'4C2 Open-burning '!$C$7</f>
        <v>0</v>
      </c>
      <c r="L60" s="118">
        <f>'Input data'!B90*'Baseline data (from input)'!E45*'Input data'!P90*'4C2 Open-burning '!B60*'4C2 Open-burning '!$C$15*'4C2 Open-burning '!$C$5*'4C2 Open-burning '!$C$6*'4C2 Open-burning '!$C$7</f>
        <v>0</v>
      </c>
      <c r="M60" s="118" t="e">
        <f>'Input data'!B90*'Baseline data (from input)'!E45*'Input data'!Q90*'4C2 Open-burning '!B60*'4C2 Open-burning '!#REF!*'4C2 Open-burning '!$C$5*'4C2 Open-burning '!$C$6*'4C2 Open-burning '!$C$7</f>
        <v>#REF!</v>
      </c>
      <c r="N60" s="118" t="e">
        <f>'Input data'!B90*'Baseline data (from input)'!E45*'Input data'!R90*'4C2 Open-burning '!B60*'4C2 Open-burning '!#REF!*'4C2 Open-burning '!$C$5*'4C2 Open-burning '!$C$6*'4C2 Open-burning '!$C$7</f>
        <v>#REF!</v>
      </c>
      <c r="O60" s="118" t="e">
        <f>'Input data'!B90*'Baseline data (from input)'!E45*'Input data'!S90*'4C2 Open-burning '!B60*'4C2 Open-burning '!#REF!*'4C2 Open-burning '!$C$5*'4C2 Open-burning '!$C$6*'4C2 Open-burning '!$C$7</f>
        <v>#REF!</v>
      </c>
      <c r="P60" s="118" t="e">
        <f>'Input data'!B90*'Baseline data (from input)'!E45*'Input data'!T90*'4C2 Open-burning '!B60*'4C2 Open-burning '!#REF!*'4C2 Open-burning '!$C$5*'4C2 Open-burning '!$C$6*'4C2 Open-burning '!$C$7</f>
        <v>#REF!</v>
      </c>
      <c r="Q60" s="118" t="e">
        <f>'Input data'!B90*'Baseline data (from input)'!E45*'Input data'!#REF!*'4C2 Open-burning '!B60*'4C2 Open-burning '!#REF!*'4C2 Open-burning '!$C$5*'4C2 Open-burning '!$C$6*'4C2 Open-burning '!$C$7</f>
        <v>#REF!</v>
      </c>
      <c r="R60" s="119" t="e">
        <f t="shared" si="0"/>
        <v>#REF!</v>
      </c>
      <c r="S60" s="117">
        <f>B60*'Input data'!B90*'Baseline data (from input)'!E45*'Input data'!O90*'4C2 Open-burning '!$C$9*'4C2 Open-burning '!$C$11*$C$5</f>
        <v>0</v>
      </c>
      <c r="T60" s="118">
        <f>B60*'Input data'!B90*'Baseline data (from input)'!E45*'Input data'!P90*'4C2 Open-burning '!$C$9*'4C2 Open-burning '!$C$11*$C$5</f>
        <v>0</v>
      </c>
      <c r="U60" s="118">
        <f>B60*'Input data'!B90*'Baseline data (from input)'!E45*'Input data'!Q90*'4C2 Open-burning '!$C$9*'4C2 Open-burning '!$C$11*$C$5</f>
        <v>0</v>
      </c>
      <c r="V60" s="118">
        <f>B60*'Input data'!B90*'Baseline data (from input)'!E45*'Input data'!R90*'4C2 Open-burning '!$C$9*'4C2 Open-burning '!$C$11*$C$5</f>
        <v>0</v>
      </c>
      <c r="W60" s="118">
        <f>B60*'Input data'!B90*'Baseline data (from input)'!E45*'Input data'!S90*'4C2 Open-burning '!$C$9*'4C2 Open-burning '!$C$11*$C$5</f>
        <v>0</v>
      </c>
      <c r="X60" s="118">
        <f>B60*'Input data'!B90*'Baseline data (from input)'!E45*'Input data'!T90*'4C2 Open-burning '!$C$9*'4C2 Open-burning '!$C$11*$C$5</f>
        <v>0</v>
      </c>
      <c r="Y60" s="118" t="e">
        <f>B60*'Input data'!B90*'Baseline data (from input)'!E45*'Input data'!#REF!*'4C2 Open-burning '!$C$9*'4C2 Open-burning '!$C$11*$C$5</f>
        <v>#REF!</v>
      </c>
      <c r="Z60" s="119" t="e">
        <f t="shared" si="1"/>
        <v>#REF!</v>
      </c>
      <c r="AA60" s="117">
        <f>B60*'Input data'!B90*'Baseline data (from input)'!E45*'Input data'!O90*'4C2 Open-burning '!$C$10*'4C2 Open-burning '!$C$11*$C$5</f>
        <v>0</v>
      </c>
      <c r="AB60" s="118">
        <f>B60*'Input data'!B90*'Baseline data (from input)'!E45*'Input data'!P90*'4C2 Open-burning '!$C$10*'4C2 Open-burning '!$C$11*$C$5</f>
        <v>0</v>
      </c>
      <c r="AC60" s="118">
        <f>B60*'Input data'!B90*'Baseline data (from input)'!E45*'Input data'!Q90*'4C2 Open-burning '!$C$10*'4C2 Open-burning '!$C$11*$C$5</f>
        <v>0</v>
      </c>
      <c r="AD60" s="118">
        <f>B60*'Input data'!B90*'Baseline data (from input)'!E45*'Input data'!R90*'4C2 Open-burning '!$C$10*'4C2 Open-burning '!$C$11*$C$5</f>
        <v>0</v>
      </c>
      <c r="AE60" s="118">
        <f>B60*'Input data'!B90*'Baseline data (from input)'!E45*'Input data'!S90*'4C2 Open-burning '!$C$10*'4C2 Open-burning '!$C$11*$C$5</f>
        <v>0</v>
      </c>
      <c r="AF60" s="118">
        <f>B60*'Input data'!B90*'Baseline data (from input)'!E45*'Input data'!T90*'4C2 Open-burning '!$C$10*'4C2 Open-burning '!$C$11*$C$5</f>
        <v>0</v>
      </c>
      <c r="AG60" s="118" t="e">
        <f>B60*'Input data'!B90*'Baseline data (from input)'!E45*'Input data'!#REF!*'4C2 Open-burning '!$C$10*'4C2 Open-burning '!$C$11*$C$5</f>
        <v>#REF!</v>
      </c>
      <c r="AH60" s="119" t="e">
        <f t="shared" si="2"/>
        <v>#REF!</v>
      </c>
      <c r="AI60" s="1388"/>
      <c r="AJ60" s="1388"/>
      <c r="AK60" s="1388"/>
      <c r="AQ60" s="99"/>
      <c r="AR60" s="99"/>
      <c r="AS60" s="99"/>
    </row>
    <row r="61" spans="1:45" ht="15" hidden="1" customHeight="1" thickBot="1">
      <c r="A61" s="466">
        <f>'Input data'!A91</f>
        <v>1991</v>
      </c>
      <c r="B61" s="122">
        <f>'Baseline data (from input)'!G47</f>
        <v>0</v>
      </c>
      <c r="C61" s="523">
        <f>'Baseline data (from input)'!C47*'Baseline data (from input)'!D47</f>
        <v>3764.4364710821433</v>
      </c>
      <c r="D61" s="529">
        <f>'Baseline data (from input)'!C47*'Baseline data (from input)'!E47</f>
        <v>5031.092343259289</v>
      </c>
      <c r="E61" s="529">
        <f>'Baseline data (from input)'!C47*'Baseline data (from input)'!F47</f>
        <v>1688.5446657258053</v>
      </c>
      <c r="F61" s="529">
        <f>'Baseline data (from input)'!C47*'Baseline data (from input)'!G47</f>
        <v>0</v>
      </c>
      <c r="G61" s="529">
        <f>'Baseline data (from input)'!C47*'Baseline data (from input)'!H47</f>
        <v>0</v>
      </c>
      <c r="H61" s="529">
        <f>'Baseline data (from input)'!H47*'Baseline data (from input)'!I47</f>
        <v>0</v>
      </c>
      <c r="I61" s="529">
        <f>'Baseline data (from input)'!C47*'Baseline data (from input)'!J47</f>
        <v>8439.8361518327638</v>
      </c>
      <c r="J61" s="935">
        <f t="shared" si="3"/>
        <v>18923.909631900002</v>
      </c>
      <c r="K61" s="117">
        <f>'Input data'!B91*'Baseline data (from input)'!E46*'Input data'!O91*'4C2 Open-burning '!B61*'4C2 Open-burning '!$C$14*'4C2 Open-burning '!$C$5*'4C2 Open-burning '!$C$6*'4C2 Open-burning '!$C$7</f>
        <v>0</v>
      </c>
      <c r="L61" s="118">
        <f>'Input data'!B91*'Baseline data (from input)'!E46*'Input data'!P91*'4C2 Open-burning '!B61*'4C2 Open-burning '!$C$15*'4C2 Open-burning '!$C$5*'4C2 Open-burning '!$C$6*'4C2 Open-burning '!$C$7</f>
        <v>0</v>
      </c>
      <c r="M61" s="118" t="e">
        <f>'Input data'!B91*'Baseline data (from input)'!E46*'Input data'!Q91*'4C2 Open-burning '!B61*'4C2 Open-burning '!#REF!*'4C2 Open-burning '!$C$5*'4C2 Open-burning '!$C$6*'4C2 Open-burning '!$C$7</f>
        <v>#REF!</v>
      </c>
      <c r="N61" s="118" t="e">
        <f>'Input data'!B91*'Baseline data (from input)'!E46*'Input data'!R91*'4C2 Open-burning '!B61*'4C2 Open-burning '!#REF!*'4C2 Open-burning '!$C$5*'4C2 Open-burning '!$C$6*'4C2 Open-burning '!$C$7</f>
        <v>#REF!</v>
      </c>
      <c r="O61" s="118" t="e">
        <f>'Input data'!B91*'Baseline data (from input)'!E46*'Input data'!S91*'4C2 Open-burning '!B61*'4C2 Open-burning '!#REF!*'4C2 Open-burning '!$C$5*'4C2 Open-burning '!$C$6*'4C2 Open-burning '!$C$7</f>
        <v>#REF!</v>
      </c>
      <c r="P61" s="118" t="e">
        <f>'Input data'!B91*'Baseline data (from input)'!E46*'Input data'!T91*'4C2 Open-burning '!B61*'4C2 Open-burning '!#REF!*'4C2 Open-burning '!$C$5*'4C2 Open-burning '!$C$6*'4C2 Open-burning '!$C$7</f>
        <v>#REF!</v>
      </c>
      <c r="Q61" s="118" t="e">
        <f>'Input data'!B91*'Baseline data (from input)'!E46*'Input data'!#REF!*'4C2 Open-burning '!B61*'4C2 Open-burning '!#REF!*'4C2 Open-burning '!$C$5*'4C2 Open-burning '!$C$6*'4C2 Open-burning '!$C$7</f>
        <v>#REF!</v>
      </c>
      <c r="R61" s="119" t="e">
        <f t="shared" si="0"/>
        <v>#REF!</v>
      </c>
      <c r="S61" s="117">
        <f>B61*'Input data'!B91*'Baseline data (from input)'!E46*'Input data'!O91*'4C2 Open-burning '!$C$9*'4C2 Open-burning '!$C$11*$C$5</f>
        <v>0</v>
      </c>
      <c r="T61" s="118">
        <f>B61*'Input data'!B91*'Baseline data (from input)'!E46*'Input data'!P91*'4C2 Open-burning '!$C$9*'4C2 Open-burning '!$C$11*$C$5</f>
        <v>0</v>
      </c>
      <c r="U61" s="118">
        <f>B61*'Input data'!B91*'Baseline data (from input)'!E46*'Input data'!Q91*'4C2 Open-burning '!$C$9*'4C2 Open-burning '!$C$11*$C$5</f>
        <v>0</v>
      </c>
      <c r="V61" s="118">
        <f>B61*'Input data'!B91*'Baseline data (from input)'!E46*'Input data'!R91*'4C2 Open-burning '!$C$9*'4C2 Open-burning '!$C$11*$C$5</f>
        <v>0</v>
      </c>
      <c r="W61" s="118">
        <f>B61*'Input data'!B91*'Baseline data (from input)'!E46*'Input data'!S91*'4C2 Open-burning '!$C$9*'4C2 Open-burning '!$C$11*$C$5</f>
        <v>0</v>
      </c>
      <c r="X61" s="118">
        <f>B61*'Input data'!B91*'Baseline data (from input)'!E46*'Input data'!T91*'4C2 Open-burning '!$C$9*'4C2 Open-burning '!$C$11*$C$5</f>
        <v>0</v>
      </c>
      <c r="Y61" s="118" t="e">
        <f>B61*'Input data'!B91*'Baseline data (from input)'!E46*'Input data'!#REF!*'4C2 Open-burning '!$C$9*'4C2 Open-burning '!$C$11*$C$5</f>
        <v>#REF!</v>
      </c>
      <c r="Z61" s="119" t="e">
        <f t="shared" si="1"/>
        <v>#REF!</v>
      </c>
      <c r="AA61" s="117">
        <f>B61*'Input data'!B91*'Baseline data (from input)'!E46*'Input data'!O91*'4C2 Open-burning '!$C$10*'4C2 Open-burning '!$C$11*$C$5</f>
        <v>0</v>
      </c>
      <c r="AB61" s="118">
        <f>B61*'Input data'!B91*'Baseline data (from input)'!E46*'Input data'!P91*'4C2 Open-burning '!$C$10*'4C2 Open-burning '!$C$11*$C$5</f>
        <v>0</v>
      </c>
      <c r="AC61" s="118">
        <f>B61*'Input data'!B91*'Baseline data (from input)'!E46*'Input data'!Q91*'4C2 Open-burning '!$C$10*'4C2 Open-burning '!$C$11*$C$5</f>
        <v>0</v>
      </c>
      <c r="AD61" s="118">
        <f>B61*'Input data'!B91*'Baseline data (from input)'!E46*'Input data'!R91*'4C2 Open-burning '!$C$10*'4C2 Open-burning '!$C$11*$C$5</f>
        <v>0</v>
      </c>
      <c r="AE61" s="118">
        <f>B61*'Input data'!B91*'Baseline data (from input)'!E46*'Input data'!S91*'4C2 Open-burning '!$C$10*'4C2 Open-burning '!$C$11*$C$5</f>
        <v>0</v>
      </c>
      <c r="AF61" s="118">
        <f>B61*'Input data'!B91*'Baseline data (from input)'!E46*'Input data'!T91*'4C2 Open-burning '!$C$10*'4C2 Open-burning '!$C$11*$C$5</f>
        <v>0</v>
      </c>
      <c r="AG61" s="118" t="e">
        <f>B61*'Input data'!B91*'Baseline data (from input)'!E46*'Input data'!#REF!*'4C2 Open-burning '!$C$10*'4C2 Open-burning '!$C$11*$C$5</f>
        <v>#REF!</v>
      </c>
      <c r="AH61" s="119" t="e">
        <f t="shared" si="2"/>
        <v>#REF!</v>
      </c>
      <c r="AI61" s="1388"/>
      <c r="AJ61" s="1388"/>
      <c r="AK61" s="1388"/>
      <c r="AQ61" s="99"/>
      <c r="AR61" s="99"/>
      <c r="AS61" s="99"/>
    </row>
    <row r="62" spans="1:45" ht="15" hidden="1" customHeight="1" thickBot="1">
      <c r="A62" s="466">
        <f>'Input data'!A92</f>
        <v>1992</v>
      </c>
      <c r="B62" s="122">
        <f>'Baseline data (from input)'!G48</f>
        <v>0</v>
      </c>
      <c r="C62" s="523">
        <f>'Baseline data (from input)'!C48*'Baseline data (from input)'!D48</f>
        <v>3843.8465633394067</v>
      </c>
      <c r="D62" s="529">
        <f>'Baseline data (from input)'!C48*'Baseline data (from input)'!E48</f>
        <v>5137.2223072531251</v>
      </c>
      <c r="E62" s="529">
        <f>'Baseline data (from input)'!C48*'Baseline data (from input)'!F48</f>
        <v>1724.1642036608553</v>
      </c>
      <c r="F62" s="529">
        <f>'Baseline data (from input)'!C48*'Baseline data (from input)'!G48</f>
        <v>0</v>
      </c>
      <c r="G62" s="529">
        <f>'Baseline data (from input)'!C48*'Baseline data (from input)'!H48</f>
        <v>0</v>
      </c>
      <c r="H62" s="529">
        <f>'Baseline data (from input)'!H48*'Baseline data (from input)'!I48</f>
        <v>0</v>
      </c>
      <c r="I62" s="529">
        <f>'Baseline data (from input)'!C48*'Baseline data (from input)'!J48</f>
        <v>8617.8729370466117</v>
      </c>
      <c r="J62" s="935">
        <f t="shared" si="3"/>
        <v>19323.106011299998</v>
      </c>
      <c r="K62" s="117">
        <f>'Input data'!B92*'Baseline data (from input)'!E47*'Input data'!O92*'4C2 Open-burning '!B62*'4C2 Open-burning '!$C$14*'4C2 Open-burning '!$C$5*'4C2 Open-burning '!$C$6*'4C2 Open-burning '!$C$7</f>
        <v>0</v>
      </c>
      <c r="L62" s="118">
        <f>'Input data'!B92*'Baseline data (from input)'!E47*'Input data'!P92*'4C2 Open-burning '!B62*'4C2 Open-burning '!$C$15*'4C2 Open-burning '!$C$5*'4C2 Open-burning '!$C$6*'4C2 Open-burning '!$C$7</f>
        <v>0</v>
      </c>
      <c r="M62" s="118" t="e">
        <f>'Input data'!B92*'Baseline data (from input)'!E47*'Input data'!Q92*'4C2 Open-burning '!B62*'4C2 Open-burning '!#REF!*'4C2 Open-burning '!$C$5*'4C2 Open-burning '!$C$6*'4C2 Open-burning '!$C$7</f>
        <v>#REF!</v>
      </c>
      <c r="N62" s="118" t="e">
        <f>'Input data'!B92*'Baseline data (from input)'!E47*'Input data'!R92*'4C2 Open-burning '!B62*'4C2 Open-burning '!#REF!*'4C2 Open-burning '!$C$5*'4C2 Open-burning '!$C$6*'4C2 Open-burning '!$C$7</f>
        <v>#REF!</v>
      </c>
      <c r="O62" s="118" t="e">
        <f>'Input data'!B92*'Baseline data (from input)'!E47*'Input data'!S92*'4C2 Open-burning '!B62*'4C2 Open-burning '!#REF!*'4C2 Open-burning '!$C$5*'4C2 Open-burning '!$C$6*'4C2 Open-burning '!$C$7</f>
        <v>#REF!</v>
      </c>
      <c r="P62" s="118" t="e">
        <f>'Input data'!B92*'Baseline data (from input)'!E47*'Input data'!T92*'4C2 Open-burning '!B62*'4C2 Open-burning '!#REF!*'4C2 Open-burning '!$C$5*'4C2 Open-burning '!$C$6*'4C2 Open-burning '!$C$7</f>
        <v>#REF!</v>
      </c>
      <c r="Q62" s="118" t="e">
        <f>'Input data'!B92*'Baseline data (from input)'!E47*'Input data'!#REF!*'4C2 Open-burning '!B62*'4C2 Open-burning '!#REF!*'4C2 Open-burning '!$C$5*'4C2 Open-burning '!$C$6*'4C2 Open-burning '!$C$7</f>
        <v>#REF!</v>
      </c>
      <c r="R62" s="119" t="e">
        <f t="shared" si="0"/>
        <v>#REF!</v>
      </c>
      <c r="S62" s="117">
        <f>B62*'Input data'!B92*'Baseline data (from input)'!E47*'Input data'!O92*'4C2 Open-burning '!$C$9*'4C2 Open-burning '!$C$11*$C$5</f>
        <v>0</v>
      </c>
      <c r="T62" s="118">
        <f>B62*'Input data'!B92*'Baseline data (from input)'!E47*'Input data'!P92*'4C2 Open-burning '!$C$9*'4C2 Open-burning '!$C$11*$C$5</f>
        <v>0</v>
      </c>
      <c r="U62" s="118">
        <f>B62*'Input data'!B92*'Baseline data (from input)'!E47*'Input data'!Q92*'4C2 Open-burning '!$C$9*'4C2 Open-burning '!$C$11*$C$5</f>
        <v>0</v>
      </c>
      <c r="V62" s="118">
        <f>B62*'Input data'!B92*'Baseline data (from input)'!E47*'Input data'!R92*'4C2 Open-burning '!$C$9*'4C2 Open-burning '!$C$11*$C$5</f>
        <v>0</v>
      </c>
      <c r="W62" s="118">
        <f>B62*'Input data'!B92*'Baseline data (from input)'!E47*'Input data'!S92*'4C2 Open-burning '!$C$9*'4C2 Open-burning '!$C$11*$C$5</f>
        <v>0</v>
      </c>
      <c r="X62" s="118">
        <f>B62*'Input data'!B92*'Baseline data (from input)'!E47*'Input data'!T92*'4C2 Open-burning '!$C$9*'4C2 Open-burning '!$C$11*$C$5</f>
        <v>0</v>
      </c>
      <c r="Y62" s="118" t="e">
        <f>B62*'Input data'!B92*'Baseline data (from input)'!E47*'Input data'!#REF!*'4C2 Open-burning '!$C$9*'4C2 Open-burning '!$C$11*$C$5</f>
        <v>#REF!</v>
      </c>
      <c r="Z62" s="119" t="e">
        <f t="shared" si="1"/>
        <v>#REF!</v>
      </c>
      <c r="AA62" s="117">
        <f>B62*'Input data'!B92*'Baseline data (from input)'!E47*'Input data'!O92*'4C2 Open-burning '!$C$10*'4C2 Open-burning '!$C$11*$C$5</f>
        <v>0</v>
      </c>
      <c r="AB62" s="118">
        <f>B62*'Input data'!B92*'Baseline data (from input)'!E47*'Input data'!P92*'4C2 Open-burning '!$C$10*'4C2 Open-burning '!$C$11*$C$5</f>
        <v>0</v>
      </c>
      <c r="AC62" s="118">
        <f>B62*'Input data'!B92*'Baseline data (from input)'!E47*'Input data'!Q92*'4C2 Open-burning '!$C$10*'4C2 Open-burning '!$C$11*$C$5</f>
        <v>0</v>
      </c>
      <c r="AD62" s="118">
        <f>B62*'Input data'!B92*'Baseline data (from input)'!E47*'Input data'!R92*'4C2 Open-burning '!$C$10*'4C2 Open-burning '!$C$11*$C$5</f>
        <v>0</v>
      </c>
      <c r="AE62" s="118">
        <f>B62*'Input data'!B92*'Baseline data (from input)'!E47*'Input data'!S92*'4C2 Open-burning '!$C$10*'4C2 Open-burning '!$C$11*$C$5</f>
        <v>0</v>
      </c>
      <c r="AF62" s="118">
        <f>B62*'Input data'!B92*'Baseline data (from input)'!E47*'Input data'!T92*'4C2 Open-burning '!$C$10*'4C2 Open-burning '!$C$11*$C$5</f>
        <v>0</v>
      </c>
      <c r="AG62" s="118" t="e">
        <f>B62*'Input data'!B92*'Baseline data (from input)'!E47*'Input data'!#REF!*'4C2 Open-burning '!$C$10*'4C2 Open-burning '!$C$11*$C$5</f>
        <v>#REF!</v>
      </c>
      <c r="AH62" s="119" t="e">
        <f t="shared" si="2"/>
        <v>#REF!</v>
      </c>
      <c r="AI62" s="1388"/>
      <c r="AJ62" s="1388"/>
      <c r="AK62" s="1388"/>
      <c r="AQ62" s="99"/>
      <c r="AR62" s="99"/>
      <c r="AS62" s="99"/>
    </row>
    <row r="63" spans="1:45" ht="15" hidden="1" customHeight="1" thickBot="1">
      <c r="A63" s="466">
        <f>'Input data'!A93</f>
        <v>1993</v>
      </c>
      <c r="B63" s="122">
        <f>'Baseline data (from input)'!G49</f>
        <v>0</v>
      </c>
      <c r="C63" s="523">
        <f>'Baseline data (from input)'!C49*'Baseline data (from input)'!D49</f>
        <v>3925.8757219639938</v>
      </c>
      <c r="D63" s="529">
        <f>'Baseline data (from input)'!C49*'Baseline data (from input)'!E49</f>
        <v>5246.8525998747264</v>
      </c>
      <c r="E63" s="529">
        <f>'Baseline data (from input)'!C49*'Baseline data (from input)'!F49</f>
        <v>1760.9585284671141</v>
      </c>
      <c r="F63" s="529">
        <f>'Baseline data (from input)'!C49*'Baseline data (from input)'!G49</f>
        <v>0</v>
      </c>
      <c r="G63" s="529">
        <f>'Baseline data (from input)'!C49*'Baseline data (from input)'!H49</f>
        <v>0</v>
      </c>
      <c r="H63" s="529">
        <f>'Baseline data (from input)'!H49*'Baseline data (from input)'!I49</f>
        <v>0</v>
      </c>
      <c r="I63" s="529">
        <f>'Baseline data (from input)'!C49*'Baseline data (from input)'!J49</f>
        <v>8801.7816478941604</v>
      </c>
      <c r="J63" s="935">
        <f t="shared" si="3"/>
        <v>19735.468498199996</v>
      </c>
      <c r="K63" s="117">
        <f>'Input data'!B93*'Baseline data (from input)'!E48*'Input data'!O93*'4C2 Open-burning '!B63*'4C2 Open-burning '!$C$14*'4C2 Open-burning '!$C$5*'4C2 Open-burning '!$C$6*'4C2 Open-burning '!$C$7</f>
        <v>0</v>
      </c>
      <c r="L63" s="118">
        <f>'Input data'!B93*'Baseline data (from input)'!E48*'Input data'!P93*'4C2 Open-burning '!B63*'4C2 Open-burning '!$C$15*'4C2 Open-burning '!$C$5*'4C2 Open-burning '!$C$6*'4C2 Open-burning '!$C$7</f>
        <v>0</v>
      </c>
      <c r="M63" s="118" t="e">
        <f>'Input data'!B93*'Baseline data (from input)'!E48*'Input data'!Q93*'4C2 Open-burning '!B63*'4C2 Open-burning '!#REF!*'4C2 Open-burning '!$C$5*'4C2 Open-burning '!$C$6*'4C2 Open-burning '!$C$7</f>
        <v>#REF!</v>
      </c>
      <c r="N63" s="118" t="e">
        <f>'Input data'!B93*'Baseline data (from input)'!E48*'Input data'!R93*'4C2 Open-burning '!B63*'4C2 Open-burning '!#REF!*'4C2 Open-burning '!$C$5*'4C2 Open-burning '!$C$6*'4C2 Open-burning '!$C$7</f>
        <v>#REF!</v>
      </c>
      <c r="O63" s="118" t="e">
        <f>'Input data'!B93*'Baseline data (from input)'!E48*'Input data'!S93*'4C2 Open-burning '!B63*'4C2 Open-burning '!#REF!*'4C2 Open-burning '!$C$5*'4C2 Open-burning '!$C$6*'4C2 Open-burning '!$C$7</f>
        <v>#REF!</v>
      </c>
      <c r="P63" s="118" t="e">
        <f>'Input data'!B93*'Baseline data (from input)'!E48*'Input data'!T93*'4C2 Open-burning '!B63*'4C2 Open-burning '!#REF!*'4C2 Open-burning '!$C$5*'4C2 Open-burning '!$C$6*'4C2 Open-burning '!$C$7</f>
        <v>#REF!</v>
      </c>
      <c r="Q63" s="118" t="e">
        <f>'Input data'!B93*'Baseline data (from input)'!E48*'Input data'!#REF!*'4C2 Open-burning '!B63*'4C2 Open-burning '!#REF!*'4C2 Open-burning '!$C$5*'4C2 Open-burning '!$C$6*'4C2 Open-burning '!$C$7</f>
        <v>#REF!</v>
      </c>
      <c r="R63" s="119" t="e">
        <f t="shared" si="0"/>
        <v>#REF!</v>
      </c>
      <c r="S63" s="117">
        <f>B63*'Input data'!B93*'Baseline data (from input)'!E48*'Input data'!O93*'4C2 Open-burning '!$C$9*'4C2 Open-burning '!$C$11*$C$5</f>
        <v>0</v>
      </c>
      <c r="T63" s="118">
        <f>B63*'Input data'!B93*'Baseline data (from input)'!E48*'Input data'!P93*'4C2 Open-burning '!$C$9*'4C2 Open-burning '!$C$11*$C$5</f>
        <v>0</v>
      </c>
      <c r="U63" s="118">
        <f>B63*'Input data'!B93*'Baseline data (from input)'!E48*'Input data'!Q93*'4C2 Open-burning '!$C$9*'4C2 Open-burning '!$C$11*$C$5</f>
        <v>0</v>
      </c>
      <c r="V63" s="118">
        <f>B63*'Input data'!B93*'Baseline data (from input)'!E48*'Input data'!R93*'4C2 Open-burning '!$C$9*'4C2 Open-burning '!$C$11*$C$5</f>
        <v>0</v>
      </c>
      <c r="W63" s="118">
        <f>B63*'Input data'!B93*'Baseline data (from input)'!E48*'Input data'!S93*'4C2 Open-burning '!$C$9*'4C2 Open-burning '!$C$11*$C$5</f>
        <v>0</v>
      </c>
      <c r="X63" s="118">
        <f>B63*'Input data'!B93*'Baseline data (from input)'!E48*'Input data'!T93*'4C2 Open-burning '!$C$9*'4C2 Open-burning '!$C$11*$C$5</f>
        <v>0</v>
      </c>
      <c r="Y63" s="118" t="e">
        <f>B63*'Input data'!B93*'Baseline data (from input)'!E48*'Input data'!#REF!*'4C2 Open-burning '!$C$9*'4C2 Open-burning '!$C$11*$C$5</f>
        <v>#REF!</v>
      </c>
      <c r="Z63" s="119" t="e">
        <f t="shared" si="1"/>
        <v>#REF!</v>
      </c>
      <c r="AA63" s="117">
        <f>B63*'Input data'!B93*'Baseline data (from input)'!E48*'Input data'!O93*'4C2 Open-burning '!$C$10*'4C2 Open-burning '!$C$11*$C$5</f>
        <v>0</v>
      </c>
      <c r="AB63" s="118">
        <f>B63*'Input data'!B93*'Baseline data (from input)'!E48*'Input data'!P93*'4C2 Open-burning '!$C$10*'4C2 Open-burning '!$C$11*$C$5</f>
        <v>0</v>
      </c>
      <c r="AC63" s="118">
        <f>B63*'Input data'!B93*'Baseline data (from input)'!E48*'Input data'!Q93*'4C2 Open-burning '!$C$10*'4C2 Open-burning '!$C$11*$C$5</f>
        <v>0</v>
      </c>
      <c r="AD63" s="118">
        <f>B63*'Input data'!B93*'Baseline data (from input)'!E48*'Input data'!R93*'4C2 Open-burning '!$C$10*'4C2 Open-burning '!$C$11*$C$5</f>
        <v>0</v>
      </c>
      <c r="AE63" s="118">
        <f>B63*'Input data'!B93*'Baseline data (from input)'!E48*'Input data'!S93*'4C2 Open-burning '!$C$10*'4C2 Open-burning '!$C$11*$C$5</f>
        <v>0</v>
      </c>
      <c r="AF63" s="118">
        <f>B63*'Input data'!B93*'Baseline data (from input)'!E48*'Input data'!T93*'4C2 Open-burning '!$C$10*'4C2 Open-burning '!$C$11*$C$5</f>
        <v>0</v>
      </c>
      <c r="AG63" s="118" t="e">
        <f>B63*'Input data'!B93*'Baseline data (from input)'!E48*'Input data'!#REF!*'4C2 Open-burning '!$C$10*'4C2 Open-burning '!$C$11*$C$5</f>
        <v>#REF!</v>
      </c>
      <c r="AH63" s="119" t="e">
        <f t="shared" si="2"/>
        <v>#REF!</v>
      </c>
      <c r="AI63" s="1388"/>
      <c r="AJ63" s="1388"/>
      <c r="AK63" s="1388"/>
      <c r="AQ63" s="99"/>
      <c r="AR63" s="99"/>
      <c r="AS63" s="99"/>
    </row>
    <row r="64" spans="1:45" ht="15" hidden="1" customHeight="1" thickBot="1">
      <c r="A64" s="466">
        <f>'Input data'!A94</f>
        <v>1994</v>
      </c>
      <c r="B64" s="122">
        <f>'Baseline data (from input)'!G50</f>
        <v>0</v>
      </c>
      <c r="C64" s="523">
        <f>'Baseline data (from input)'!C50*'Baseline data (from input)'!D50</f>
        <v>4010.6287096106003</v>
      </c>
      <c r="D64" s="529">
        <f>'Baseline data (from input)'!C50*'Baseline data (from input)'!E50</f>
        <v>5360.1232342692056</v>
      </c>
      <c r="E64" s="529">
        <f>'Baseline data (from input)'!C50*'Baseline data (from input)'!F50</f>
        <v>1798.974631619431</v>
      </c>
      <c r="F64" s="529">
        <f>'Baseline data (from input)'!C50*'Baseline data (from input)'!G50</f>
        <v>0</v>
      </c>
      <c r="G64" s="529">
        <f>'Baseline data (from input)'!C50*'Baseline data (from input)'!H50</f>
        <v>0</v>
      </c>
      <c r="H64" s="529">
        <f>'Baseline data (from input)'!H50*'Baseline data (from input)'!I50</f>
        <v>0</v>
      </c>
      <c r="I64" s="529">
        <f>'Baseline data (from input)'!C50*'Baseline data (from input)'!J50</f>
        <v>8991.7971614007656</v>
      </c>
      <c r="J64" s="935">
        <f t="shared" si="3"/>
        <v>20161.523736900002</v>
      </c>
      <c r="K64" s="117">
        <f>'Input data'!B94*'Baseline data (from input)'!E49*'Input data'!O94*'4C2 Open-burning '!B64*'4C2 Open-burning '!$C$14*'4C2 Open-burning '!$C$5*'4C2 Open-burning '!$C$6*'4C2 Open-burning '!$C$7</f>
        <v>0</v>
      </c>
      <c r="L64" s="118">
        <f>'Input data'!B94*'Baseline data (from input)'!E49*'Input data'!P94*'4C2 Open-burning '!B64*'4C2 Open-burning '!$C$15*'4C2 Open-burning '!$C$5*'4C2 Open-burning '!$C$6*'4C2 Open-burning '!$C$7</f>
        <v>0</v>
      </c>
      <c r="M64" s="118" t="e">
        <f>'Input data'!B94*'Baseline data (from input)'!E49*'Input data'!Q94*'4C2 Open-burning '!B64*'4C2 Open-burning '!#REF!*'4C2 Open-burning '!$C$5*'4C2 Open-burning '!$C$6*'4C2 Open-burning '!$C$7</f>
        <v>#REF!</v>
      </c>
      <c r="N64" s="118" t="e">
        <f>'Input data'!B94*'Baseline data (from input)'!E49*'Input data'!R94*'4C2 Open-burning '!B64*'4C2 Open-burning '!#REF!*'4C2 Open-burning '!$C$5*'4C2 Open-burning '!$C$6*'4C2 Open-burning '!$C$7</f>
        <v>#REF!</v>
      </c>
      <c r="O64" s="118" t="e">
        <f>'Input data'!B94*'Baseline data (from input)'!E49*'Input data'!S94*'4C2 Open-burning '!B64*'4C2 Open-burning '!#REF!*'4C2 Open-burning '!$C$5*'4C2 Open-burning '!$C$6*'4C2 Open-burning '!$C$7</f>
        <v>#REF!</v>
      </c>
      <c r="P64" s="118" t="e">
        <f>'Input data'!B94*'Baseline data (from input)'!E49*'Input data'!T94*'4C2 Open-burning '!B64*'4C2 Open-burning '!#REF!*'4C2 Open-burning '!$C$5*'4C2 Open-burning '!$C$6*'4C2 Open-burning '!$C$7</f>
        <v>#REF!</v>
      </c>
      <c r="Q64" s="118" t="e">
        <f>'Input data'!B94*'Baseline data (from input)'!E49*'Input data'!#REF!*'4C2 Open-burning '!B64*'4C2 Open-burning '!#REF!*'4C2 Open-burning '!$C$5*'4C2 Open-burning '!$C$6*'4C2 Open-burning '!$C$7</f>
        <v>#REF!</v>
      </c>
      <c r="R64" s="119" t="e">
        <f t="shared" si="0"/>
        <v>#REF!</v>
      </c>
      <c r="S64" s="117">
        <f>B64*'Input data'!B94*'Baseline data (from input)'!E49*'Input data'!O94*'4C2 Open-burning '!$C$9*'4C2 Open-burning '!$C$11*$C$5</f>
        <v>0</v>
      </c>
      <c r="T64" s="118">
        <f>B64*'Input data'!B94*'Baseline data (from input)'!E49*'Input data'!P94*'4C2 Open-burning '!$C$9*'4C2 Open-burning '!$C$11*$C$5</f>
        <v>0</v>
      </c>
      <c r="U64" s="118">
        <f>B64*'Input data'!B94*'Baseline data (from input)'!E49*'Input data'!Q94*'4C2 Open-burning '!$C$9*'4C2 Open-burning '!$C$11*$C$5</f>
        <v>0</v>
      </c>
      <c r="V64" s="118">
        <f>B64*'Input data'!B94*'Baseline data (from input)'!E49*'Input data'!R94*'4C2 Open-burning '!$C$9*'4C2 Open-burning '!$C$11*$C$5</f>
        <v>0</v>
      </c>
      <c r="W64" s="118">
        <f>B64*'Input data'!B94*'Baseline data (from input)'!E49*'Input data'!S94*'4C2 Open-burning '!$C$9*'4C2 Open-burning '!$C$11*$C$5</f>
        <v>0</v>
      </c>
      <c r="X64" s="118">
        <f>B64*'Input data'!B94*'Baseline data (from input)'!E49*'Input data'!T94*'4C2 Open-burning '!$C$9*'4C2 Open-burning '!$C$11*$C$5</f>
        <v>0</v>
      </c>
      <c r="Y64" s="118" t="e">
        <f>B64*'Input data'!B94*'Baseline data (from input)'!E49*'Input data'!#REF!*'4C2 Open-burning '!$C$9*'4C2 Open-burning '!$C$11*$C$5</f>
        <v>#REF!</v>
      </c>
      <c r="Z64" s="119" t="e">
        <f t="shared" si="1"/>
        <v>#REF!</v>
      </c>
      <c r="AA64" s="117">
        <f>B64*'Input data'!B94*'Baseline data (from input)'!E49*'Input data'!O94*'4C2 Open-burning '!$C$10*'4C2 Open-burning '!$C$11*$C$5</f>
        <v>0</v>
      </c>
      <c r="AB64" s="118">
        <f>B64*'Input data'!B94*'Baseline data (from input)'!E49*'Input data'!P94*'4C2 Open-burning '!$C$10*'4C2 Open-burning '!$C$11*$C$5</f>
        <v>0</v>
      </c>
      <c r="AC64" s="118">
        <f>B64*'Input data'!B94*'Baseline data (from input)'!E49*'Input data'!Q94*'4C2 Open-burning '!$C$10*'4C2 Open-burning '!$C$11*$C$5</f>
        <v>0</v>
      </c>
      <c r="AD64" s="118">
        <f>B64*'Input data'!B94*'Baseline data (from input)'!E49*'Input data'!R94*'4C2 Open-burning '!$C$10*'4C2 Open-burning '!$C$11*$C$5</f>
        <v>0</v>
      </c>
      <c r="AE64" s="118">
        <f>B64*'Input data'!B94*'Baseline data (from input)'!E49*'Input data'!S94*'4C2 Open-burning '!$C$10*'4C2 Open-burning '!$C$11*$C$5</f>
        <v>0</v>
      </c>
      <c r="AF64" s="118">
        <f>B64*'Input data'!B94*'Baseline data (from input)'!E49*'Input data'!T94*'4C2 Open-burning '!$C$10*'4C2 Open-burning '!$C$11*$C$5</f>
        <v>0</v>
      </c>
      <c r="AG64" s="118" t="e">
        <f>B64*'Input data'!B94*'Baseline data (from input)'!E49*'Input data'!#REF!*'4C2 Open-burning '!$C$10*'4C2 Open-burning '!$C$11*$C$5</f>
        <v>#REF!</v>
      </c>
      <c r="AH64" s="119" t="e">
        <f t="shared" si="2"/>
        <v>#REF!</v>
      </c>
      <c r="AI64" s="1388"/>
      <c r="AJ64" s="1388"/>
      <c r="AK64" s="1388"/>
      <c r="AQ64" s="99"/>
      <c r="AR64" s="99"/>
      <c r="AS64" s="99"/>
    </row>
    <row r="65" spans="1:45" ht="15" hidden="1" customHeight="1" thickBot="1">
      <c r="A65" s="466">
        <f>'Input data'!A95</f>
        <v>1995</v>
      </c>
      <c r="B65" s="122">
        <f>'Baseline data (from input)'!G51</f>
        <v>0</v>
      </c>
      <c r="C65" s="523">
        <f>'Baseline data (from input)'!C51*'Baseline data (from input)'!D51</f>
        <v>4098.3150515886073</v>
      </c>
      <c r="D65" s="529">
        <f>'Baseline data (from input)'!C51*'Baseline data (from input)'!E51</f>
        <v>5477.3142367267792</v>
      </c>
      <c r="E65" s="529">
        <f>'Baseline data (from input)'!C51*'Baseline data (from input)'!F51</f>
        <v>1838.3064960675006</v>
      </c>
      <c r="F65" s="529">
        <f>'Baseline data (from input)'!C51*'Baseline data (from input)'!G51</f>
        <v>0</v>
      </c>
      <c r="G65" s="529">
        <f>'Baseline data (from input)'!C51*'Baseline data (from input)'!H51</f>
        <v>0</v>
      </c>
      <c r="H65" s="529">
        <f>'Baseline data (from input)'!H51*'Baseline data (from input)'!I51</f>
        <v>0</v>
      </c>
      <c r="I65" s="529">
        <f>'Baseline data (from input)'!C51*'Baseline data (from input)'!J51</f>
        <v>9188.3892316171114</v>
      </c>
      <c r="J65" s="935">
        <f t="shared" si="3"/>
        <v>20602.325015999999</v>
      </c>
      <c r="K65" s="117">
        <f>'Input data'!B95*'Baseline data (from input)'!E50*'Input data'!O95*'4C2 Open-burning '!B65*'4C2 Open-burning '!$C$14*'4C2 Open-burning '!$C$5*'4C2 Open-burning '!$C$6*'4C2 Open-burning '!$C$7</f>
        <v>0</v>
      </c>
      <c r="L65" s="118">
        <f>'Input data'!B95*'Baseline data (from input)'!E50*'Input data'!P95*'4C2 Open-burning '!B65*'4C2 Open-burning '!$C$15*'4C2 Open-burning '!$C$5*'4C2 Open-burning '!$C$6*'4C2 Open-burning '!$C$7</f>
        <v>0</v>
      </c>
      <c r="M65" s="118" t="e">
        <f>'Input data'!B95*'Baseline data (from input)'!E50*'Input data'!Q95*'4C2 Open-burning '!B65*'4C2 Open-burning '!#REF!*'4C2 Open-burning '!$C$5*'4C2 Open-burning '!$C$6*'4C2 Open-burning '!$C$7</f>
        <v>#REF!</v>
      </c>
      <c r="N65" s="118" t="e">
        <f>'Input data'!B95*'Baseline data (from input)'!E50*'Input data'!R95*'4C2 Open-burning '!B65*'4C2 Open-burning '!#REF!*'4C2 Open-burning '!$C$5*'4C2 Open-burning '!$C$6*'4C2 Open-burning '!$C$7</f>
        <v>#REF!</v>
      </c>
      <c r="O65" s="118" t="e">
        <f>'Input data'!B95*'Baseline data (from input)'!E50*'Input data'!S95*'4C2 Open-burning '!B65*'4C2 Open-burning '!#REF!*'4C2 Open-burning '!$C$5*'4C2 Open-burning '!$C$6*'4C2 Open-burning '!$C$7</f>
        <v>#REF!</v>
      </c>
      <c r="P65" s="118" t="e">
        <f>'Input data'!B95*'Baseline data (from input)'!E50*'Input data'!T95*'4C2 Open-burning '!B65*'4C2 Open-burning '!#REF!*'4C2 Open-burning '!$C$5*'4C2 Open-burning '!$C$6*'4C2 Open-burning '!$C$7</f>
        <v>#REF!</v>
      </c>
      <c r="Q65" s="118" t="e">
        <f>'Input data'!B95*'Baseline data (from input)'!E50*'Input data'!#REF!*'4C2 Open-burning '!B65*'4C2 Open-burning '!#REF!*'4C2 Open-burning '!$C$5*'4C2 Open-burning '!$C$6*'4C2 Open-burning '!$C$7</f>
        <v>#REF!</v>
      </c>
      <c r="R65" s="119" t="e">
        <f t="shared" si="0"/>
        <v>#REF!</v>
      </c>
      <c r="S65" s="117">
        <f>B65*'Input data'!B95*'Baseline data (from input)'!E50*'Input data'!O95*'4C2 Open-burning '!$C$9*'4C2 Open-burning '!$C$11*$C$5</f>
        <v>0</v>
      </c>
      <c r="T65" s="118">
        <f>B65*'Input data'!B95*'Baseline data (from input)'!E50*'Input data'!P95*'4C2 Open-burning '!$C$9*'4C2 Open-burning '!$C$11*$C$5</f>
        <v>0</v>
      </c>
      <c r="U65" s="118">
        <f>B65*'Input data'!B95*'Baseline data (from input)'!E50*'Input data'!Q95*'4C2 Open-burning '!$C$9*'4C2 Open-burning '!$C$11*$C$5</f>
        <v>0</v>
      </c>
      <c r="V65" s="118">
        <f>B65*'Input data'!B95*'Baseline data (from input)'!E50*'Input data'!R95*'4C2 Open-burning '!$C$9*'4C2 Open-burning '!$C$11*$C$5</f>
        <v>0</v>
      </c>
      <c r="W65" s="118">
        <f>B65*'Input data'!B95*'Baseline data (from input)'!E50*'Input data'!S95*'4C2 Open-burning '!$C$9*'4C2 Open-burning '!$C$11*$C$5</f>
        <v>0</v>
      </c>
      <c r="X65" s="118">
        <f>B65*'Input data'!B95*'Baseline data (from input)'!E50*'Input data'!T95*'4C2 Open-burning '!$C$9*'4C2 Open-burning '!$C$11*$C$5</f>
        <v>0</v>
      </c>
      <c r="Y65" s="118" t="e">
        <f>B65*'Input data'!B95*'Baseline data (from input)'!E50*'Input data'!#REF!*'4C2 Open-burning '!$C$9*'4C2 Open-burning '!$C$11*$C$5</f>
        <v>#REF!</v>
      </c>
      <c r="Z65" s="119" t="e">
        <f t="shared" si="1"/>
        <v>#REF!</v>
      </c>
      <c r="AA65" s="117">
        <f>B65*'Input data'!B95*'Baseline data (from input)'!E50*'Input data'!O95*'4C2 Open-burning '!$C$10*'4C2 Open-burning '!$C$11*$C$5</f>
        <v>0</v>
      </c>
      <c r="AB65" s="118">
        <f>B65*'Input data'!B95*'Baseline data (from input)'!E50*'Input data'!P95*'4C2 Open-burning '!$C$10*'4C2 Open-burning '!$C$11*$C$5</f>
        <v>0</v>
      </c>
      <c r="AC65" s="118">
        <f>B65*'Input data'!B95*'Baseline data (from input)'!E50*'Input data'!Q95*'4C2 Open-burning '!$C$10*'4C2 Open-burning '!$C$11*$C$5</f>
        <v>0</v>
      </c>
      <c r="AD65" s="118">
        <f>B65*'Input data'!B95*'Baseline data (from input)'!E50*'Input data'!R95*'4C2 Open-burning '!$C$10*'4C2 Open-burning '!$C$11*$C$5</f>
        <v>0</v>
      </c>
      <c r="AE65" s="118">
        <f>B65*'Input data'!B95*'Baseline data (from input)'!E50*'Input data'!S95*'4C2 Open-burning '!$C$10*'4C2 Open-burning '!$C$11*$C$5</f>
        <v>0</v>
      </c>
      <c r="AF65" s="118">
        <f>B65*'Input data'!B95*'Baseline data (from input)'!E50*'Input data'!T95*'4C2 Open-burning '!$C$10*'4C2 Open-burning '!$C$11*$C$5</f>
        <v>0</v>
      </c>
      <c r="AG65" s="118" t="e">
        <f>B65*'Input data'!B95*'Baseline data (from input)'!E50*'Input data'!#REF!*'4C2 Open-burning '!$C$10*'4C2 Open-burning '!$C$11*$C$5</f>
        <v>#REF!</v>
      </c>
      <c r="AH65" s="119" t="e">
        <f t="shared" si="2"/>
        <v>#REF!</v>
      </c>
      <c r="AI65" s="1388"/>
      <c r="AJ65" s="1388"/>
      <c r="AK65" s="1388"/>
      <c r="AQ65" s="99"/>
      <c r="AR65" s="99"/>
      <c r="AS65" s="99"/>
    </row>
    <row r="66" spans="1:45" ht="15" hidden="1" customHeight="1" thickBot="1">
      <c r="A66" s="466">
        <f>'Input data'!A96</f>
        <v>1996</v>
      </c>
      <c r="B66" s="122">
        <f>'Baseline data (from input)'!G52</f>
        <v>0</v>
      </c>
      <c r="C66" s="523">
        <f>'Baseline data (from input)'!C52*'Baseline data (from input)'!D52</f>
        <v>4190.5061877184125</v>
      </c>
      <c r="D66" s="529">
        <f>'Baseline data (from input)'!C52*'Baseline data (from input)'!E52</f>
        <v>5600.5258044241109</v>
      </c>
      <c r="E66" s="529">
        <f>'Baseline data (from input)'!C52*'Baseline data (from input)'!F52</f>
        <v>1879.6589939340497</v>
      </c>
      <c r="F66" s="529">
        <f>'Baseline data (from input)'!C52*'Baseline data (from input)'!G52</f>
        <v>0</v>
      </c>
      <c r="G66" s="529">
        <f>'Baseline data (from input)'!C52*'Baseline data (from input)'!H52</f>
        <v>0</v>
      </c>
      <c r="H66" s="529">
        <f>'Baseline data (from input)'!H52*'Baseline data (from input)'!I52</f>
        <v>0</v>
      </c>
      <c r="I66" s="529">
        <f>'Baseline data (from input)'!C52*'Baseline data (from input)'!J52</f>
        <v>9395.0810139234272</v>
      </c>
      <c r="J66" s="935">
        <f t="shared" si="3"/>
        <v>21065.772000000001</v>
      </c>
      <c r="K66" s="117">
        <f>'Input data'!B96*'Baseline data (from input)'!E51*'Input data'!O96*'4C2 Open-burning '!B66*'4C2 Open-burning '!$C$14*'4C2 Open-burning '!$C$5*'4C2 Open-burning '!$C$6*'4C2 Open-burning '!$C$7</f>
        <v>0</v>
      </c>
      <c r="L66" s="118">
        <f>'Input data'!B96*'Baseline data (from input)'!E51*'Input data'!P96*'4C2 Open-burning '!B66*'4C2 Open-burning '!$C$15*'4C2 Open-burning '!$C$5*'4C2 Open-burning '!$C$6*'4C2 Open-burning '!$C$7</f>
        <v>0</v>
      </c>
      <c r="M66" s="118" t="e">
        <f>'Input data'!B96*'Baseline data (from input)'!E51*'Input data'!Q96*'4C2 Open-burning '!B66*'4C2 Open-burning '!#REF!*'4C2 Open-burning '!$C$5*'4C2 Open-burning '!$C$6*'4C2 Open-burning '!$C$7</f>
        <v>#REF!</v>
      </c>
      <c r="N66" s="118" t="e">
        <f>'Input data'!B96*'Baseline data (from input)'!E51*'Input data'!R96*'4C2 Open-burning '!B66*'4C2 Open-burning '!#REF!*'4C2 Open-burning '!$C$5*'4C2 Open-burning '!$C$6*'4C2 Open-burning '!$C$7</f>
        <v>#REF!</v>
      </c>
      <c r="O66" s="118" t="e">
        <f>'Input data'!B96*'Baseline data (from input)'!E51*'Input data'!S96*'4C2 Open-burning '!B66*'4C2 Open-burning '!#REF!*'4C2 Open-burning '!$C$5*'4C2 Open-burning '!$C$6*'4C2 Open-burning '!$C$7</f>
        <v>#REF!</v>
      </c>
      <c r="P66" s="118" t="e">
        <f>'Input data'!B96*'Baseline data (from input)'!E51*'Input data'!T96*'4C2 Open-burning '!B66*'4C2 Open-burning '!#REF!*'4C2 Open-burning '!$C$5*'4C2 Open-burning '!$C$6*'4C2 Open-burning '!$C$7</f>
        <v>#REF!</v>
      </c>
      <c r="Q66" s="118" t="e">
        <f>'Input data'!B96*'Baseline data (from input)'!E51*'Input data'!#REF!*'4C2 Open-burning '!B66*'4C2 Open-burning '!#REF!*'4C2 Open-burning '!$C$5*'4C2 Open-burning '!$C$6*'4C2 Open-burning '!$C$7</f>
        <v>#REF!</v>
      </c>
      <c r="R66" s="119" t="e">
        <f t="shared" si="0"/>
        <v>#REF!</v>
      </c>
      <c r="S66" s="117">
        <f>B66*'Input data'!B96*'Baseline data (from input)'!E51*'Input data'!O96*'4C2 Open-burning '!$C$9*'4C2 Open-burning '!$C$11*$C$5</f>
        <v>0</v>
      </c>
      <c r="T66" s="118">
        <f>B66*'Input data'!B96*'Baseline data (from input)'!E51*'Input data'!P96*'4C2 Open-burning '!$C$9*'4C2 Open-burning '!$C$11*$C$5</f>
        <v>0</v>
      </c>
      <c r="U66" s="118">
        <f>B66*'Input data'!B96*'Baseline data (from input)'!E51*'Input data'!Q96*'4C2 Open-burning '!$C$9*'4C2 Open-burning '!$C$11*$C$5</f>
        <v>0</v>
      </c>
      <c r="V66" s="118">
        <f>B66*'Input data'!B96*'Baseline data (from input)'!E51*'Input data'!R96*'4C2 Open-burning '!$C$9*'4C2 Open-burning '!$C$11*$C$5</f>
        <v>0</v>
      </c>
      <c r="W66" s="118">
        <f>B66*'Input data'!B96*'Baseline data (from input)'!E51*'Input data'!S96*'4C2 Open-burning '!$C$9*'4C2 Open-burning '!$C$11*$C$5</f>
        <v>0</v>
      </c>
      <c r="X66" s="118">
        <f>B66*'Input data'!B96*'Baseline data (from input)'!E51*'Input data'!T96*'4C2 Open-burning '!$C$9*'4C2 Open-burning '!$C$11*$C$5</f>
        <v>0</v>
      </c>
      <c r="Y66" s="118" t="e">
        <f>B66*'Input data'!B96*'Baseline data (from input)'!E51*'Input data'!#REF!*'4C2 Open-burning '!$C$9*'4C2 Open-burning '!$C$11*$C$5</f>
        <v>#REF!</v>
      </c>
      <c r="Z66" s="119" t="e">
        <f t="shared" si="1"/>
        <v>#REF!</v>
      </c>
      <c r="AA66" s="117">
        <f>B66*'Input data'!B96*'Baseline data (from input)'!E51*'Input data'!O96*'4C2 Open-burning '!$C$10*'4C2 Open-burning '!$C$11*$C$5</f>
        <v>0</v>
      </c>
      <c r="AB66" s="118">
        <f>B66*'Input data'!B96*'Baseline data (from input)'!E51*'Input data'!P96*'4C2 Open-burning '!$C$10*'4C2 Open-burning '!$C$11*$C$5</f>
        <v>0</v>
      </c>
      <c r="AC66" s="118">
        <f>B66*'Input data'!B96*'Baseline data (from input)'!E51*'Input data'!Q96*'4C2 Open-burning '!$C$10*'4C2 Open-burning '!$C$11*$C$5</f>
        <v>0</v>
      </c>
      <c r="AD66" s="118">
        <f>B66*'Input data'!B96*'Baseline data (from input)'!E51*'Input data'!R96*'4C2 Open-burning '!$C$10*'4C2 Open-burning '!$C$11*$C$5</f>
        <v>0</v>
      </c>
      <c r="AE66" s="118">
        <f>B66*'Input data'!B96*'Baseline data (from input)'!E51*'Input data'!S96*'4C2 Open-burning '!$C$10*'4C2 Open-burning '!$C$11*$C$5</f>
        <v>0</v>
      </c>
      <c r="AF66" s="118">
        <f>B66*'Input data'!B96*'Baseline data (from input)'!E51*'Input data'!T96*'4C2 Open-burning '!$C$10*'4C2 Open-burning '!$C$11*$C$5</f>
        <v>0</v>
      </c>
      <c r="AG66" s="118" t="e">
        <f>B66*'Input data'!B96*'Baseline data (from input)'!E51*'Input data'!#REF!*'4C2 Open-burning '!$C$10*'4C2 Open-burning '!$C$11*$C$5</f>
        <v>#REF!</v>
      </c>
      <c r="AH66" s="119" t="e">
        <f t="shared" si="2"/>
        <v>#REF!</v>
      </c>
      <c r="AI66" s="1388"/>
      <c r="AJ66" s="1388"/>
      <c r="AK66" s="1388"/>
      <c r="AL66" s="104"/>
      <c r="AQ66" s="99"/>
      <c r="AR66" s="99"/>
      <c r="AS66" s="99"/>
    </row>
    <row r="67" spans="1:45" ht="15" hidden="1" customHeight="1" thickBot="1">
      <c r="A67" s="466">
        <f>'Input data'!A97</f>
        <v>1997</v>
      </c>
      <c r="B67" s="122">
        <f>'Baseline data (from input)'!G53</f>
        <v>0</v>
      </c>
      <c r="C67" s="523">
        <f>'Baseline data (from input)'!C53*'Baseline data (from input)'!D53</f>
        <v>4287.5164059640938</v>
      </c>
      <c r="D67" s="529">
        <f>'Baseline data (from input)'!C53*'Baseline data (from input)'!E53</f>
        <v>5730.177976796529</v>
      </c>
      <c r="E67" s="529">
        <f>'Baseline data (from input)'!C53*'Baseline data (from input)'!F53</f>
        <v>1923.1730996436231</v>
      </c>
      <c r="F67" s="529">
        <f>'Baseline data (from input)'!C53*'Baseline data (from input)'!G53</f>
        <v>0</v>
      </c>
      <c r="G67" s="529">
        <f>'Baseline data (from input)'!C53*'Baseline data (from input)'!H53</f>
        <v>0</v>
      </c>
      <c r="H67" s="529">
        <f>'Baseline data (from input)'!H53*'Baseline data (from input)'!I53</f>
        <v>0</v>
      </c>
      <c r="I67" s="529">
        <f>'Baseline data (from input)'!C53*'Baseline data (from input)'!J53</f>
        <v>9612.5771393957548</v>
      </c>
      <c r="J67" s="935">
        <f t="shared" si="3"/>
        <v>21553.444621800001</v>
      </c>
      <c r="K67" s="117">
        <f>'Input data'!B97*'Baseline data (from input)'!E52*'Input data'!O97*'4C2 Open-burning '!B67*'4C2 Open-burning '!$C$14*'4C2 Open-burning '!$C$5*'4C2 Open-burning '!$C$6*'4C2 Open-burning '!$C$7</f>
        <v>0</v>
      </c>
      <c r="L67" s="118">
        <f>'Input data'!B97*'Baseline data (from input)'!E52*'Input data'!P97*'4C2 Open-burning '!B67*'4C2 Open-burning '!$C$15*'4C2 Open-burning '!$C$5*'4C2 Open-burning '!$C$6*'4C2 Open-burning '!$C$7</f>
        <v>0</v>
      </c>
      <c r="M67" s="118" t="e">
        <f>'Input data'!B97*'Baseline data (from input)'!E52*'Input data'!Q97*'4C2 Open-burning '!B67*'4C2 Open-burning '!#REF!*'4C2 Open-burning '!$C$5*'4C2 Open-burning '!$C$6*'4C2 Open-burning '!$C$7</f>
        <v>#REF!</v>
      </c>
      <c r="N67" s="118" t="e">
        <f>'Input data'!B97*'Baseline data (from input)'!E52*'Input data'!R97*'4C2 Open-burning '!B67*'4C2 Open-burning '!#REF!*'4C2 Open-burning '!$C$5*'4C2 Open-burning '!$C$6*'4C2 Open-burning '!$C$7</f>
        <v>#REF!</v>
      </c>
      <c r="O67" s="118" t="e">
        <f>'Input data'!B97*'Baseline data (from input)'!E52*'Input data'!S97*'4C2 Open-burning '!B67*'4C2 Open-burning '!#REF!*'4C2 Open-burning '!$C$5*'4C2 Open-burning '!$C$6*'4C2 Open-burning '!$C$7</f>
        <v>#REF!</v>
      </c>
      <c r="P67" s="118" t="e">
        <f>'Input data'!B97*'Baseline data (from input)'!E52*'Input data'!T97*'4C2 Open-burning '!B67*'4C2 Open-burning '!#REF!*'4C2 Open-burning '!$C$5*'4C2 Open-burning '!$C$6*'4C2 Open-burning '!$C$7</f>
        <v>#REF!</v>
      </c>
      <c r="Q67" s="118" t="e">
        <f>'Input data'!B97*'Baseline data (from input)'!E52*'Input data'!#REF!*'4C2 Open-burning '!B67*'4C2 Open-burning '!#REF!*'4C2 Open-burning '!$C$5*'4C2 Open-burning '!$C$6*'4C2 Open-burning '!$C$7</f>
        <v>#REF!</v>
      </c>
      <c r="R67" s="119" t="e">
        <f t="shared" si="0"/>
        <v>#REF!</v>
      </c>
      <c r="S67" s="117">
        <f>B67*'Input data'!B97*'Baseline data (from input)'!E52*'Input data'!O97*'4C2 Open-burning '!$C$9*'4C2 Open-burning '!$C$11*$C$5</f>
        <v>0</v>
      </c>
      <c r="T67" s="118">
        <f>B67*'Input data'!B97*'Baseline data (from input)'!E52*'Input data'!P97*'4C2 Open-burning '!$C$9*'4C2 Open-burning '!$C$11*$C$5</f>
        <v>0</v>
      </c>
      <c r="U67" s="118">
        <f>B67*'Input data'!B97*'Baseline data (from input)'!E52*'Input data'!Q97*'4C2 Open-burning '!$C$9*'4C2 Open-burning '!$C$11*$C$5</f>
        <v>0</v>
      </c>
      <c r="V67" s="118">
        <f>B67*'Input data'!B97*'Baseline data (from input)'!E52*'Input data'!R97*'4C2 Open-burning '!$C$9*'4C2 Open-burning '!$C$11*$C$5</f>
        <v>0</v>
      </c>
      <c r="W67" s="118">
        <f>B67*'Input data'!B97*'Baseline data (from input)'!E52*'Input data'!S97*'4C2 Open-burning '!$C$9*'4C2 Open-burning '!$C$11*$C$5</f>
        <v>0</v>
      </c>
      <c r="X67" s="118">
        <f>B67*'Input data'!B97*'Baseline data (from input)'!E52*'Input data'!T97*'4C2 Open-burning '!$C$9*'4C2 Open-burning '!$C$11*$C$5</f>
        <v>0</v>
      </c>
      <c r="Y67" s="118" t="e">
        <f>B67*'Input data'!B97*'Baseline data (from input)'!E52*'Input data'!#REF!*'4C2 Open-burning '!$C$9*'4C2 Open-burning '!$C$11*$C$5</f>
        <v>#REF!</v>
      </c>
      <c r="Z67" s="119" t="e">
        <f t="shared" si="1"/>
        <v>#REF!</v>
      </c>
      <c r="AA67" s="117">
        <f>B67*'Input data'!B97*'Baseline data (from input)'!E52*'Input data'!O97*'4C2 Open-burning '!$C$10*'4C2 Open-burning '!$C$11*$C$5</f>
        <v>0</v>
      </c>
      <c r="AB67" s="118">
        <f>B67*'Input data'!B97*'Baseline data (from input)'!E52*'Input data'!P97*'4C2 Open-burning '!$C$10*'4C2 Open-burning '!$C$11*$C$5</f>
        <v>0</v>
      </c>
      <c r="AC67" s="118">
        <f>B67*'Input data'!B97*'Baseline data (from input)'!E52*'Input data'!Q97*'4C2 Open-burning '!$C$10*'4C2 Open-burning '!$C$11*$C$5</f>
        <v>0</v>
      </c>
      <c r="AD67" s="118">
        <f>B67*'Input data'!B97*'Baseline data (from input)'!E52*'Input data'!R97*'4C2 Open-burning '!$C$10*'4C2 Open-burning '!$C$11*$C$5</f>
        <v>0</v>
      </c>
      <c r="AE67" s="118">
        <f>B67*'Input data'!B97*'Baseline data (from input)'!E52*'Input data'!S97*'4C2 Open-burning '!$C$10*'4C2 Open-burning '!$C$11*$C$5</f>
        <v>0</v>
      </c>
      <c r="AF67" s="118">
        <f>B67*'Input data'!B97*'Baseline data (from input)'!E52*'Input data'!T97*'4C2 Open-burning '!$C$10*'4C2 Open-burning '!$C$11*$C$5</f>
        <v>0</v>
      </c>
      <c r="AG67" s="118" t="e">
        <f>B67*'Input data'!B97*'Baseline data (from input)'!E52*'Input data'!#REF!*'4C2 Open-burning '!$C$10*'4C2 Open-burning '!$C$11*$C$5</f>
        <v>#REF!</v>
      </c>
      <c r="AH67" s="119" t="e">
        <f t="shared" si="2"/>
        <v>#REF!</v>
      </c>
      <c r="AI67" s="1388"/>
      <c r="AJ67" s="1388"/>
      <c r="AK67" s="1388"/>
      <c r="AL67" s="104"/>
      <c r="AQ67" s="99"/>
      <c r="AR67" s="99"/>
      <c r="AS67" s="99"/>
    </row>
    <row r="68" spans="1:45" ht="15" hidden="1" customHeight="1" thickBot="1">
      <c r="A68" s="466">
        <f>'Input data'!A98</f>
        <v>1998</v>
      </c>
      <c r="B68" s="122">
        <f>'Baseline data (from input)'!G54</f>
        <v>0</v>
      </c>
      <c r="C68" s="523">
        <f>'Baseline data (from input)'!C54*'Baseline data (from input)'!D54</f>
        <v>4389.5552316350368</v>
      </c>
      <c r="D68" s="529">
        <f>'Baseline data (from input)'!C54*'Baseline data (from input)'!E54</f>
        <v>5866.5507801342555</v>
      </c>
      <c r="E68" s="529">
        <f>'Baseline data (from input)'!C54*'Baseline data (from input)'!F54</f>
        <v>1968.9427961459171</v>
      </c>
      <c r="F68" s="529">
        <f>'Baseline data (from input)'!C54*'Baseline data (from input)'!G54</f>
        <v>0</v>
      </c>
      <c r="G68" s="529">
        <f>'Baseline data (from input)'!C54*'Baseline data (from input)'!H54</f>
        <v>0</v>
      </c>
      <c r="H68" s="529">
        <f>'Baseline data (from input)'!H54*'Baseline data (from input)'!I54</f>
        <v>0</v>
      </c>
      <c r="I68" s="529">
        <f>'Baseline data (from input)'!C54*'Baseline data (from input)'!J54</f>
        <v>9841.3473620847908</v>
      </c>
      <c r="J68" s="935">
        <f t="shared" si="3"/>
        <v>22066.39617</v>
      </c>
      <c r="K68" s="117">
        <f>'Input data'!B98*'Baseline data (from input)'!E53*'Input data'!O98*'4C2 Open-burning '!B68*'4C2 Open-burning '!$C$14*'4C2 Open-burning '!$C$5*'4C2 Open-burning '!$C$6*'4C2 Open-burning '!$C$7</f>
        <v>0</v>
      </c>
      <c r="L68" s="118">
        <f>'Input data'!B98*'Baseline data (from input)'!E53*'Input data'!P98*'4C2 Open-burning '!B68*'4C2 Open-burning '!$C$15*'4C2 Open-burning '!$C$5*'4C2 Open-burning '!$C$6*'4C2 Open-burning '!$C$7</f>
        <v>0</v>
      </c>
      <c r="M68" s="118" t="e">
        <f>'Input data'!B98*'Baseline data (from input)'!E53*'Input data'!Q98*'4C2 Open-burning '!B68*'4C2 Open-burning '!#REF!*'4C2 Open-burning '!$C$5*'4C2 Open-burning '!$C$6*'4C2 Open-burning '!$C$7</f>
        <v>#REF!</v>
      </c>
      <c r="N68" s="118" t="e">
        <f>'Input data'!B98*'Baseline data (from input)'!E53*'Input data'!R98*'4C2 Open-burning '!B68*'4C2 Open-burning '!#REF!*'4C2 Open-burning '!$C$5*'4C2 Open-burning '!$C$6*'4C2 Open-burning '!$C$7</f>
        <v>#REF!</v>
      </c>
      <c r="O68" s="118" t="e">
        <f>'Input data'!B98*'Baseline data (from input)'!E53*'Input data'!S98*'4C2 Open-burning '!B68*'4C2 Open-burning '!#REF!*'4C2 Open-burning '!$C$5*'4C2 Open-burning '!$C$6*'4C2 Open-burning '!$C$7</f>
        <v>#REF!</v>
      </c>
      <c r="P68" s="118" t="e">
        <f>'Input data'!B98*'Baseline data (from input)'!E53*'Input data'!T98*'4C2 Open-burning '!B68*'4C2 Open-burning '!#REF!*'4C2 Open-burning '!$C$5*'4C2 Open-burning '!$C$6*'4C2 Open-burning '!$C$7</f>
        <v>#REF!</v>
      </c>
      <c r="Q68" s="118" t="e">
        <f>'Input data'!B98*'Baseline data (from input)'!E53*'Input data'!#REF!*'4C2 Open-burning '!B68*'4C2 Open-burning '!#REF!*'4C2 Open-burning '!$C$5*'4C2 Open-burning '!$C$6*'4C2 Open-burning '!$C$7</f>
        <v>#REF!</v>
      </c>
      <c r="R68" s="119" t="e">
        <f t="shared" si="0"/>
        <v>#REF!</v>
      </c>
      <c r="S68" s="117">
        <f>B68*'Input data'!B98*'Baseline data (from input)'!E53*'Input data'!O98*'4C2 Open-burning '!$C$9*'4C2 Open-burning '!$C$11*$C$5</f>
        <v>0</v>
      </c>
      <c r="T68" s="118">
        <f>B68*'Input data'!B98*'Baseline data (from input)'!E53*'Input data'!P98*'4C2 Open-burning '!$C$9*'4C2 Open-burning '!$C$11*$C$5</f>
        <v>0</v>
      </c>
      <c r="U68" s="118">
        <f>B68*'Input data'!B98*'Baseline data (from input)'!E53*'Input data'!Q98*'4C2 Open-burning '!$C$9*'4C2 Open-burning '!$C$11*$C$5</f>
        <v>0</v>
      </c>
      <c r="V68" s="118">
        <f>B68*'Input data'!B98*'Baseline data (from input)'!E53*'Input data'!R98*'4C2 Open-burning '!$C$9*'4C2 Open-burning '!$C$11*$C$5</f>
        <v>0</v>
      </c>
      <c r="W68" s="118">
        <f>B68*'Input data'!B98*'Baseline data (from input)'!E53*'Input data'!S98*'4C2 Open-burning '!$C$9*'4C2 Open-burning '!$C$11*$C$5</f>
        <v>0</v>
      </c>
      <c r="X68" s="118">
        <f>B68*'Input data'!B98*'Baseline data (from input)'!E53*'Input data'!T98*'4C2 Open-burning '!$C$9*'4C2 Open-burning '!$C$11*$C$5</f>
        <v>0</v>
      </c>
      <c r="Y68" s="118" t="e">
        <f>B68*'Input data'!B98*'Baseline data (from input)'!E53*'Input data'!#REF!*'4C2 Open-burning '!$C$9*'4C2 Open-burning '!$C$11*$C$5</f>
        <v>#REF!</v>
      </c>
      <c r="Z68" s="119" t="e">
        <f t="shared" si="1"/>
        <v>#REF!</v>
      </c>
      <c r="AA68" s="117">
        <f>B68*'Input data'!B98*'Baseline data (from input)'!E53*'Input data'!O98*'4C2 Open-burning '!$C$10*'4C2 Open-burning '!$C$11*$C$5</f>
        <v>0</v>
      </c>
      <c r="AB68" s="118">
        <f>B68*'Input data'!B98*'Baseline data (from input)'!E53*'Input data'!P98*'4C2 Open-burning '!$C$10*'4C2 Open-burning '!$C$11*$C$5</f>
        <v>0</v>
      </c>
      <c r="AC68" s="118">
        <f>B68*'Input data'!B98*'Baseline data (from input)'!E53*'Input data'!Q98*'4C2 Open-burning '!$C$10*'4C2 Open-burning '!$C$11*$C$5</f>
        <v>0</v>
      </c>
      <c r="AD68" s="118">
        <f>B68*'Input data'!B98*'Baseline data (from input)'!E53*'Input data'!R98*'4C2 Open-burning '!$C$10*'4C2 Open-burning '!$C$11*$C$5</f>
        <v>0</v>
      </c>
      <c r="AE68" s="118">
        <f>B68*'Input data'!B98*'Baseline data (from input)'!E53*'Input data'!S98*'4C2 Open-burning '!$C$10*'4C2 Open-burning '!$C$11*$C$5</f>
        <v>0</v>
      </c>
      <c r="AF68" s="118">
        <f>B68*'Input data'!B98*'Baseline data (from input)'!E53*'Input data'!T98*'4C2 Open-burning '!$C$10*'4C2 Open-burning '!$C$11*$C$5</f>
        <v>0</v>
      </c>
      <c r="AG68" s="118" t="e">
        <f>B68*'Input data'!B98*'Baseline data (from input)'!E53*'Input data'!#REF!*'4C2 Open-burning '!$C$10*'4C2 Open-burning '!$C$11*$C$5</f>
        <v>#REF!</v>
      </c>
      <c r="AH68" s="119" t="e">
        <f t="shared" si="2"/>
        <v>#REF!</v>
      </c>
      <c r="AI68" s="1388"/>
      <c r="AJ68" s="1388"/>
      <c r="AK68" s="1388"/>
      <c r="AL68" s="104"/>
      <c r="AQ68" s="99"/>
      <c r="AR68" s="99"/>
      <c r="AS68" s="99"/>
    </row>
    <row r="69" spans="1:45" ht="15" hidden="1" customHeight="1" thickBot="1">
      <c r="A69" s="466">
        <f>'Input data'!A99</f>
        <v>1999</v>
      </c>
      <c r="B69" s="122">
        <f>'Baseline data (from input)'!G55</f>
        <v>0</v>
      </c>
      <c r="C69" s="523">
        <f>'Baseline data (from input)'!C55*'Baseline data (from input)'!D55</f>
        <v>4496.7274273859357</v>
      </c>
      <c r="D69" s="529">
        <f>'Baseline data (from input)'!C55*'Baseline data (from input)'!E55</f>
        <v>6009.7842275824023</v>
      </c>
      <c r="E69" s="529">
        <f>'Baseline data (from input)'!C55*'Baseline data (from input)'!F55</f>
        <v>2017.0150749157806</v>
      </c>
      <c r="F69" s="529">
        <f>'Baseline data (from input)'!C55*'Baseline data (from input)'!G55</f>
        <v>0</v>
      </c>
      <c r="G69" s="529">
        <f>'Baseline data (from input)'!C55*'Baseline data (from input)'!H55</f>
        <v>0</v>
      </c>
      <c r="H69" s="529">
        <f>'Baseline data (from input)'!H55*'Baseline data (from input)'!I55</f>
        <v>0</v>
      </c>
      <c r="I69" s="529">
        <f>'Baseline data (from input)'!C55*'Baseline data (from input)'!J55</f>
        <v>10081.626559015882</v>
      </c>
      <c r="J69" s="935">
        <f t="shared" si="3"/>
        <v>22605.153288900001</v>
      </c>
      <c r="K69" s="117">
        <f>'Input data'!B99*'Baseline data (from input)'!E54*'Input data'!O99*'4C2 Open-burning '!B69*'4C2 Open-burning '!$C$14*'4C2 Open-burning '!$C$5*'4C2 Open-burning '!$C$6*'4C2 Open-burning '!$C$7</f>
        <v>0</v>
      </c>
      <c r="L69" s="118">
        <f>'Input data'!B99*'Baseline data (from input)'!E54*'Input data'!P99*'4C2 Open-burning '!B69*'4C2 Open-burning '!$C$15*'4C2 Open-burning '!$C$5*'4C2 Open-burning '!$C$6*'4C2 Open-burning '!$C$7</f>
        <v>0</v>
      </c>
      <c r="M69" s="118" t="e">
        <f>'Input data'!B99*'Baseline data (from input)'!E54*'Input data'!Q99*'4C2 Open-burning '!B69*'4C2 Open-burning '!#REF!*'4C2 Open-burning '!$C$5*'4C2 Open-burning '!$C$6*'4C2 Open-burning '!$C$7</f>
        <v>#REF!</v>
      </c>
      <c r="N69" s="118" t="e">
        <f>'Input data'!B99*'Baseline data (from input)'!E54*'Input data'!R99*'4C2 Open-burning '!B69*'4C2 Open-burning '!#REF!*'4C2 Open-burning '!$C$5*'4C2 Open-burning '!$C$6*'4C2 Open-burning '!$C$7</f>
        <v>#REF!</v>
      </c>
      <c r="O69" s="118" t="e">
        <f>'Input data'!B99*'Baseline data (from input)'!E54*'Input data'!S99*'4C2 Open-burning '!B69*'4C2 Open-burning '!#REF!*'4C2 Open-burning '!$C$5*'4C2 Open-burning '!$C$6*'4C2 Open-burning '!$C$7</f>
        <v>#REF!</v>
      </c>
      <c r="P69" s="118" t="e">
        <f>'Input data'!B99*'Baseline data (from input)'!E54*'Input data'!T99*'4C2 Open-burning '!B69*'4C2 Open-burning '!#REF!*'4C2 Open-burning '!$C$5*'4C2 Open-burning '!$C$6*'4C2 Open-burning '!$C$7</f>
        <v>#REF!</v>
      </c>
      <c r="Q69" s="118" t="e">
        <f>'Input data'!B99*'Baseline data (from input)'!E54*'Input data'!#REF!*'4C2 Open-burning '!B69*'4C2 Open-burning '!#REF!*'4C2 Open-burning '!$C$5*'4C2 Open-burning '!$C$6*'4C2 Open-burning '!$C$7</f>
        <v>#REF!</v>
      </c>
      <c r="R69" s="119" t="e">
        <f t="shared" si="0"/>
        <v>#REF!</v>
      </c>
      <c r="S69" s="117">
        <f>B69*'Input data'!B99*'Baseline data (from input)'!E54*'Input data'!O99*'4C2 Open-burning '!$C$9*'4C2 Open-burning '!$C$11*$C$5</f>
        <v>0</v>
      </c>
      <c r="T69" s="118">
        <f>B69*'Input data'!B99*'Baseline data (from input)'!E54*'Input data'!P99*'4C2 Open-burning '!$C$9*'4C2 Open-burning '!$C$11*$C$5</f>
        <v>0</v>
      </c>
      <c r="U69" s="118">
        <f>B69*'Input data'!B99*'Baseline data (from input)'!E54*'Input data'!Q99*'4C2 Open-burning '!$C$9*'4C2 Open-burning '!$C$11*$C$5</f>
        <v>0</v>
      </c>
      <c r="V69" s="118">
        <f>B69*'Input data'!B99*'Baseline data (from input)'!E54*'Input data'!R99*'4C2 Open-burning '!$C$9*'4C2 Open-burning '!$C$11*$C$5</f>
        <v>0</v>
      </c>
      <c r="W69" s="118">
        <f>B69*'Input data'!B99*'Baseline data (from input)'!E54*'Input data'!S99*'4C2 Open-burning '!$C$9*'4C2 Open-burning '!$C$11*$C$5</f>
        <v>0</v>
      </c>
      <c r="X69" s="118">
        <f>B69*'Input data'!B99*'Baseline data (from input)'!E54*'Input data'!T99*'4C2 Open-burning '!$C$9*'4C2 Open-burning '!$C$11*$C$5</f>
        <v>0</v>
      </c>
      <c r="Y69" s="118" t="e">
        <f>B69*'Input data'!B99*'Baseline data (from input)'!E54*'Input data'!#REF!*'4C2 Open-burning '!$C$9*'4C2 Open-burning '!$C$11*$C$5</f>
        <v>#REF!</v>
      </c>
      <c r="Z69" s="119" t="e">
        <f t="shared" si="1"/>
        <v>#REF!</v>
      </c>
      <c r="AA69" s="117">
        <f>B69*'Input data'!B99*'Baseline data (from input)'!E54*'Input data'!O99*'4C2 Open-burning '!$C$10*'4C2 Open-burning '!$C$11*$C$5</f>
        <v>0</v>
      </c>
      <c r="AB69" s="118">
        <f>B69*'Input data'!B99*'Baseline data (from input)'!E54*'Input data'!P99*'4C2 Open-burning '!$C$10*'4C2 Open-burning '!$C$11*$C$5</f>
        <v>0</v>
      </c>
      <c r="AC69" s="118">
        <f>B69*'Input data'!B99*'Baseline data (from input)'!E54*'Input data'!Q99*'4C2 Open-burning '!$C$10*'4C2 Open-burning '!$C$11*$C$5</f>
        <v>0</v>
      </c>
      <c r="AD69" s="118">
        <f>B69*'Input data'!B99*'Baseline data (from input)'!E54*'Input data'!R99*'4C2 Open-burning '!$C$10*'4C2 Open-burning '!$C$11*$C$5</f>
        <v>0</v>
      </c>
      <c r="AE69" s="118">
        <f>B69*'Input data'!B99*'Baseline data (from input)'!E54*'Input data'!S99*'4C2 Open-burning '!$C$10*'4C2 Open-burning '!$C$11*$C$5</f>
        <v>0</v>
      </c>
      <c r="AF69" s="118">
        <f>B69*'Input data'!B99*'Baseline data (from input)'!E54*'Input data'!T99*'4C2 Open-burning '!$C$10*'4C2 Open-burning '!$C$11*$C$5</f>
        <v>0</v>
      </c>
      <c r="AG69" s="118" t="e">
        <f>B69*'Input data'!B99*'Baseline data (from input)'!E54*'Input data'!#REF!*'4C2 Open-burning '!$C$10*'4C2 Open-burning '!$C$11*$C$5</f>
        <v>#REF!</v>
      </c>
      <c r="AH69" s="119" t="e">
        <f t="shared" si="2"/>
        <v>#REF!</v>
      </c>
      <c r="AI69" s="1388"/>
      <c r="AJ69" s="1388"/>
      <c r="AK69" s="1388"/>
      <c r="AL69" s="104"/>
      <c r="AQ69" s="99"/>
      <c r="AR69" s="99"/>
      <c r="AS69" s="99"/>
    </row>
    <row r="70" spans="1:45">
      <c r="A70" s="483">
        <f>'Input data'!A100</f>
        <v>2000</v>
      </c>
      <c r="B70" s="1369">
        <f>'Baseline data (from input)'!V56</f>
        <v>0.09</v>
      </c>
      <c r="C70" s="956">
        <f>$B70*'Baseline data (from input)'!L56*'Baseline data (from input)'!$C56</f>
        <v>665.25945793500637</v>
      </c>
      <c r="D70" s="957">
        <f>$B70*'Baseline data (from input)'!M56*'Baseline data (from input)'!$C56</f>
        <v>694.80045543716722</v>
      </c>
      <c r="E70" s="957">
        <f>$B70*'Baseline data (from input)'!N56*'Baseline data (from input)'!$C56</f>
        <v>189.77109690547644</v>
      </c>
      <c r="F70" s="957">
        <f>$B70*'Baseline data (from input)'!O56*'Baseline data (from input)'!$C56</f>
        <v>0</v>
      </c>
      <c r="G70" s="957">
        <f>$B70*'Baseline data (from input)'!P56*'Baseline data (from input)'!$C56</f>
        <v>0</v>
      </c>
      <c r="H70" s="957">
        <f>$B70*'Baseline data (from input)'!Q56*'Baseline data (from input)'!$C56</f>
        <v>0</v>
      </c>
      <c r="I70" s="957">
        <f>$B70*'Baseline data (from input)'!R56*'Baseline data (from input)'!$C56</f>
        <v>741.93978972234993</v>
      </c>
      <c r="J70" s="1370">
        <f>SUM(C70:I70)</f>
        <v>2291.7707999999998</v>
      </c>
      <c r="K70" s="932">
        <f>'4C2 Open-burning '!C$14*'4C2 Open-burning '!$C$5*'4C2 Open-burning '!$C$6*'4C2 Open-burning '!$C$7*C70</f>
        <v>0</v>
      </c>
      <c r="L70" s="933">
        <f>'4C2 Open-burning '!D$14*'4C2 Open-burning '!$C$5*'4C2 Open-burning '!$C$6*'4C2 Open-burning '!$C$7*D70</f>
        <v>0</v>
      </c>
      <c r="M70" s="933">
        <f>'4C2 Open-burning '!E$14*'4C2 Open-burning '!$C$5*'4C2 Open-burning '!$C$6*'4C2 Open-burning '!$C$7*E70</f>
        <v>1.002492387356746</v>
      </c>
      <c r="N70" s="933">
        <f>'4C2 Open-burning '!F$14*'4C2 Open-burning '!$C$5*'4C2 Open-burning '!$C$6*'4C2 Open-burning '!$C$7*F70</f>
        <v>0</v>
      </c>
      <c r="O70" s="933">
        <f>'4C2 Open-burning '!G$14*'4C2 Open-burning '!$C$5*'4C2 Open-burning '!$C$6*'4C2 Open-burning '!$C$7*G70</f>
        <v>0</v>
      </c>
      <c r="P70" s="933">
        <f>'4C2 Open-burning '!H$14*'4C2 Open-burning '!$C$5*'4C2 Open-burning '!$C$6*'4C2 Open-burning '!$C$7*H70</f>
        <v>0</v>
      </c>
      <c r="Q70" s="933">
        <f>'4C2 Open-burning '!I$14*'4C2 Open-burning '!$C$5*'4C2 Open-burning '!$C$6*'4C2 Open-burning '!$C$7*I70</f>
        <v>25.561309635514398</v>
      </c>
      <c r="R70" s="1376">
        <f t="shared" si="0"/>
        <v>26.563802022871144</v>
      </c>
      <c r="S70" s="932">
        <f>C70*'4C2 Open-burning '!$C$9*'4C2 Open-burning '!$C$11*$C$5</f>
        <v>2.5945118859465253</v>
      </c>
      <c r="T70" s="933">
        <f>D70*'4C2 Open-burning '!$C$9*'4C2 Open-burning '!$C$11*$C$5</f>
        <v>2.7097217762049519</v>
      </c>
      <c r="U70" s="933">
        <f>E70*'4C2 Open-burning '!$C$9*'4C2 Open-burning '!$C$11*$C$5</f>
        <v>0.74010727793135811</v>
      </c>
      <c r="V70" s="933">
        <f>F70*'4C2 Open-burning '!$C$9*'4C2 Open-burning '!$C$11*$C$5</f>
        <v>0</v>
      </c>
      <c r="W70" s="933">
        <f>G70*'4C2 Open-burning '!$C$9*'4C2 Open-burning '!$C$11*$C$5</f>
        <v>0</v>
      </c>
      <c r="X70" s="933">
        <f>H70*'4C2 Open-burning '!$C$9*'4C2 Open-burning '!$C$11*$C$5</f>
        <v>0</v>
      </c>
      <c r="Y70" s="933">
        <f>I70*'4C2 Open-burning '!$C$9*'4C2 Open-burning '!$C$11*$C$5</f>
        <v>2.8935651799171649</v>
      </c>
      <c r="Z70" s="934">
        <f>SUM(S70:Y70)</f>
        <v>8.9379061199999992</v>
      </c>
      <c r="AA70" s="487">
        <f>C70*'4C2 Open-burning '!$C$10*'4C2 Open-burning '!$C$11*$C$5*C$15</f>
        <v>2.3949340485660227E-2</v>
      </c>
      <c r="AB70" s="487">
        <f>D70*'4C2 Open-burning '!$C$10*'4C2 Open-burning '!$C$11*$C$5*D$15</f>
        <v>2.5012816395738019E-2</v>
      </c>
      <c r="AC70" s="487">
        <f>E70*'4C2 Open-burning '!$C$10*'4C2 Open-burning '!$C$11*$C$5*E$15</f>
        <v>1.5371458849343591E-2</v>
      </c>
      <c r="AD70" s="487">
        <f>F70*'4C2 Open-burning '!$C$10*'4C2 Open-burning '!$C$11*$C$5*F$15</f>
        <v>0</v>
      </c>
      <c r="AE70" s="487">
        <f>G70*'4C2 Open-burning '!$C$10*'4C2 Open-burning '!$C$11*$C$5*G$15</f>
        <v>0</v>
      </c>
      <c r="AF70" s="487">
        <f>H70*'4C2 Open-burning '!$C$10*'4C2 Open-burning '!$C$11*$C$5*H$15</f>
        <v>0</v>
      </c>
      <c r="AG70" s="487">
        <f>I70*'4C2 Open-burning '!$C$10*'4C2 Open-burning '!$C$11*$C$5*I$15</f>
        <v>6.0097122967510339E-2</v>
      </c>
      <c r="AH70" s="488">
        <f t="shared" si="2"/>
        <v>0.12443073869825218</v>
      </c>
      <c r="AI70" s="1388"/>
      <c r="AJ70" s="418"/>
      <c r="AK70" s="528"/>
      <c r="AL70" s="528"/>
      <c r="AM70" s="775"/>
      <c r="AN70" s="775"/>
      <c r="AO70" s="775"/>
      <c r="AP70" s="775"/>
      <c r="AQ70" s="939"/>
      <c r="AR70" s="938"/>
      <c r="AS70" s="99"/>
    </row>
    <row r="71" spans="1:45">
      <c r="A71" s="489">
        <f>'Input data'!A101</f>
        <v>2001</v>
      </c>
      <c r="B71" s="1369">
        <f>'Baseline data (from input)'!V57</f>
        <v>0.09</v>
      </c>
      <c r="C71" s="527">
        <f>$B71*'Baseline data (from input)'!L57*'Baseline data (from input)'!$C57</f>
        <v>679.01823308775306</v>
      </c>
      <c r="D71" s="528">
        <f>$B71*'Baseline data (from input)'!M57*'Baseline data (from input)'!$C57</f>
        <v>709.17019212916307</v>
      </c>
      <c r="E71" s="528">
        <f>$B71*'Baseline data (from input)'!N57*'Baseline data (from input)'!$C57</f>
        <v>193.69590822783968</v>
      </c>
      <c r="F71" s="528">
        <f>$B71*'Baseline data (from input)'!O57*'Baseline data (from input)'!$C57</f>
        <v>0</v>
      </c>
      <c r="G71" s="528">
        <f>$B71*'Baseline data (from input)'!P57*'Baseline data (from input)'!$C57</f>
        <v>0</v>
      </c>
      <c r="H71" s="528">
        <f>$B71*'Baseline data (from input)'!Q57*'Baseline data (from input)'!$C57</f>
        <v>0</v>
      </c>
      <c r="I71" s="528">
        <f>$B71*'Baseline data (from input)'!R57*'Baseline data (from input)'!$C57</f>
        <v>757.28445355524389</v>
      </c>
      <c r="J71" s="676">
        <f t="shared" si="3"/>
        <v>2339.1687869999996</v>
      </c>
      <c r="K71" s="484">
        <f>'4C2 Open-burning '!C$14*'4C2 Open-burning '!$C$5*'4C2 Open-burning '!$C$6*'4C2 Open-burning '!$C$7*C71</f>
        <v>0</v>
      </c>
      <c r="L71" s="485">
        <f>'4C2 Open-burning '!D$14*'4C2 Open-burning '!$C$5*'4C2 Open-burning '!$C$6*'4C2 Open-burning '!$C$7*D71</f>
        <v>0</v>
      </c>
      <c r="M71" s="485">
        <f>'4C2 Open-burning '!E$14*'4C2 Open-burning '!$C$5*'4C2 Open-burning '!$C$6*'4C2 Open-burning '!$C$7*E71</f>
        <v>1.0232257526407149</v>
      </c>
      <c r="N71" s="485">
        <f>'4C2 Open-burning '!F$14*'4C2 Open-burning '!$C$5*'4C2 Open-burning '!$C$6*'4C2 Open-burning '!$C$7*F71</f>
        <v>0</v>
      </c>
      <c r="O71" s="485">
        <f>'4C2 Open-burning '!G$14*'4C2 Open-burning '!$C$5*'4C2 Open-burning '!$C$6*'4C2 Open-burning '!$C$7*G71</f>
        <v>0</v>
      </c>
      <c r="P71" s="485">
        <f>'4C2 Open-burning '!H$14*'4C2 Open-burning '!$C$5*'4C2 Open-burning '!$C$6*'4C2 Open-burning '!$C$7*H71</f>
        <v>0</v>
      </c>
      <c r="Q71" s="485">
        <f>'4C2 Open-burning '!I$14*'4C2 Open-burning '!$C$5*'4C2 Open-burning '!$C$6*'4C2 Open-burning '!$C$7*I71</f>
        <v>26.089963993885259</v>
      </c>
      <c r="R71" s="1374">
        <f t="shared" si="0"/>
        <v>27.113189746525975</v>
      </c>
      <c r="S71" s="484">
        <f>C71*'4C2 Open-burning '!$C$9*'4C2 Open-burning '!$C$11*$C$5</f>
        <v>2.6481711090422366</v>
      </c>
      <c r="T71" s="485">
        <f>D71*'4C2 Open-burning '!$C$9*'4C2 Open-burning '!$C$11*$C$5</f>
        <v>2.7657637493037357</v>
      </c>
      <c r="U71" s="485">
        <f>E71*'4C2 Open-burning '!$C$9*'4C2 Open-burning '!$C$11*$C$5</f>
        <v>0.75541404208857477</v>
      </c>
      <c r="V71" s="485">
        <f>F71*'4C2 Open-burning '!$C$9*'4C2 Open-burning '!$C$11*$C$5</f>
        <v>0</v>
      </c>
      <c r="W71" s="485">
        <f>G71*'4C2 Open-burning '!$C$9*'4C2 Open-burning '!$C$11*$C$5</f>
        <v>0</v>
      </c>
      <c r="X71" s="485">
        <f>H71*'4C2 Open-burning '!$C$9*'4C2 Open-burning '!$C$11*$C$5</f>
        <v>0</v>
      </c>
      <c r="Y71" s="485">
        <f>I71*'4C2 Open-burning '!$C$9*'4C2 Open-burning '!$C$11*$C$5</f>
        <v>2.9534093688654512</v>
      </c>
      <c r="Z71" s="486">
        <f t="shared" ref="Z71:Z87" si="4">SUM(S71:Y71)</f>
        <v>9.1227582692999984</v>
      </c>
      <c r="AA71" s="487">
        <f>C71*'4C2 Open-burning '!$C$10*'4C2 Open-burning '!$C$11*$C$5*C$15</f>
        <v>2.4444656391159111E-2</v>
      </c>
      <c r="AB71" s="487">
        <f>D71*'4C2 Open-burning '!$C$10*'4C2 Open-burning '!$C$11*$C$5*D$15</f>
        <v>2.5530126916649871E-2</v>
      </c>
      <c r="AC71" s="487">
        <f>E71*'4C2 Open-burning '!$C$10*'4C2 Open-burning '!$C$11*$C$5*E$15</f>
        <v>1.5689368566455014E-2</v>
      </c>
      <c r="AD71" s="487">
        <f>F71*'4C2 Open-burning '!$C$10*'4C2 Open-burning '!$C$11*$C$5*F$15</f>
        <v>0</v>
      </c>
      <c r="AE71" s="487">
        <f>G71*'4C2 Open-burning '!$C$10*'4C2 Open-burning '!$C$11*$C$5*G$15</f>
        <v>0</v>
      </c>
      <c r="AF71" s="487">
        <f>H71*'4C2 Open-burning '!$C$10*'4C2 Open-burning '!$C$11*$C$5*H$15</f>
        <v>0</v>
      </c>
      <c r="AG71" s="487">
        <f>I71*'4C2 Open-burning '!$C$10*'4C2 Open-burning '!$C$11*$C$5*I$15</f>
        <v>6.1340040737974756E-2</v>
      </c>
      <c r="AH71" s="488">
        <f t="shared" si="2"/>
        <v>0.12700419261223875</v>
      </c>
      <c r="AI71" s="1388"/>
      <c r="AJ71" s="418"/>
      <c r="AK71" s="528"/>
      <c r="AL71" s="528"/>
      <c r="AM71" s="775"/>
      <c r="AN71" s="775"/>
      <c r="AO71" s="775"/>
      <c r="AP71" s="775"/>
      <c r="AQ71" s="939"/>
      <c r="AR71" s="938"/>
      <c r="AS71" s="99"/>
    </row>
    <row r="72" spans="1:45">
      <c r="A72" s="489">
        <f>'Input data'!A102</f>
        <v>2002</v>
      </c>
      <c r="B72" s="1369">
        <f>'Baseline data (from input)'!V58</f>
        <v>0.09</v>
      </c>
      <c r="C72" s="527">
        <f>$B72*'Baseline data (from input)'!L58*'Baseline data (from input)'!$C58</f>
        <v>688.43770223078741</v>
      </c>
      <c r="D72" s="528">
        <f>$B72*'Baseline data (from input)'!M58*'Baseline data (from input)'!$C58</f>
        <v>719.00793494137577</v>
      </c>
      <c r="E72" s="528">
        <f>$B72*'Baseline data (from input)'!N58*'Baseline data (from input)'!$C58</f>
        <v>196.38289444084225</v>
      </c>
      <c r="F72" s="528">
        <f>$B72*'Baseline data (from input)'!O58*'Baseline data (from input)'!$C58</f>
        <v>0</v>
      </c>
      <c r="G72" s="528">
        <f>$B72*'Baseline data (from input)'!P58*'Baseline data (from input)'!$C58</f>
        <v>0</v>
      </c>
      <c r="H72" s="528">
        <f>$B72*'Baseline data (from input)'!Q58*'Baseline data (from input)'!$C58</f>
        <v>0</v>
      </c>
      <c r="I72" s="528">
        <f>$B72*'Baseline data (from input)'!R58*'Baseline data (from input)'!$C58</f>
        <v>767.78964648699457</v>
      </c>
      <c r="J72" s="676">
        <f t="shared" si="3"/>
        <v>2371.6181780999996</v>
      </c>
      <c r="K72" s="484">
        <f>'4C2 Open-burning '!C$14*'4C2 Open-burning '!$C$5*'4C2 Open-burning '!$C$6*'4C2 Open-burning '!$C$7*C72</f>
        <v>0</v>
      </c>
      <c r="L72" s="485">
        <f>'4C2 Open-burning '!D$14*'4C2 Open-burning '!$C$5*'4C2 Open-burning '!$C$6*'4C2 Open-burning '!$C$7*D72</f>
        <v>0</v>
      </c>
      <c r="M72" s="485">
        <f>'4C2 Open-burning '!E$14*'4C2 Open-burning '!$C$5*'4C2 Open-burning '!$C$6*'4C2 Open-burning '!$C$7*E72</f>
        <v>1.0374201334889708</v>
      </c>
      <c r="N72" s="485">
        <f>'4C2 Open-burning '!F$14*'4C2 Open-burning '!$C$5*'4C2 Open-burning '!$C$6*'4C2 Open-burning '!$C$7*F72</f>
        <v>0</v>
      </c>
      <c r="O72" s="485">
        <f>'4C2 Open-burning '!G$14*'4C2 Open-burning '!$C$5*'4C2 Open-burning '!$C$6*'4C2 Open-burning '!$C$7*G72</f>
        <v>0</v>
      </c>
      <c r="P72" s="485">
        <f>'4C2 Open-burning '!H$14*'4C2 Open-burning '!$C$5*'4C2 Open-burning '!$C$6*'4C2 Open-burning '!$C$7*H72</f>
        <v>0</v>
      </c>
      <c r="Q72" s="485">
        <f>'4C2 Open-burning '!I$14*'4C2 Open-burning '!$C$5*'4C2 Open-burning '!$C$6*'4C2 Open-burning '!$C$7*I72</f>
        <v>26.451888900769934</v>
      </c>
      <c r="R72" s="1374">
        <f t="shared" si="0"/>
        <v>27.489309034258905</v>
      </c>
      <c r="S72" s="484">
        <f>C72*'4C2 Open-burning '!$C$9*'4C2 Open-burning '!$C$11*$C$5</f>
        <v>2.6849070387000711</v>
      </c>
      <c r="T72" s="485">
        <f>D72*'4C2 Open-burning '!$C$9*'4C2 Open-burning '!$C$11*$C$5</f>
        <v>2.8041309462713655</v>
      </c>
      <c r="U72" s="485">
        <f>E72*'4C2 Open-burning '!$C$9*'4C2 Open-burning '!$C$11*$C$5</f>
        <v>0.76589328831928472</v>
      </c>
      <c r="V72" s="485">
        <f>F72*'4C2 Open-burning '!$C$9*'4C2 Open-burning '!$C$11*$C$5</f>
        <v>0</v>
      </c>
      <c r="W72" s="485">
        <f>G72*'4C2 Open-burning '!$C$9*'4C2 Open-burning '!$C$11*$C$5</f>
        <v>0</v>
      </c>
      <c r="X72" s="485">
        <f>H72*'4C2 Open-burning '!$C$9*'4C2 Open-burning '!$C$11*$C$5</f>
        <v>0</v>
      </c>
      <c r="Y72" s="485">
        <f>I72*'4C2 Open-burning '!$C$9*'4C2 Open-burning '!$C$11*$C$5</f>
        <v>2.994379621299279</v>
      </c>
      <c r="Z72" s="486">
        <f t="shared" si="4"/>
        <v>9.2493108945899998</v>
      </c>
      <c r="AA72" s="487">
        <f>C72*'4C2 Open-burning '!$C$10*'4C2 Open-burning '!$C$11*$C$5*C$15</f>
        <v>2.4783757280308346E-2</v>
      </c>
      <c r="AB72" s="487">
        <f>D72*'4C2 Open-burning '!$C$10*'4C2 Open-burning '!$C$11*$C$5*D$15</f>
        <v>2.5884285657889528E-2</v>
      </c>
      <c r="AC72" s="487">
        <f>E72*'4C2 Open-burning '!$C$10*'4C2 Open-burning '!$C$11*$C$5*E$15</f>
        <v>1.5907014449708219E-2</v>
      </c>
      <c r="AD72" s="487">
        <f>F72*'4C2 Open-burning '!$C$10*'4C2 Open-burning '!$C$11*$C$5*F$15</f>
        <v>0</v>
      </c>
      <c r="AE72" s="487">
        <f>G72*'4C2 Open-burning '!$C$10*'4C2 Open-burning '!$C$11*$C$5*G$15</f>
        <v>0</v>
      </c>
      <c r="AF72" s="487">
        <f>H72*'4C2 Open-burning '!$C$10*'4C2 Open-burning '!$C$11*$C$5*H$15</f>
        <v>0</v>
      </c>
      <c r="AG72" s="487">
        <f>I72*'4C2 Open-burning '!$C$10*'4C2 Open-burning '!$C$11*$C$5*I$15</f>
        <v>6.2190961365446558E-2</v>
      </c>
      <c r="AH72" s="488">
        <f t="shared" si="2"/>
        <v>0.12876601875335264</v>
      </c>
      <c r="AI72" s="1388"/>
      <c r="AJ72" s="418"/>
      <c r="AK72" s="528"/>
      <c r="AL72" s="528"/>
      <c r="AM72" s="775"/>
      <c r="AN72" s="775"/>
      <c r="AO72" s="775"/>
      <c r="AP72" s="775"/>
      <c r="AQ72" s="939"/>
      <c r="AR72" s="938"/>
      <c r="AS72" s="99"/>
    </row>
    <row r="73" spans="1:45">
      <c r="A73" s="489">
        <f>'Input data'!A103</f>
        <v>2003</v>
      </c>
      <c r="B73" s="1369">
        <f>'Baseline data (from input)'!V59</f>
        <v>0.09</v>
      </c>
      <c r="C73" s="527">
        <f>$B73*'Baseline data (from input)'!L59*'Baseline data (from input)'!$C59</f>
        <v>697.25239004842615</v>
      </c>
      <c r="D73" s="528">
        <f>$B73*'Baseline data (from input)'!M59*'Baseline data (from input)'!$C59</f>
        <v>728.21404097591824</v>
      </c>
      <c r="E73" s="528">
        <f>$B73*'Baseline data (from input)'!N59*'Baseline data (from input)'!$C59</f>
        <v>198.89736147483978</v>
      </c>
      <c r="F73" s="528">
        <f>$B73*'Baseline data (from input)'!O59*'Baseline data (from input)'!$C59</f>
        <v>0</v>
      </c>
      <c r="G73" s="528">
        <f>$B73*'Baseline data (from input)'!P59*'Baseline data (from input)'!$C59</f>
        <v>0</v>
      </c>
      <c r="H73" s="528">
        <f>$B73*'Baseline data (from input)'!Q59*'Baseline data (from input)'!$C59</f>
        <v>0</v>
      </c>
      <c r="I73" s="528">
        <f>$B73*'Baseline data (from input)'!R59*'Baseline data (from input)'!$C59</f>
        <v>777.62034870081561</v>
      </c>
      <c r="J73" s="676">
        <f t="shared" si="3"/>
        <v>2401.9841411999996</v>
      </c>
      <c r="K73" s="484">
        <f>'4C2 Open-burning '!C$14*'4C2 Open-burning '!$C$5*'4C2 Open-burning '!$C$6*'4C2 Open-burning '!$C$7*C73</f>
        <v>0</v>
      </c>
      <c r="L73" s="485">
        <f>'4C2 Open-burning '!D$14*'4C2 Open-burning '!$C$5*'4C2 Open-burning '!$C$6*'4C2 Open-burning '!$C$7*D73</f>
        <v>0</v>
      </c>
      <c r="M73" s="485">
        <f>'4C2 Open-burning '!E$14*'4C2 Open-burning '!$C$5*'4C2 Open-burning '!$C$6*'4C2 Open-burning '!$C$7*E73</f>
        <v>1.0507031576214476</v>
      </c>
      <c r="N73" s="485">
        <f>'4C2 Open-burning '!F$14*'4C2 Open-burning '!$C$5*'4C2 Open-burning '!$C$6*'4C2 Open-burning '!$C$7*F73</f>
        <v>0</v>
      </c>
      <c r="O73" s="485">
        <f>'4C2 Open-burning '!G$14*'4C2 Open-burning '!$C$5*'4C2 Open-burning '!$C$6*'4C2 Open-burning '!$C$7*G73</f>
        <v>0</v>
      </c>
      <c r="P73" s="485">
        <f>'4C2 Open-burning '!H$14*'4C2 Open-burning '!$C$5*'4C2 Open-burning '!$C$6*'4C2 Open-burning '!$C$7*H73</f>
        <v>0</v>
      </c>
      <c r="Q73" s="485">
        <f>'4C2 Open-burning '!I$14*'4C2 Open-burning '!$C$5*'4C2 Open-burning '!$C$6*'4C2 Open-burning '!$C$7*I73</f>
        <v>26.790576253440495</v>
      </c>
      <c r="R73" s="1374">
        <f t="shared" si="0"/>
        <v>27.841279411061944</v>
      </c>
      <c r="S73" s="484">
        <f>C73*'4C2 Open-burning '!$C$9*'4C2 Open-burning '!$C$11*$C$5</f>
        <v>2.7192843211888622</v>
      </c>
      <c r="T73" s="485">
        <f>D73*'4C2 Open-burning '!$C$9*'4C2 Open-burning '!$C$11*$C$5</f>
        <v>2.8400347598060809</v>
      </c>
      <c r="U73" s="485">
        <f>E73*'4C2 Open-burning '!$C$9*'4C2 Open-burning '!$C$11*$C$5</f>
        <v>0.77569970975187508</v>
      </c>
      <c r="V73" s="485">
        <f>F73*'4C2 Open-burning '!$C$9*'4C2 Open-burning '!$C$11*$C$5</f>
        <v>0</v>
      </c>
      <c r="W73" s="485">
        <f>G73*'4C2 Open-burning '!$C$9*'4C2 Open-burning '!$C$11*$C$5</f>
        <v>0</v>
      </c>
      <c r="X73" s="485">
        <f>H73*'4C2 Open-burning '!$C$9*'4C2 Open-burning '!$C$11*$C$5</f>
        <v>0</v>
      </c>
      <c r="Y73" s="485">
        <f>I73*'4C2 Open-burning '!$C$9*'4C2 Open-burning '!$C$11*$C$5</f>
        <v>3.0327193599331808</v>
      </c>
      <c r="Z73" s="486">
        <f t="shared" si="4"/>
        <v>9.3677381506799993</v>
      </c>
      <c r="AA73" s="487">
        <f>C73*'4C2 Open-burning '!$C$10*'4C2 Open-burning '!$C$11*$C$5*C$15</f>
        <v>2.510108604174334E-2</v>
      </c>
      <c r="AB73" s="487">
        <f>D73*'4C2 Open-burning '!$C$10*'4C2 Open-burning '!$C$11*$C$5*D$15</f>
        <v>2.6215705475133057E-2</v>
      </c>
      <c r="AC73" s="487">
        <f>E73*'4C2 Open-burning '!$C$10*'4C2 Open-burning '!$C$11*$C$5*E$15</f>
        <v>1.6110686279462022E-2</v>
      </c>
      <c r="AD73" s="487">
        <f>F73*'4C2 Open-burning '!$C$10*'4C2 Open-burning '!$C$11*$C$5*F$15</f>
        <v>0</v>
      </c>
      <c r="AE73" s="487">
        <f>G73*'4C2 Open-burning '!$C$10*'4C2 Open-burning '!$C$11*$C$5*G$15</f>
        <v>0</v>
      </c>
      <c r="AF73" s="487">
        <f>H73*'4C2 Open-burning '!$C$10*'4C2 Open-burning '!$C$11*$C$5*H$15</f>
        <v>0</v>
      </c>
      <c r="AG73" s="487">
        <f>I73*'4C2 Open-burning '!$C$10*'4C2 Open-burning '!$C$11*$C$5*I$15</f>
        <v>6.2987248244766064E-2</v>
      </c>
      <c r="AH73" s="488">
        <f t="shared" si="2"/>
        <v>0.13041472604110449</v>
      </c>
      <c r="AI73" s="1388"/>
      <c r="AJ73" s="418"/>
      <c r="AK73" s="528"/>
      <c r="AL73" s="528"/>
      <c r="AM73" s="775"/>
      <c r="AN73" s="775"/>
      <c r="AO73" s="775"/>
      <c r="AP73" s="775"/>
      <c r="AQ73" s="939"/>
      <c r="AR73" s="938"/>
      <c r="AS73" s="99"/>
    </row>
    <row r="74" spans="1:45">
      <c r="A74" s="489">
        <f>'Input data'!A104</f>
        <v>2004</v>
      </c>
      <c r="B74" s="1369">
        <f>'Baseline data (from input)'!V60</f>
        <v>0.09</v>
      </c>
      <c r="C74" s="527">
        <f>$B74*'Baseline data (from input)'!L60*'Baseline data (from input)'!$C60</f>
        <v>705.55301373947884</v>
      </c>
      <c r="D74" s="528">
        <f>$B74*'Baseline data (from input)'!M60*'Baseline data (from input)'!$C60</f>
        <v>736.8832557494411</v>
      </c>
      <c r="E74" s="528">
        <f>$B74*'Baseline data (from input)'!N60*'Baseline data (from input)'!$C60</f>
        <v>201.26518720668312</v>
      </c>
      <c r="F74" s="528">
        <f>$B74*'Baseline data (from input)'!O60*'Baseline data (from input)'!$C60</f>
        <v>0</v>
      </c>
      <c r="G74" s="528">
        <f>$B74*'Baseline data (from input)'!P60*'Baseline data (from input)'!$C60</f>
        <v>0</v>
      </c>
      <c r="H74" s="528">
        <f>$B74*'Baseline data (from input)'!Q60*'Baseline data (from input)'!$C60</f>
        <v>0</v>
      </c>
      <c r="I74" s="528">
        <f>$B74*'Baseline data (from input)'!R60*'Baseline data (from input)'!$C60</f>
        <v>786.87773380439671</v>
      </c>
      <c r="J74" s="676">
        <f t="shared" si="3"/>
        <v>2430.5791904999996</v>
      </c>
      <c r="K74" s="484">
        <f>'4C2 Open-burning '!C$14*'4C2 Open-burning '!$C$5*'4C2 Open-burning '!$C$6*'4C2 Open-burning '!$C$7*C74</f>
        <v>0</v>
      </c>
      <c r="L74" s="485">
        <f>'4C2 Open-burning '!D$14*'4C2 Open-burning '!$C$5*'4C2 Open-burning '!$C$6*'4C2 Open-burning '!$C$7*D74</f>
        <v>0</v>
      </c>
      <c r="M74" s="485">
        <f>'4C2 Open-burning '!E$14*'4C2 Open-burning '!$C$5*'4C2 Open-burning '!$C$6*'4C2 Open-burning '!$C$7*E74</f>
        <v>1.0632115285455126</v>
      </c>
      <c r="N74" s="485">
        <f>'4C2 Open-burning '!F$14*'4C2 Open-burning '!$C$5*'4C2 Open-burning '!$C$6*'4C2 Open-burning '!$C$7*F74</f>
        <v>0</v>
      </c>
      <c r="O74" s="485">
        <f>'4C2 Open-burning '!G$14*'4C2 Open-burning '!$C$5*'4C2 Open-burning '!$C$6*'4C2 Open-burning '!$C$7*G74</f>
        <v>0</v>
      </c>
      <c r="P74" s="485">
        <f>'4C2 Open-burning '!H$14*'4C2 Open-burning '!$C$5*'4C2 Open-burning '!$C$6*'4C2 Open-burning '!$C$7*H74</f>
        <v>0</v>
      </c>
      <c r="Q74" s="485">
        <f>'4C2 Open-burning '!I$14*'4C2 Open-burning '!$C$5*'4C2 Open-burning '!$C$6*'4C2 Open-burning '!$C$7*I74</f>
        <v>27.109511685029073</v>
      </c>
      <c r="R74" s="1374">
        <f t="shared" si="0"/>
        <v>28.172723213574585</v>
      </c>
      <c r="S74" s="484">
        <f>C74*'4C2 Open-burning '!$C$9*'4C2 Open-burning '!$C$11*$C$5</f>
        <v>2.7516567535839673</v>
      </c>
      <c r="T74" s="485">
        <f>D74*'4C2 Open-burning '!$C$9*'4C2 Open-burning '!$C$11*$C$5</f>
        <v>2.8738446974228204</v>
      </c>
      <c r="U74" s="485">
        <f>E74*'4C2 Open-burning '!$C$9*'4C2 Open-burning '!$C$11*$C$5</f>
        <v>0.784934230106064</v>
      </c>
      <c r="V74" s="485">
        <f>F74*'4C2 Open-burning '!$C$9*'4C2 Open-burning '!$C$11*$C$5</f>
        <v>0</v>
      </c>
      <c r="W74" s="485">
        <f>G74*'4C2 Open-burning '!$C$9*'4C2 Open-burning '!$C$11*$C$5</f>
        <v>0</v>
      </c>
      <c r="X74" s="485">
        <f>H74*'4C2 Open-burning '!$C$9*'4C2 Open-burning '!$C$11*$C$5</f>
        <v>0</v>
      </c>
      <c r="Y74" s="485">
        <f>I74*'4C2 Open-burning '!$C$9*'4C2 Open-burning '!$C$11*$C$5</f>
        <v>3.0688231618371469</v>
      </c>
      <c r="Z74" s="486">
        <f t="shared" si="4"/>
        <v>9.4792588429499975</v>
      </c>
      <c r="AA74" s="487">
        <f>C74*'4C2 Open-burning '!$C$10*'4C2 Open-burning '!$C$11*$C$5*C$15</f>
        <v>2.5399908494621239E-2</v>
      </c>
      <c r="AB74" s="487">
        <f>D74*'4C2 Open-burning '!$C$10*'4C2 Open-burning '!$C$11*$C$5*D$15</f>
        <v>2.6527797206979876E-2</v>
      </c>
      <c r="AC74" s="487">
        <f>E74*'4C2 Open-burning '!$C$10*'4C2 Open-burning '!$C$11*$C$5*E$15</f>
        <v>1.6302480163741334E-2</v>
      </c>
      <c r="AD74" s="487">
        <f>F74*'4C2 Open-burning '!$C$10*'4C2 Open-burning '!$C$11*$C$5*F$15</f>
        <v>0</v>
      </c>
      <c r="AE74" s="487">
        <f>G74*'4C2 Open-burning '!$C$10*'4C2 Open-burning '!$C$11*$C$5*G$15</f>
        <v>0</v>
      </c>
      <c r="AF74" s="487">
        <f>H74*'4C2 Open-burning '!$C$10*'4C2 Open-burning '!$C$11*$C$5*H$15</f>
        <v>0</v>
      </c>
      <c r="AG74" s="487">
        <f>I74*'4C2 Open-burning '!$C$10*'4C2 Open-burning '!$C$11*$C$5*I$15</f>
        <v>6.3737096438156129E-2</v>
      </c>
      <c r="AH74" s="488">
        <f t="shared" si="2"/>
        <v>0.13196728230349858</v>
      </c>
      <c r="AI74" s="1388"/>
      <c r="AJ74" s="418"/>
      <c r="AK74" s="528"/>
      <c r="AL74" s="528"/>
      <c r="AM74" s="775"/>
      <c r="AN74" s="775"/>
      <c r="AO74" s="775"/>
      <c r="AP74" s="775"/>
      <c r="AQ74" s="939"/>
      <c r="AR74" s="938"/>
      <c r="AS74" s="99"/>
    </row>
    <row r="75" spans="1:45">
      <c r="A75" s="489">
        <f>'Input data'!A105</f>
        <v>2005</v>
      </c>
      <c r="B75" s="1369">
        <f>'Baseline data (from input)'!V61</f>
        <v>0.09</v>
      </c>
      <c r="C75" s="527">
        <f>$B75*'Baseline data (from input)'!L61*'Baseline data (from input)'!$C61</f>
        <v>713.61172490037347</v>
      </c>
      <c r="D75" s="528">
        <f>$B75*'Baseline data (from input)'!M61*'Baseline data (from input)'!$C61</f>
        <v>745.29981581189588</v>
      </c>
      <c r="E75" s="528">
        <f>$B75*'Baseline data (from input)'!N61*'Baseline data (from input)'!$C61</f>
        <v>203.56400526692448</v>
      </c>
      <c r="F75" s="528">
        <f>$B75*'Baseline data (from input)'!O61*'Baseline data (from input)'!$C61</f>
        <v>0</v>
      </c>
      <c r="G75" s="528">
        <f>$B75*'Baseline data (from input)'!P61*'Baseline data (from input)'!$C61</f>
        <v>0</v>
      </c>
      <c r="H75" s="528">
        <f>$B75*'Baseline data (from input)'!Q61*'Baseline data (from input)'!$C61</f>
        <v>0</v>
      </c>
      <c r="I75" s="528">
        <f>$B75*'Baseline data (from input)'!R61*'Baseline data (from input)'!$C61</f>
        <v>795.86532262080618</v>
      </c>
      <c r="J75" s="676">
        <f t="shared" si="3"/>
        <v>2458.3408686000002</v>
      </c>
      <c r="K75" s="484">
        <f>'4C2 Open-burning '!C$14*'4C2 Open-burning '!$C$5*'4C2 Open-burning '!$C$6*'4C2 Open-burning '!$C$7*C75</f>
        <v>0</v>
      </c>
      <c r="L75" s="485">
        <f>'4C2 Open-burning '!D$14*'4C2 Open-burning '!$C$5*'4C2 Open-burning '!$C$6*'4C2 Open-burning '!$C$7*D75</f>
        <v>0</v>
      </c>
      <c r="M75" s="485">
        <f>'4C2 Open-burning '!E$14*'4C2 Open-burning '!$C$5*'4C2 Open-burning '!$C$6*'4C2 Open-burning '!$C$7*E75</f>
        <v>1.0753553567832659</v>
      </c>
      <c r="N75" s="485">
        <f>'4C2 Open-burning '!F$14*'4C2 Open-burning '!$C$5*'4C2 Open-burning '!$C$6*'4C2 Open-burning '!$C$7*F75</f>
        <v>0</v>
      </c>
      <c r="O75" s="485">
        <f>'4C2 Open-burning '!G$14*'4C2 Open-burning '!$C$5*'4C2 Open-burning '!$C$6*'4C2 Open-burning '!$C$7*G75</f>
        <v>0</v>
      </c>
      <c r="P75" s="485">
        <f>'4C2 Open-burning '!H$14*'4C2 Open-burning '!$C$5*'4C2 Open-burning '!$C$6*'4C2 Open-burning '!$C$7*H75</f>
        <v>0</v>
      </c>
      <c r="Q75" s="485">
        <f>'4C2 Open-burning '!I$14*'4C2 Open-burning '!$C$5*'4C2 Open-burning '!$C$6*'4C2 Open-burning '!$C$7*I75</f>
        <v>27.419152094932013</v>
      </c>
      <c r="R75" s="1374">
        <f t="shared" si="0"/>
        <v>28.494507451715279</v>
      </c>
      <c r="S75" s="484">
        <f>C75*'4C2 Open-burning '!$C$9*'4C2 Open-burning '!$C$11*$C$5</f>
        <v>2.7830857271114562</v>
      </c>
      <c r="T75" s="485">
        <f>D75*'4C2 Open-burning '!$C$9*'4C2 Open-burning '!$C$11*$C$5</f>
        <v>2.9066692816663937</v>
      </c>
      <c r="U75" s="485">
        <f>E75*'4C2 Open-burning '!$C$9*'4C2 Open-burning '!$C$11*$C$5</f>
        <v>0.79389962054100549</v>
      </c>
      <c r="V75" s="485">
        <f>F75*'4C2 Open-burning '!$C$9*'4C2 Open-burning '!$C$11*$C$5</f>
        <v>0</v>
      </c>
      <c r="W75" s="485">
        <f>G75*'4C2 Open-burning '!$C$9*'4C2 Open-burning '!$C$11*$C$5</f>
        <v>0</v>
      </c>
      <c r="X75" s="485">
        <f>H75*'4C2 Open-burning '!$C$9*'4C2 Open-burning '!$C$11*$C$5</f>
        <v>0</v>
      </c>
      <c r="Y75" s="485">
        <f>I75*'4C2 Open-burning '!$C$9*'4C2 Open-burning '!$C$11*$C$5</f>
        <v>3.1038747582211443</v>
      </c>
      <c r="Z75" s="486">
        <f t="shared" si="4"/>
        <v>9.5875293875400001</v>
      </c>
      <c r="AA75" s="487">
        <f>C75*'4C2 Open-burning '!$C$10*'4C2 Open-burning '!$C$11*$C$5*C$15</f>
        <v>2.5690022096413447E-2</v>
      </c>
      <c r="AB75" s="487">
        <f>D75*'4C2 Open-burning '!$C$10*'4C2 Open-burning '!$C$11*$C$5*D$15</f>
        <v>2.6830793369228251E-2</v>
      </c>
      <c r="AC75" s="487">
        <f>E75*'4C2 Open-burning '!$C$10*'4C2 Open-burning '!$C$11*$C$5*E$15</f>
        <v>1.6488684426620881E-2</v>
      </c>
      <c r="AD75" s="487">
        <f>F75*'4C2 Open-burning '!$C$10*'4C2 Open-burning '!$C$11*$C$5*F$15</f>
        <v>0</v>
      </c>
      <c r="AE75" s="487">
        <f>G75*'4C2 Open-burning '!$C$10*'4C2 Open-burning '!$C$11*$C$5*G$15</f>
        <v>0</v>
      </c>
      <c r="AF75" s="487">
        <f>H75*'4C2 Open-burning '!$C$10*'4C2 Open-burning '!$C$11*$C$5*H$15</f>
        <v>0</v>
      </c>
      <c r="AG75" s="487">
        <f>I75*'4C2 Open-burning '!$C$10*'4C2 Open-burning '!$C$11*$C$5*I$15</f>
        <v>6.4465091132285296E-2</v>
      </c>
      <c r="AH75" s="488">
        <f t="shared" si="2"/>
        <v>0.13347459102454787</v>
      </c>
      <c r="AI75" s="1388"/>
      <c r="AJ75" s="418"/>
      <c r="AK75" s="528"/>
      <c r="AL75" s="528"/>
      <c r="AM75" s="775"/>
      <c r="AN75" s="775"/>
      <c r="AO75" s="775"/>
      <c r="AP75" s="775"/>
      <c r="AQ75" s="939"/>
      <c r="AR75" s="938"/>
      <c r="AS75" s="99"/>
    </row>
    <row r="76" spans="1:45">
      <c r="A76" s="489">
        <f>'Input data'!A106</f>
        <v>2006</v>
      </c>
      <c r="B76" s="1369">
        <f>'Baseline data (from input)'!V62</f>
        <v>0.09</v>
      </c>
      <c r="C76" s="527">
        <f>$B76*'Baseline data (from input)'!L62*'Baseline data (from input)'!$C62</f>
        <v>721.67043606126799</v>
      </c>
      <c r="D76" s="528">
        <f>$B76*'Baseline data (from input)'!M62*'Baseline data (from input)'!$C62</f>
        <v>753.71637587435066</v>
      </c>
      <c r="E76" s="528">
        <f>$B76*'Baseline data (from input)'!N62*'Baseline data (from input)'!$C62</f>
        <v>205.86282332716581</v>
      </c>
      <c r="F76" s="528">
        <f>$B76*'Baseline data (from input)'!O62*'Baseline data (from input)'!$C62</f>
        <v>0</v>
      </c>
      <c r="G76" s="528">
        <f>$B76*'Baseline data (from input)'!P62*'Baseline data (from input)'!$C62</f>
        <v>0</v>
      </c>
      <c r="H76" s="528">
        <f>$B76*'Baseline data (from input)'!Q62*'Baseline data (from input)'!$C62</f>
        <v>0</v>
      </c>
      <c r="I76" s="528">
        <f>$B76*'Baseline data (from input)'!R62*'Baseline data (from input)'!$C62</f>
        <v>804.85291143721554</v>
      </c>
      <c r="J76" s="676">
        <f t="shared" si="3"/>
        <v>2486.1025466999999</v>
      </c>
      <c r="K76" s="484">
        <f>'4C2 Open-burning '!C$14*'4C2 Open-burning '!$C$5*'4C2 Open-burning '!$C$6*'4C2 Open-burning '!$C$7*C76</f>
        <v>0</v>
      </c>
      <c r="L76" s="485">
        <f>'4C2 Open-burning '!D$14*'4C2 Open-burning '!$C$5*'4C2 Open-burning '!$C$6*'4C2 Open-burning '!$C$7*D76</f>
        <v>0</v>
      </c>
      <c r="M76" s="485">
        <f>'4C2 Open-burning '!E$14*'4C2 Open-burning '!$C$5*'4C2 Open-burning '!$C$6*'4C2 Open-burning '!$C$7*E76</f>
        <v>1.0874991850210192</v>
      </c>
      <c r="N76" s="485">
        <f>'4C2 Open-burning '!F$14*'4C2 Open-burning '!$C$5*'4C2 Open-burning '!$C$6*'4C2 Open-burning '!$C$7*F76</f>
        <v>0</v>
      </c>
      <c r="O76" s="485">
        <f>'4C2 Open-burning '!G$14*'4C2 Open-burning '!$C$5*'4C2 Open-burning '!$C$6*'4C2 Open-burning '!$C$7*G76</f>
        <v>0</v>
      </c>
      <c r="P76" s="485">
        <f>'4C2 Open-burning '!H$14*'4C2 Open-burning '!$C$5*'4C2 Open-burning '!$C$6*'4C2 Open-burning '!$C$7*H76</f>
        <v>0</v>
      </c>
      <c r="Q76" s="485">
        <f>'4C2 Open-burning '!I$14*'4C2 Open-burning '!$C$5*'4C2 Open-burning '!$C$6*'4C2 Open-burning '!$C$7*I76</f>
        <v>27.728792504834946</v>
      </c>
      <c r="R76" s="1374">
        <f t="shared" si="0"/>
        <v>28.816291689855966</v>
      </c>
      <c r="S76" s="484">
        <f>C76*'4C2 Open-burning '!$C$9*'4C2 Open-burning '!$C$11*$C$5</f>
        <v>2.8145147006389446</v>
      </c>
      <c r="T76" s="485">
        <f>D76*'4C2 Open-burning '!$C$9*'4C2 Open-burning '!$C$11*$C$5</f>
        <v>2.9394938659099674</v>
      </c>
      <c r="U76" s="485">
        <f>E76*'4C2 Open-burning '!$C$9*'4C2 Open-burning '!$C$11*$C$5</f>
        <v>0.80286501097594665</v>
      </c>
      <c r="V76" s="485">
        <f>F76*'4C2 Open-burning '!$C$9*'4C2 Open-burning '!$C$11*$C$5</f>
        <v>0</v>
      </c>
      <c r="W76" s="485">
        <f>G76*'4C2 Open-burning '!$C$9*'4C2 Open-burning '!$C$11*$C$5</f>
        <v>0</v>
      </c>
      <c r="X76" s="485">
        <f>H76*'4C2 Open-burning '!$C$9*'4C2 Open-burning '!$C$11*$C$5</f>
        <v>0</v>
      </c>
      <c r="Y76" s="485">
        <f>I76*'4C2 Open-burning '!$C$9*'4C2 Open-burning '!$C$11*$C$5</f>
        <v>3.1389263546051405</v>
      </c>
      <c r="Z76" s="486">
        <f t="shared" si="4"/>
        <v>9.695799932129999</v>
      </c>
      <c r="AA76" s="487">
        <f>C76*'4C2 Open-burning '!$C$10*'4C2 Open-burning '!$C$11*$C$5*C$15</f>
        <v>2.5980135698205644E-2</v>
      </c>
      <c r="AB76" s="487">
        <f>D76*'4C2 Open-burning '!$C$10*'4C2 Open-burning '!$C$11*$C$5*D$15</f>
        <v>2.7133789531476622E-2</v>
      </c>
      <c r="AC76" s="487">
        <f>E76*'4C2 Open-burning '!$C$10*'4C2 Open-burning '!$C$11*$C$5*E$15</f>
        <v>1.6674888689500431E-2</v>
      </c>
      <c r="AD76" s="487">
        <f>F76*'4C2 Open-burning '!$C$10*'4C2 Open-burning '!$C$11*$C$5*F$15</f>
        <v>0</v>
      </c>
      <c r="AE76" s="487">
        <f>G76*'4C2 Open-burning '!$C$10*'4C2 Open-burning '!$C$11*$C$5*G$15</f>
        <v>0</v>
      </c>
      <c r="AF76" s="487">
        <f>H76*'4C2 Open-burning '!$C$10*'4C2 Open-burning '!$C$11*$C$5*H$15</f>
        <v>0</v>
      </c>
      <c r="AG76" s="487">
        <f>I76*'4C2 Open-burning '!$C$10*'4C2 Open-burning '!$C$11*$C$5*I$15</f>
        <v>6.5193085826414449E-2</v>
      </c>
      <c r="AH76" s="488">
        <f t="shared" si="2"/>
        <v>0.13498189974559716</v>
      </c>
      <c r="AI76" s="1388"/>
      <c r="AJ76" s="418"/>
      <c r="AK76" s="528"/>
      <c r="AL76" s="528"/>
      <c r="AM76" s="775"/>
      <c r="AN76" s="775"/>
      <c r="AO76" s="775"/>
      <c r="AP76" s="775"/>
      <c r="AQ76" s="939"/>
      <c r="AR76" s="938"/>
      <c r="AS76" s="99"/>
    </row>
    <row r="77" spans="1:45">
      <c r="A77" s="489">
        <f>'Input data'!A107</f>
        <v>2007</v>
      </c>
      <c r="B77" s="1369">
        <f>'Baseline data (from input)'!V63</f>
        <v>0.09</v>
      </c>
      <c r="C77" s="527">
        <f>$B77*'Baseline data (from input)'!L63*'Baseline data (from input)'!$C63</f>
        <v>729.62331049021816</v>
      </c>
      <c r="D77" s="528">
        <f>$B77*'Baseline data (from input)'!M63*'Baseline data (from input)'!$C63</f>
        <v>762.02239950071305</v>
      </c>
      <c r="E77" s="528">
        <f>$B77*'Baseline data (from input)'!N63*'Baseline data (from input)'!$C63</f>
        <v>208.13145053108127</v>
      </c>
      <c r="F77" s="528">
        <f>$B77*'Baseline data (from input)'!O63*'Baseline data (from input)'!$C63</f>
        <v>0</v>
      </c>
      <c r="G77" s="528">
        <f>$B77*'Baseline data (from input)'!P63*'Baseline data (from input)'!$C63</f>
        <v>0</v>
      </c>
      <c r="H77" s="528">
        <f>$B77*'Baseline data (from input)'!Q63*'Baseline data (from input)'!$C63</f>
        <v>0</v>
      </c>
      <c r="I77" s="528">
        <f>$B77*'Baseline data (from input)'!R63*'Baseline data (from input)'!$C63</f>
        <v>813.72246437798719</v>
      </c>
      <c r="J77" s="676">
        <f t="shared" si="3"/>
        <v>2513.4996248999996</v>
      </c>
      <c r="K77" s="484">
        <f>'4C2 Open-burning '!C$14*'4C2 Open-burning '!$C$5*'4C2 Open-burning '!$C$6*'4C2 Open-burning '!$C$7*C77</f>
        <v>0</v>
      </c>
      <c r="L77" s="485">
        <f>'4C2 Open-burning '!D$14*'4C2 Open-burning '!$C$5*'4C2 Open-burning '!$C$6*'4C2 Open-burning '!$C$7*D77</f>
        <v>0</v>
      </c>
      <c r="M77" s="485">
        <f>'4C2 Open-burning '!E$14*'4C2 Open-burning '!$C$5*'4C2 Open-burning '!$C$6*'4C2 Open-burning '!$C$7*E77</f>
        <v>1.0994835258335112</v>
      </c>
      <c r="N77" s="485">
        <f>'4C2 Open-burning '!F$14*'4C2 Open-burning '!$C$5*'4C2 Open-burning '!$C$6*'4C2 Open-burning '!$C$7*F77</f>
        <v>0</v>
      </c>
      <c r="O77" s="485">
        <f>'4C2 Open-burning '!G$14*'4C2 Open-burning '!$C$5*'4C2 Open-burning '!$C$6*'4C2 Open-burning '!$C$7*G77</f>
        <v>0</v>
      </c>
      <c r="P77" s="485">
        <f>'4C2 Open-burning '!H$14*'4C2 Open-burning '!$C$5*'4C2 Open-burning '!$C$6*'4C2 Open-burning '!$C$7*H77</f>
        <v>0</v>
      </c>
      <c r="Q77" s="485">
        <f>'4C2 Open-burning '!I$14*'4C2 Open-burning '!$C$5*'4C2 Open-burning '!$C$6*'4C2 Open-burning '!$C$7*I77</f>
        <v>28.034366342750413</v>
      </c>
      <c r="R77" s="1374">
        <f t="shared" si="0"/>
        <v>29.133849868583923</v>
      </c>
      <c r="S77" s="484">
        <f>C77*'4C2 Open-burning '!$C$9*'4C2 Open-burning '!$C$11*$C$5</f>
        <v>2.8455309109118505</v>
      </c>
      <c r="T77" s="485">
        <f>D77*'4C2 Open-burning '!$C$9*'4C2 Open-burning '!$C$11*$C$5</f>
        <v>2.9718873580527805</v>
      </c>
      <c r="U77" s="485">
        <f>E77*'4C2 Open-burning '!$C$9*'4C2 Open-burning '!$C$11*$C$5</f>
        <v>0.81171265707121687</v>
      </c>
      <c r="V77" s="485">
        <f>F77*'4C2 Open-burning '!$C$9*'4C2 Open-burning '!$C$11*$C$5</f>
        <v>0</v>
      </c>
      <c r="W77" s="485">
        <f>G77*'4C2 Open-burning '!$C$9*'4C2 Open-burning '!$C$11*$C$5</f>
        <v>0</v>
      </c>
      <c r="X77" s="485">
        <f>H77*'4C2 Open-burning '!$C$9*'4C2 Open-burning '!$C$11*$C$5</f>
        <v>0</v>
      </c>
      <c r="Y77" s="485">
        <f>I77*'4C2 Open-burning '!$C$9*'4C2 Open-burning '!$C$11*$C$5</f>
        <v>3.1735176110741499</v>
      </c>
      <c r="Z77" s="486">
        <f t="shared" si="4"/>
        <v>9.8026485371099987</v>
      </c>
      <c r="AA77" s="487">
        <f>C77*'4C2 Open-burning '!$C$10*'4C2 Open-burning '!$C$11*$C$5*C$15</f>
        <v>2.6266439177647857E-2</v>
      </c>
      <c r="AB77" s="487">
        <f>D77*'4C2 Open-burning '!$C$10*'4C2 Open-burning '!$C$11*$C$5*D$15</f>
        <v>2.7432806382025665E-2</v>
      </c>
      <c r="AC77" s="487">
        <f>E77*'4C2 Open-burning '!$C$10*'4C2 Open-burning '!$C$11*$C$5*E$15</f>
        <v>1.6858647493017583E-2</v>
      </c>
      <c r="AD77" s="487">
        <f>F77*'4C2 Open-burning '!$C$10*'4C2 Open-burning '!$C$11*$C$5*F$15</f>
        <v>0</v>
      </c>
      <c r="AE77" s="487">
        <f>G77*'4C2 Open-burning '!$C$10*'4C2 Open-burning '!$C$11*$C$5*G$15</f>
        <v>0</v>
      </c>
      <c r="AF77" s="487">
        <f>H77*'4C2 Open-burning '!$C$10*'4C2 Open-burning '!$C$11*$C$5*H$15</f>
        <v>0</v>
      </c>
      <c r="AG77" s="487">
        <f>I77*'4C2 Open-burning '!$C$10*'4C2 Open-burning '!$C$11*$C$5*I$15</f>
        <v>6.5911519614616956E-2</v>
      </c>
      <c r="AH77" s="488">
        <f t="shared" si="2"/>
        <v>0.13646941266730805</v>
      </c>
      <c r="AI77" s="1388"/>
      <c r="AJ77" s="418"/>
      <c r="AK77" s="528"/>
      <c r="AL77" s="528"/>
      <c r="AM77" s="775"/>
      <c r="AN77" s="775"/>
      <c r="AO77" s="775"/>
      <c r="AP77" s="775"/>
      <c r="AQ77" s="939"/>
      <c r="AR77" s="938"/>
      <c r="AS77" s="99"/>
    </row>
    <row r="78" spans="1:45">
      <c r="A78" s="489">
        <f>'Input data'!A108</f>
        <v>2008</v>
      </c>
      <c r="B78" s="1369">
        <f>'Baseline data (from input)'!V64</f>
        <v>0.09</v>
      </c>
      <c r="C78" s="527">
        <f>$B78*'Baseline data (from input)'!L64*'Baseline data (from input)'!$C64</f>
        <v>737.7273802505174</v>
      </c>
      <c r="D78" s="528">
        <f>$B78*'Baseline data (from input)'!M64*'Baseline data (from input)'!$C64</f>
        <v>770.48633232149314</v>
      </c>
      <c r="E78" s="528">
        <f>$B78*'Baseline data (from input)'!N64*'Baseline data (from input)'!$C64</f>
        <v>210.44320752974798</v>
      </c>
      <c r="F78" s="528">
        <f>$B78*'Baseline data (from input)'!O64*'Baseline data (from input)'!$C64</f>
        <v>0</v>
      </c>
      <c r="G78" s="528">
        <f>$B78*'Baseline data (from input)'!P64*'Baseline data (from input)'!$C64</f>
        <v>0</v>
      </c>
      <c r="H78" s="528">
        <f>$B78*'Baseline data (from input)'!Q64*'Baseline data (from input)'!$C64</f>
        <v>0</v>
      </c>
      <c r="I78" s="528">
        <f>$B78*'Baseline data (from input)'!R64*'Baseline data (from input)'!$C64</f>
        <v>822.76063999824134</v>
      </c>
      <c r="J78" s="676">
        <f t="shared" si="3"/>
        <v>2541.4175600999997</v>
      </c>
      <c r="K78" s="484">
        <f>'4C2 Open-burning '!C$14*'4C2 Open-burning '!$C$5*'4C2 Open-burning '!$C$6*'4C2 Open-burning '!$C$7*C78</f>
        <v>0</v>
      </c>
      <c r="L78" s="485">
        <f>'4C2 Open-burning '!D$14*'4C2 Open-burning '!$C$5*'4C2 Open-burning '!$C$6*'4C2 Open-burning '!$C$7*D78</f>
        <v>0</v>
      </c>
      <c r="M78" s="485">
        <f>'4C2 Open-burning '!E$14*'4C2 Open-burning '!$C$5*'4C2 Open-burning '!$C$6*'4C2 Open-burning '!$C$7*E78</f>
        <v>1.1116957058249479</v>
      </c>
      <c r="N78" s="485">
        <f>'4C2 Open-burning '!F$14*'4C2 Open-burning '!$C$5*'4C2 Open-burning '!$C$6*'4C2 Open-burning '!$C$7*F78</f>
        <v>0</v>
      </c>
      <c r="O78" s="485">
        <f>'4C2 Open-burning '!G$14*'4C2 Open-burning '!$C$5*'4C2 Open-burning '!$C$6*'4C2 Open-burning '!$C$7*G78</f>
        <v>0</v>
      </c>
      <c r="P78" s="485">
        <f>'4C2 Open-burning '!H$14*'4C2 Open-burning '!$C$5*'4C2 Open-burning '!$C$6*'4C2 Open-burning '!$C$7*H78</f>
        <v>0</v>
      </c>
      <c r="Q78" s="485">
        <f>'4C2 Open-burning '!I$14*'4C2 Open-burning '!$C$5*'4C2 Open-burning '!$C$6*'4C2 Open-burning '!$C$7*I78</f>
        <v>28.345749569219407</v>
      </c>
      <c r="R78" s="1374">
        <f t="shared" si="0"/>
        <v>29.457445275044357</v>
      </c>
      <c r="S78" s="484">
        <f>C78*'4C2 Open-burning '!$C$9*'4C2 Open-burning '!$C$11*$C$5</f>
        <v>2.877136782977018</v>
      </c>
      <c r="T78" s="485">
        <f>D78*'4C2 Open-burning '!$C$9*'4C2 Open-burning '!$C$11*$C$5</f>
        <v>3.004896696053823</v>
      </c>
      <c r="U78" s="485">
        <f>E78*'4C2 Open-burning '!$C$9*'4C2 Open-burning '!$C$11*$C$5</f>
        <v>0.82072850936601704</v>
      </c>
      <c r="V78" s="485">
        <f>F78*'4C2 Open-burning '!$C$9*'4C2 Open-burning '!$C$11*$C$5</f>
        <v>0</v>
      </c>
      <c r="W78" s="485">
        <f>G78*'4C2 Open-burning '!$C$9*'4C2 Open-burning '!$C$11*$C$5</f>
        <v>0</v>
      </c>
      <c r="X78" s="485">
        <f>H78*'4C2 Open-burning '!$C$9*'4C2 Open-burning '!$C$11*$C$5</f>
        <v>0</v>
      </c>
      <c r="Y78" s="485">
        <f>I78*'4C2 Open-burning '!$C$9*'4C2 Open-burning '!$C$11*$C$5</f>
        <v>3.2087664959931415</v>
      </c>
      <c r="Z78" s="486">
        <f t="shared" si="4"/>
        <v>9.9115284843900007</v>
      </c>
      <c r="AA78" s="487">
        <f>C78*'4C2 Open-burning '!$C$10*'4C2 Open-burning '!$C$11*$C$5*C$15</f>
        <v>2.6558185689018621E-2</v>
      </c>
      <c r="AB78" s="487">
        <f>D78*'4C2 Open-burning '!$C$10*'4C2 Open-burning '!$C$11*$C$5*D$15</f>
        <v>2.7737507963573757E-2</v>
      </c>
      <c r="AC78" s="487">
        <f>E78*'4C2 Open-burning '!$C$10*'4C2 Open-burning '!$C$11*$C$5*E$15</f>
        <v>1.7045899809909587E-2</v>
      </c>
      <c r="AD78" s="487">
        <f>F78*'4C2 Open-burning '!$C$10*'4C2 Open-burning '!$C$11*$C$5*F$15</f>
        <v>0</v>
      </c>
      <c r="AE78" s="487">
        <f>G78*'4C2 Open-burning '!$C$10*'4C2 Open-burning '!$C$11*$C$5*G$15</f>
        <v>0</v>
      </c>
      <c r="AF78" s="487">
        <f>H78*'4C2 Open-burning '!$C$10*'4C2 Open-burning '!$C$11*$C$5*H$15</f>
        <v>0</v>
      </c>
      <c r="AG78" s="487">
        <f>I78*'4C2 Open-burning '!$C$10*'4C2 Open-burning '!$C$11*$C$5*I$15</f>
        <v>6.664361183985755E-2</v>
      </c>
      <c r="AH78" s="488">
        <f t="shared" si="2"/>
        <v>0.13798520530235953</v>
      </c>
      <c r="AI78" s="1388"/>
      <c r="AJ78" s="418"/>
      <c r="AK78" s="528"/>
      <c r="AL78" s="528"/>
      <c r="AM78" s="775"/>
      <c r="AN78" s="775"/>
      <c r="AO78" s="775"/>
      <c r="AP78" s="775"/>
      <c r="AQ78" s="939"/>
      <c r="AR78" s="938"/>
      <c r="AS78" s="99"/>
    </row>
    <row r="79" spans="1:45">
      <c r="A79" s="489">
        <f>'Input data'!A109</f>
        <v>2009</v>
      </c>
      <c r="B79" s="1369">
        <f>'Baseline data (from input)'!V65</f>
        <v>0.09</v>
      </c>
      <c r="C79" s="527">
        <f>$B79*'Baseline data (from input)'!L65*'Baseline data (from input)'!$C65</f>
        <v>745.69537421260259</v>
      </c>
      <c r="D79" s="528">
        <f>$B79*'Baseline data (from input)'!M65*'Baseline data (from input)'!$C65</f>
        <v>778.80814686729741</v>
      </c>
      <c r="E79" s="528">
        <f>$B79*'Baseline data (from input)'!N65*'Baseline data (from input)'!$C65</f>
        <v>212.71614771313858</v>
      </c>
      <c r="F79" s="528">
        <f>$B79*'Baseline data (from input)'!O65*'Baseline data (from input)'!$C65</f>
        <v>0</v>
      </c>
      <c r="G79" s="528">
        <f>$B79*'Baseline data (from input)'!P65*'Baseline data (from input)'!$C65</f>
        <v>0</v>
      </c>
      <c r="H79" s="528">
        <f>$B79*'Baseline data (from input)'!Q65*'Baseline data (from input)'!$C65</f>
        <v>0</v>
      </c>
      <c r="I79" s="528">
        <f>$B79*'Baseline data (from input)'!R65*'Baseline data (from input)'!$C65</f>
        <v>831.64705520696134</v>
      </c>
      <c r="J79" s="676">
        <f t="shared" si="3"/>
        <v>2568.866724</v>
      </c>
      <c r="K79" s="484">
        <f>'4C2 Open-burning '!C$14*'4C2 Open-burning '!$C$5*'4C2 Open-burning '!$C$6*'4C2 Open-burning '!$C$7*C79</f>
        <v>0</v>
      </c>
      <c r="L79" s="485">
        <f>'4C2 Open-burning '!D$14*'4C2 Open-burning '!$C$5*'4C2 Open-burning '!$C$6*'4C2 Open-burning '!$C$7*D79</f>
        <v>0</v>
      </c>
      <c r="M79" s="485">
        <f>'4C2 Open-burning '!E$14*'4C2 Open-burning '!$C$5*'4C2 Open-burning '!$C$6*'4C2 Open-burning '!$C$7*E79</f>
        <v>1.1237028305553345</v>
      </c>
      <c r="N79" s="485">
        <f>'4C2 Open-burning '!F$14*'4C2 Open-burning '!$C$5*'4C2 Open-burning '!$C$6*'4C2 Open-burning '!$C$7*F79</f>
        <v>0</v>
      </c>
      <c r="O79" s="485">
        <f>'4C2 Open-burning '!G$14*'4C2 Open-burning '!$C$5*'4C2 Open-burning '!$C$6*'4C2 Open-burning '!$C$7*G79</f>
        <v>0</v>
      </c>
      <c r="P79" s="485">
        <f>'4C2 Open-burning '!H$14*'4C2 Open-burning '!$C$5*'4C2 Open-burning '!$C$6*'4C2 Open-burning '!$C$7*H79</f>
        <v>0</v>
      </c>
      <c r="Q79" s="485">
        <f>'4C2 Open-burning '!I$14*'4C2 Open-burning '!$C$5*'4C2 Open-burning '!$C$6*'4C2 Open-burning '!$C$7*I79</f>
        <v>28.651904345990229</v>
      </c>
      <c r="R79" s="1374">
        <f t="shared" si="0"/>
        <v>29.775607176545563</v>
      </c>
      <c r="S79" s="484">
        <f>C79*'4C2 Open-burning '!$C$9*'4C2 Open-burning '!$C$11*$C$5</f>
        <v>2.90821195942915</v>
      </c>
      <c r="T79" s="485">
        <f>D79*'4C2 Open-burning '!$C$9*'4C2 Open-burning '!$C$11*$C$5</f>
        <v>3.0373517727824599</v>
      </c>
      <c r="U79" s="485">
        <f>E79*'4C2 Open-burning '!$C$9*'4C2 Open-burning '!$C$11*$C$5</f>
        <v>0.8295929760812405</v>
      </c>
      <c r="V79" s="485">
        <f>F79*'4C2 Open-burning '!$C$9*'4C2 Open-burning '!$C$11*$C$5</f>
        <v>0</v>
      </c>
      <c r="W79" s="485">
        <f>G79*'4C2 Open-burning '!$C$9*'4C2 Open-burning '!$C$11*$C$5</f>
        <v>0</v>
      </c>
      <c r="X79" s="485">
        <f>H79*'4C2 Open-burning '!$C$9*'4C2 Open-burning '!$C$11*$C$5</f>
        <v>0</v>
      </c>
      <c r="Y79" s="485">
        <f>I79*'4C2 Open-burning '!$C$9*'4C2 Open-burning '!$C$11*$C$5</f>
        <v>3.2434235153071489</v>
      </c>
      <c r="Z79" s="486">
        <f t="shared" si="4"/>
        <v>10.018580223600001</v>
      </c>
      <c r="AA79" s="487">
        <f>C79*'4C2 Open-burning '!$C$10*'4C2 Open-burning '!$C$11*$C$5*C$15</f>
        <v>2.6845033471653693E-2</v>
      </c>
      <c r="AB79" s="487">
        <f>D79*'4C2 Open-burning '!$C$10*'4C2 Open-burning '!$C$11*$C$5*D$15</f>
        <v>2.8037093287222703E-2</v>
      </c>
      <c r="AC79" s="487">
        <f>E79*'4C2 Open-burning '!$C$10*'4C2 Open-burning '!$C$11*$C$5*E$15</f>
        <v>1.7230007964764225E-2</v>
      </c>
      <c r="AD79" s="487">
        <f>F79*'4C2 Open-burning '!$C$10*'4C2 Open-burning '!$C$11*$C$5*F$15</f>
        <v>0</v>
      </c>
      <c r="AE79" s="487">
        <f>G79*'4C2 Open-burning '!$C$10*'4C2 Open-burning '!$C$11*$C$5*G$15</f>
        <v>0</v>
      </c>
      <c r="AF79" s="487">
        <f>H79*'4C2 Open-burning '!$C$10*'4C2 Open-burning '!$C$11*$C$5*H$15</f>
        <v>0</v>
      </c>
      <c r="AG79" s="487">
        <f>I79*'4C2 Open-burning '!$C$10*'4C2 Open-burning '!$C$11*$C$5*I$15</f>
        <v>6.7363411471763862E-2</v>
      </c>
      <c r="AH79" s="488">
        <f t="shared" si="2"/>
        <v>0.13947554619540448</v>
      </c>
      <c r="AI79" s="1388"/>
      <c r="AJ79" s="418"/>
      <c r="AK79" s="528"/>
      <c r="AL79" s="528"/>
      <c r="AM79" s="775"/>
      <c r="AN79" s="775"/>
      <c r="AO79" s="775"/>
      <c r="AP79" s="775"/>
      <c r="AQ79" s="939"/>
      <c r="AR79" s="938"/>
      <c r="AS79" s="99"/>
    </row>
    <row r="80" spans="1:45">
      <c r="A80" s="489">
        <f>'Input data'!A110</f>
        <v>2010</v>
      </c>
      <c r="B80" s="1369">
        <f>'Baseline data (from input)'!V66</f>
        <v>9.3933535107009608E-2</v>
      </c>
      <c r="C80" s="527">
        <f>$B80*'Baseline data (from input)'!L66*'Baseline data (from input)'!$C66</f>
        <v>760.71008609977446</v>
      </c>
      <c r="D80" s="528">
        <f>$B80*'Baseline data (from input)'!M66*'Baseline data (from input)'!$C66</f>
        <v>794.48959044999663</v>
      </c>
      <c r="E80" s="528">
        <f>$B80*'Baseline data (from input)'!N66*'Baseline data (from input)'!$C66</f>
        <v>216.99922600772283</v>
      </c>
      <c r="F80" s="528">
        <f>$B80*'Baseline data (from input)'!O66*'Baseline data (from input)'!$C66</f>
        <v>0</v>
      </c>
      <c r="G80" s="528">
        <f>$B80*'Baseline data (from input)'!P66*'Baseline data (from input)'!$C66</f>
        <v>0</v>
      </c>
      <c r="H80" s="528">
        <f>$B80*'Baseline data (from input)'!Q66*'Baseline data (from input)'!$C66</f>
        <v>0</v>
      </c>
      <c r="I80" s="528">
        <f>$B80*'Baseline data (from input)'!R66*'Baseline data (from input)'!$C66</f>
        <v>848.3924198123575</v>
      </c>
      <c r="J80" s="676">
        <f>SUM(C80:I80)</f>
        <v>2620.5913223698517</v>
      </c>
      <c r="K80" s="484">
        <f>'4C2 Open-burning '!C$14*'4C2 Open-burning '!$C$5*'4C2 Open-burning '!$C$6*'4C2 Open-burning '!$C$7*C80</f>
        <v>0</v>
      </c>
      <c r="L80" s="485">
        <f>'4C2 Open-burning '!D$14*'4C2 Open-burning '!$C$5*'4C2 Open-burning '!$C$6*'4C2 Open-burning '!$C$7*D80</f>
        <v>0</v>
      </c>
      <c r="M80" s="485">
        <f>'4C2 Open-burning '!E$14*'4C2 Open-burning '!$C$5*'4C2 Open-burning '!$C$6*'4C2 Open-burning '!$C$7*E80</f>
        <v>1.1463287912774369</v>
      </c>
      <c r="N80" s="485">
        <f>'4C2 Open-burning '!F$14*'4C2 Open-burning '!$C$5*'4C2 Open-burning '!$C$6*'4C2 Open-burning '!$C$7*F80</f>
        <v>0</v>
      </c>
      <c r="O80" s="485">
        <f>'4C2 Open-burning '!G$14*'4C2 Open-burning '!$C$5*'4C2 Open-burning '!$C$6*'4C2 Open-burning '!$C$7*G80</f>
        <v>0</v>
      </c>
      <c r="P80" s="485">
        <f>'4C2 Open-burning '!H$14*'4C2 Open-burning '!$C$5*'4C2 Open-burning '!$C$6*'4C2 Open-burning '!$C$7*H80</f>
        <v>0</v>
      </c>
      <c r="Q80" s="485">
        <f>'4C2 Open-burning '!I$14*'4C2 Open-burning '!$C$5*'4C2 Open-burning '!$C$6*'4C2 Open-burning '!$C$7*I80</f>
        <v>29.228815647375338</v>
      </c>
      <c r="R80" s="1374">
        <f t="shared" si="0"/>
        <v>30.375144438652775</v>
      </c>
      <c r="S80" s="484">
        <f>C80*'4C2 Open-burning '!$C$9*'4C2 Open-burning '!$C$11*$C$5</f>
        <v>2.9667693357891207</v>
      </c>
      <c r="T80" s="485">
        <f>D80*'4C2 Open-burning '!$C$9*'4C2 Open-burning '!$C$11*$C$5</f>
        <v>3.0985094027549862</v>
      </c>
      <c r="U80" s="485">
        <f>E80*'4C2 Open-burning '!$C$9*'4C2 Open-burning '!$C$11*$C$5</f>
        <v>0.84629698143011889</v>
      </c>
      <c r="V80" s="485">
        <f>F80*'4C2 Open-burning '!$C$9*'4C2 Open-burning '!$C$11*$C$5</f>
        <v>0</v>
      </c>
      <c r="W80" s="485">
        <f>G80*'4C2 Open-burning '!$C$9*'4C2 Open-burning '!$C$11*$C$5</f>
        <v>0</v>
      </c>
      <c r="X80" s="485">
        <f>H80*'4C2 Open-burning '!$C$9*'4C2 Open-burning '!$C$11*$C$5</f>
        <v>0</v>
      </c>
      <c r="Y80" s="485">
        <f>I80*'4C2 Open-burning '!$C$9*'4C2 Open-burning '!$C$11*$C$5</f>
        <v>3.3087304372681938</v>
      </c>
      <c r="Z80" s="486">
        <f t="shared" si="4"/>
        <v>10.220306157242419</v>
      </c>
      <c r="AA80" s="487">
        <f>C80*'4C2 Open-burning '!$C$10*'4C2 Open-burning '!$C$11*$C$5*C$15</f>
        <v>2.7385563099591882E-2</v>
      </c>
      <c r="AB80" s="487">
        <f>D80*'4C2 Open-burning '!$C$10*'4C2 Open-burning '!$C$11*$C$5*D$15</f>
        <v>2.8601625256199883E-2</v>
      </c>
      <c r="AC80" s="487">
        <f>E80*'4C2 Open-burning '!$C$10*'4C2 Open-burning '!$C$11*$C$5*E$15</f>
        <v>1.7576937306625549E-2</v>
      </c>
      <c r="AD80" s="487">
        <f>F80*'4C2 Open-burning '!$C$10*'4C2 Open-burning '!$C$11*$C$5*F$15</f>
        <v>0</v>
      </c>
      <c r="AE80" s="487">
        <f>G80*'4C2 Open-burning '!$C$10*'4C2 Open-burning '!$C$11*$C$5*G$15</f>
        <v>0</v>
      </c>
      <c r="AF80" s="487">
        <f>H80*'4C2 Open-burning '!$C$10*'4C2 Open-burning '!$C$11*$C$5*H$15</f>
        <v>0</v>
      </c>
      <c r="AG80" s="487">
        <f>I80*'4C2 Open-burning '!$C$10*'4C2 Open-burning '!$C$11*$C$5*I$15</f>
        <v>6.8719786004800956E-2</v>
      </c>
      <c r="AH80" s="488">
        <f t="shared" si="2"/>
        <v>0.14228391166721827</v>
      </c>
      <c r="AI80" s="1388"/>
      <c r="AJ80" s="418"/>
      <c r="AK80" s="528"/>
      <c r="AL80" s="528"/>
      <c r="AM80" s="775"/>
      <c r="AN80" s="775"/>
      <c r="AO80" s="775"/>
      <c r="AP80" s="775"/>
      <c r="AQ80" s="939"/>
      <c r="AR80" s="938"/>
      <c r="AS80" s="99"/>
    </row>
    <row r="81" spans="1:45">
      <c r="A81" s="489">
        <f>'Input data'!A111</f>
        <v>2011</v>
      </c>
      <c r="B81" s="1369">
        <f>'Baseline data (from input)'!V67</f>
        <v>9.7867070214019219E-2</v>
      </c>
      <c r="C81" s="527">
        <f>$B81*'Baseline data (from input)'!L67*'Baseline data (from input)'!$C67</f>
        <v>794.37922077568578</v>
      </c>
      <c r="D81" s="528">
        <f>$B81*'Baseline data (from input)'!M67*'Baseline data (from input)'!$C67</f>
        <v>829.65381070717615</v>
      </c>
      <c r="E81" s="528">
        <f>$B81*'Baseline data (from input)'!N67*'Baseline data (from input)'!$C67</f>
        <v>226.60364206388675</v>
      </c>
      <c r="F81" s="528">
        <f>$B81*'Baseline data (from input)'!O67*'Baseline data (from input)'!$C67</f>
        <v>0</v>
      </c>
      <c r="G81" s="528">
        <f>$B81*'Baseline data (from input)'!P67*'Baseline data (from input)'!$C67</f>
        <v>0</v>
      </c>
      <c r="H81" s="528">
        <f>$B81*'Baseline data (from input)'!Q67*'Baseline data (from input)'!$C67</f>
        <v>0</v>
      </c>
      <c r="I81" s="528">
        <f>$B81*'Baseline data (from input)'!R67*'Baseline data (from input)'!$C67</f>
        <v>885.94238682691093</v>
      </c>
      <c r="J81" s="676">
        <f t="shared" si="3"/>
        <v>2736.5790603736596</v>
      </c>
      <c r="K81" s="484">
        <f>'4C2 Open-burning '!C$14*'4C2 Open-burning '!$C$5*'4C2 Open-burning '!$C$6*'4C2 Open-burning '!$C$7*C81</f>
        <v>0</v>
      </c>
      <c r="L81" s="485">
        <f>'4C2 Open-burning '!D$14*'4C2 Open-burning '!$C$5*'4C2 Open-burning '!$C$6*'4C2 Open-burning '!$C$7*D81</f>
        <v>0</v>
      </c>
      <c r="M81" s="485">
        <f>'4C2 Open-burning '!E$14*'4C2 Open-burning '!$C$5*'4C2 Open-burning '!$C$6*'4C2 Open-burning '!$C$7*E81</f>
        <v>1.1970654637123708</v>
      </c>
      <c r="N81" s="485">
        <f>'4C2 Open-burning '!F$14*'4C2 Open-burning '!$C$5*'4C2 Open-burning '!$C$6*'4C2 Open-burning '!$C$7*F81</f>
        <v>0</v>
      </c>
      <c r="O81" s="485">
        <f>'4C2 Open-burning '!G$14*'4C2 Open-burning '!$C$5*'4C2 Open-burning '!$C$6*'4C2 Open-burning '!$C$7*G81</f>
        <v>0</v>
      </c>
      <c r="P81" s="485">
        <f>'4C2 Open-burning '!H$14*'4C2 Open-burning '!$C$5*'4C2 Open-burning '!$C$6*'4C2 Open-burning '!$C$7*H81</f>
        <v>0</v>
      </c>
      <c r="Q81" s="485">
        <f>'4C2 Open-burning '!I$14*'4C2 Open-burning '!$C$5*'4C2 Open-burning '!$C$6*'4C2 Open-burning '!$C$7*I81</f>
        <v>30.522487110960732</v>
      </c>
      <c r="R81" s="1374">
        <f t="shared" si="0"/>
        <v>31.719552574673102</v>
      </c>
      <c r="S81" s="484">
        <f>C81*'4C2 Open-burning '!$C$9*'4C2 Open-burning '!$C$11*$C$5</f>
        <v>3.0980789610251742</v>
      </c>
      <c r="T81" s="485">
        <f>D81*'4C2 Open-burning '!$C$9*'4C2 Open-burning '!$C$11*$C$5</f>
        <v>3.2356498617579867</v>
      </c>
      <c r="U81" s="485">
        <f>E81*'4C2 Open-burning '!$C$9*'4C2 Open-burning '!$C$11*$C$5</f>
        <v>0.88375420404915828</v>
      </c>
      <c r="V81" s="485">
        <f>F81*'4C2 Open-burning '!$C$9*'4C2 Open-burning '!$C$11*$C$5</f>
        <v>0</v>
      </c>
      <c r="W81" s="485">
        <f>G81*'4C2 Open-burning '!$C$9*'4C2 Open-burning '!$C$11*$C$5</f>
        <v>0</v>
      </c>
      <c r="X81" s="485">
        <f>H81*'4C2 Open-burning '!$C$9*'4C2 Open-burning '!$C$11*$C$5</f>
        <v>0</v>
      </c>
      <c r="Y81" s="485">
        <f>I81*'4C2 Open-burning '!$C$9*'4C2 Open-burning '!$C$11*$C$5</f>
        <v>3.4551753086249524</v>
      </c>
      <c r="Z81" s="486">
        <f t="shared" si="4"/>
        <v>10.672658335457273</v>
      </c>
      <c r="AA81" s="487">
        <f>C81*'4C2 Open-burning '!$C$10*'4C2 Open-burning '!$C$11*$C$5*C$15</f>
        <v>2.8597651947924685E-2</v>
      </c>
      <c r="AB81" s="487">
        <f>D81*'4C2 Open-burning '!$C$10*'4C2 Open-burning '!$C$11*$C$5*D$15</f>
        <v>2.9867537185458339E-2</v>
      </c>
      <c r="AC81" s="487">
        <f>E81*'4C2 Open-burning '!$C$10*'4C2 Open-burning '!$C$11*$C$5*E$15</f>
        <v>1.8354895007174826E-2</v>
      </c>
      <c r="AD81" s="487">
        <f>F81*'4C2 Open-burning '!$C$10*'4C2 Open-burning '!$C$11*$C$5*F$15</f>
        <v>0</v>
      </c>
      <c r="AE81" s="487">
        <f>G81*'4C2 Open-burning '!$C$10*'4C2 Open-burning '!$C$11*$C$5*G$15</f>
        <v>0</v>
      </c>
      <c r="AF81" s="487">
        <f>H81*'4C2 Open-burning '!$C$10*'4C2 Open-burning '!$C$11*$C$5*H$15</f>
        <v>0</v>
      </c>
      <c r="AG81" s="487">
        <f>I81*'4C2 Open-burning '!$C$10*'4C2 Open-burning '!$C$11*$C$5*I$15</f>
        <v>7.1761333332979779E-2</v>
      </c>
      <c r="AH81" s="488">
        <f t="shared" si="2"/>
        <v>0.14858141747353765</v>
      </c>
      <c r="AI81" s="1388"/>
      <c r="AJ81" s="418"/>
      <c r="AK81" s="528"/>
      <c r="AL81" s="528"/>
      <c r="AM81" s="775"/>
      <c r="AN81" s="775"/>
      <c r="AO81" s="775"/>
      <c r="AP81" s="775"/>
      <c r="AQ81" s="939"/>
      <c r="AR81" s="938"/>
      <c r="AS81" s="99"/>
    </row>
    <row r="82" spans="1:45">
      <c r="A82" s="489">
        <f>'Input data'!A112</f>
        <v>2012</v>
      </c>
      <c r="B82" s="1369">
        <f>'Baseline data (from input)'!V68</f>
        <v>0.10180060532102883</v>
      </c>
      <c r="C82" s="527">
        <f>$B82*'Baseline data (from input)'!L68*'Baseline data (from input)'!$C68</f>
        <v>805.30083399816965</v>
      </c>
      <c r="D82" s="528">
        <f>$B82*'Baseline data (from input)'!M68*'Baseline data (from input)'!$C68</f>
        <v>841.0604006482572</v>
      </c>
      <c r="E82" s="528">
        <f>$B82*'Baseline data (from input)'!N68*'Baseline data (from input)'!$C68</f>
        <v>229.71912805433266</v>
      </c>
      <c r="F82" s="528">
        <f>$B82*'Baseline data (from input)'!O68*'Baseline data (from input)'!$C68</f>
        <v>0</v>
      </c>
      <c r="G82" s="528">
        <f>$B82*'Baseline data (from input)'!P68*'Baseline data (from input)'!$C68</f>
        <v>0</v>
      </c>
      <c r="H82" s="528">
        <f>$B82*'Baseline data (from input)'!Q68*'Baseline data (from input)'!$C68</f>
        <v>0</v>
      </c>
      <c r="I82" s="528">
        <f>$B82*'Baseline data (from input)'!R68*'Baseline data (from input)'!$C68</f>
        <v>898.12286666987507</v>
      </c>
      <c r="J82" s="676">
        <f t="shared" si="3"/>
        <v>2774.2032293706347</v>
      </c>
      <c r="K82" s="484">
        <f>'4C2 Open-burning '!C$14*'4C2 Open-burning '!$C$5*'4C2 Open-burning '!$C$6*'4C2 Open-burning '!$C$7*C82</f>
        <v>0</v>
      </c>
      <c r="L82" s="485">
        <f>'4C2 Open-burning '!D$14*'4C2 Open-burning '!$C$5*'4C2 Open-burning '!$C$6*'4C2 Open-burning '!$C$7*D82</f>
        <v>0</v>
      </c>
      <c r="M82" s="485">
        <f>'4C2 Open-burning '!E$14*'4C2 Open-burning '!$C$5*'4C2 Open-burning '!$C$6*'4C2 Open-burning '!$C$7*E82</f>
        <v>1.2135234546249398</v>
      </c>
      <c r="N82" s="485">
        <f>'4C2 Open-burning '!F$14*'4C2 Open-burning '!$C$5*'4C2 Open-burning '!$C$6*'4C2 Open-burning '!$C$7*F82</f>
        <v>0</v>
      </c>
      <c r="O82" s="485">
        <f>'4C2 Open-burning '!G$14*'4C2 Open-burning '!$C$5*'4C2 Open-burning '!$C$6*'4C2 Open-burning '!$C$7*G82</f>
        <v>0</v>
      </c>
      <c r="P82" s="485">
        <f>'4C2 Open-burning '!H$14*'4C2 Open-burning '!$C$5*'4C2 Open-burning '!$C$6*'4C2 Open-burning '!$C$7*H82</f>
        <v>0</v>
      </c>
      <c r="Q82" s="485">
        <f>'4C2 Open-burning '!I$14*'4C2 Open-burning '!$C$5*'4C2 Open-burning '!$C$6*'4C2 Open-burning '!$C$7*I82</f>
        <v>30.942129002510534</v>
      </c>
      <c r="R82" s="1374">
        <f t="shared" si="0"/>
        <v>32.155652457135474</v>
      </c>
      <c r="S82" s="484">
        <f>C82*'4C2 Open-burning '!$C$9*'4C2 Open-burning '!$C$11*$C$5</f>
        <v>3.1406732525928609</v>
      </c>
      <c r="T82" s="485">
        <f>D82*'4C2 Open-burning '!$C$9*'4C2 Open-burning '!$C$11*$C$5</f>
        <v>3.2801355625282027</v>
      </c>
      <c r="U82" s="485">
        <f>E82*'4C2 Open-burning '!$C$9*'4C2 Open-burning '!$C$11*$C$5</f>
        <v>0.89590459941189737</v>
      </c>
      <c r="V82" s="485">
        <f>F82*'4C2 Open-burning '!$C$9*'4C2 Open-burning '!$C$11*$C$5</f>
        <v>0</v>
      </c>
      <c r="W82" s="485">
        <f>G82*'4C2 Open-burning '!$C$9*'4C2 Open-burning '!$C$11*$C$5</f>
        <v>0</v>
      </c>
      <c r="X82" s="485">
        <f>H82*'4C2 Open-burning '!$C$9*'4C2 Open-burning '!$C$11*$C$5</f>
        <v>0</v>
      </c>
      <c r="Y82" s="485">
        <f>I82*'4C2 Open-burning '!$C$9*'4C2 Open-burning '!$C$11*$C$5</f>
        <v>3.5026791800125125</v>
      </c>
      <c r="Z82" s="486">
        <f t="shared" si="4"/>
        <v>10.819392594545473</v>
      </c>
      <c r="AA82" s="487">
        <f>C82*'4C2 Open-burning '!$C$10*'4C2 Open-burning '!$C$11*$C$5*C$15</f>
        <v>2.8990830023934107E-2</v>
      </c>
      <c r="AB82" s="487">
        <f>D82*'4C2 Open-burning '!$C$10*'4C2 Open-burning '!$C$11*$C$5*D$15</f>
        <v>3.0278174423337259E-2</v>
      </c>
      <c r="AC82" s="487">
        <f>E82*'4C2 Open-burning '!$C$10*'4C2 Open-burning '!$C$11*$C$5*E$15</f>
        <v>1.8607249372400943E-2</v>
      </c>
      <c r="AD82" s="487">
        <f>F82*'4C2 Open-burning '!$C$10*'4C2 Open-burning '!$C$11*$C$5*F$15</f>
        <v>0</v>
      </c>
      <c r="AE82" s="487">
        <f>G82*'4C2 Open-burning '!$C$10*'4C2 Open-burning '!$C$11*$C$5*G$15</f>
        <v>0</v>
      </c>
      <c r="AF82" s="487">
        <f>H82*'4C2 Open-burning '!$C$10*'4C2 Open-burning '!$C$11*$C$5*H$15</f>
        <v>0</v>
      </c>
      <c r="AG82" s="487">
        <f>I82*'4C2 Open-burning '!$C$10*'4C2 Open-burning '!$C$11*$C$5*I$15</f>
        <v>7.2747952200259883E-2</v>
      </c>
      <c r="AH82" s="488">
        <f t="shared" si="2"/>
        <v>0.15062420601993221</v>
      </c>
      <c r="AI82" s="1388"/>
      <c r="AJ82" s="418"/>
      <c r="AK82" s="528"/>
      <c r="AL82" s="528"/>
      <c r="AM82" s="775"/>
      <c r="AN82" s="775"/>
      <c r="AO82" s="775"/>
      <c r="AP82" s="775"/>
      <c r="AQ82" s="939"/>
      <c r="AR82" s="938"/>
      <c r="AS82" s="99"/>
    </row>
    <row r="83" spans="1:45">
      <c r="A83" s="489">
        <f>'Input data'!A113</f>
        <v>2013</v>
      </c>
      <c r="B83" s="1369">
        <f>'Baseline data (from input)'!V69</f>
        <v>0.10573414042803844</v>
      </c>
      <c r="C83" s="527">
        <f>$B83*'Baseline data (from input)'!L69*'Baseline data (from input)'!$C69</f>
        <v>817.39781953954912</v>
      </c>
      <c r="D83" s="528">
        <f>$B83*'Baseline data (from input)'!M69*'Baseline data (from input)'!$C69</f>
        <v>853.69455558332083</v>
      </c>
      <c r="E83" s="528">
        <f>$B83*'Baseline data (from input)'!N69*'Baseline data (from input)'!$C69</f>
        <v>233.16989931065288</v>
      </c>
      <c r="F83" s="528">
        <f>$B83*'Baseline data (from input)'!O69*'Baseline data (from input)'!$C69</f>
        <v>0</v>
      </c>
      <c r="G83" s="528">
        <f>$B83*'Baseline data (from input)'!P69*'Baseline data (from input)'!$C69</f>
        <v>0</v>
      </c>
      <c r="H83" s="528">
        <f>$B83*'Baseline data (from input)'!Q69*'Baseline data (from input)'!$C69</f>
        <v>0</v>
      </c>
      <c r="I83" s="528">
        <f>$B83*'Baseline data (from input)'!R69*'Baseline data (from input)'!$C69</f>
        <v>911.61419670929297</v>
      </c>
      <c r="J83" s="676">
        <f t="shared" si="3"/>
        <v>2815.8764711428157</v>
      </c>
      <c r="K83" s="484">
        <f>'4C2 Open-burning '!C$14*'4C2 Open-burning '!$C$5*'4C2 Open-burning '!$C$6*'4C2 Open-burning '!$C$7*C83</f>
        <v>0</v>
      </c>
      <c r="L83" s="485">
        <f>'4C2 Open-burning '!D$14*'4C2 Open-burning '!$C$5*'4C2 Open-burning '!$C$6*'4C2 Open-burning '!$C$7*D83</f>
        <v>0</v>
      </c>
      <c r="M83" s="485">
        <f>'4C2 Open-burning '!E$14*'4C2 Open-burning '!$C$5*'4C2 Open-burning '!$C$6*'4C2 Open-burning '!$C$7*E83</f>
        <v>1.2317526368944274</v>
      </c>
      <c r="N83" s="485">
        <f>'4C2 Open-burning '!F$14*'4C2 Open-burning '!$C$5*'4C2 Open-burning '!$C$6*'4C2 Open-burning '!$C$7*F83</f>
        <v>0</v>
      </c>
      <c r="O83" s="485">
        <f>'4C2 Open-burning '!G$14*'4C2 Open-burning '!$C$5*'4C2 Open-burning '!$C$6*'4C2 Open-burning '!$C$7*G83</f>
        <v>0</v>
      </c>
      <c r="P83" s="485">
        <f>'4C2 Open-burning '!H$14*'4C2 Open-burning '!$C$5*'4C2 Open-burning '!$C$6*'4C2 Open-burning '!$C$7*H83</f>
        <v>0</v>
      </c>
      <c r="Q83" s="485">
        <f>'4C2 Open-burning '!I$14*'4C2 Open-burning '!$C$5*'4C2 Open-burning '!$C$6*'4C2 Open-burning '!$C$7*I83</f>
        <v>31.406932305028558</v>
      </c>
      <c r="R83" s="1374">
        <f t="shared" si="0"/>
        <v>32.638684941922989</v>
      </c>
      <c r="S83" s="484">
        <f>C83*'4C2 Open-burning '!$C$9*'4C2 Open-burning '!$C$11*$C$5</f>
        <v>3.1878514962042415</v>
      </c>
      <c r="T83" s="485">
        <f>D83*'4C2 Open-burning '!$C$9*'4C2 Open-burning '!$C$11*$C$5</f>
        <v>3.329408766774951</v>
      </c>
      <c r="U83" s="485">
        <f>E83*'4C2 Open-burning '!$C$9*'4C2 Open-burning '!$C$11*$C$5</f>
        <v>0.90936260731154617</v>
      </c>
      <c r="V83" s="485">
        <f>F83*'4C2 Open-burning '!$C$9*'4C2 Open-burning '!$C$11*$C$5</f>
        <v>0</v>
      </c>
      <c r="W83" s="485">
        <f>G83*'4C2 Open-burning '!$C$9*'4C2 Open-burning '!$C$11*$C$5</f>
        <v>0</v>
      </c>
      <c r="X83" s="485">
        <f>H83*'4C2 Open-burning '!$C$9*'4C2 Open-burning '!$C$11*$C$5</f>
        <v>0</v>
      </c>
      <c r="Y83" s="485">
        <f>I83*'4C2 Open-burning '!$C$9*'4C2 Open-burning '!$C$11*$C$5</f>
        <v>3.5552953671662424</v>
      </c>
      <c r="Z83" s="486">
        <f t="shared" si="4"/>
        <v>10.981918237456981</v>
      </c>
      <c r="AA83" s="487">
        <f>C83*'4C2 Open-burning '!$C$10*'4C2 Open-burning '!$C$11*$C$5*C$15</f>
        <v>2.9426321503423766E-2</v>
      </c>
      <c r="AB83" s="487">
        <f>D83*'4C2 Open-burning '!$C$10*'4C2 Open-burning '!$C$11*$C$5*D$15</f>
        <v>3.0733004000999549E-2</v>
      </c>
      <c r="AC83" s="487">
        <f>E83*'4C2 Open-burning '!$C$10*'4C2 Open-burning '!$C$11*$C$5*E$15</f>
        <v>1.888676184416288E-2</v>
      </c>
      <c r="AD83" s="487">
        <f>F83*'4C2 Open-burning '!$C$10*'4C2 Open-burning '!$C$11*$C$5*F$15</f>
        <v>0</v>
      </c>
      <c r="AE83" s="487">
        <f>G83*'4C2 Open-burning '!$C$10*'4C2 Open-burning '!$C$11*$C$5*G$15</f>
        <v>0</v>
      </c>
      <c r="AF83" s="487">
        <f>H83*'4C2 Open-burning '!$C$10*'4C2 Open-burning '!$C$11*$C$5*H$15</f>
        <v>0</v>
      </c>
      <c r="AG83" s="487">
        <f>I83*'4C2 Open-burning '!$C$10*'4C2 Open-burning '!$C$11*$C$5*I$15</f>
        <v>7.3840749933452729E-2</v>
      </c>
      <c r="AH83" s="488">
        <f t="shared" si="2"/>
        <v>0.15288683728203895</v>
      </c>
      <c r="AI83" s="1388"/>
      <c r="AJ83" s="418"/>
      <c r="AK83" s="528"/>
      <c r="AL83" s="528"/>
      <c r="AM83" s="775"/>
      <c r="AN83" s="775"/>
      <c r="AO83" s="775"/>
      <c r="AP83" s="775"/>
      <c r="AQ83" s="939"/>
      <c r="AR83" s="938"/>
      <c r="AS83" s="99"/>
    </row>
    <row r="84" spans="1:45">
      <c r="A84" s="489">
        <f>'Input data'!A114</f>
        <v>2014</v>
      </c>
      <c r="B84" s="1369">
        <f>'Baseline data (from input)'!V70</f>
        <v>0.10966767553504805</v>
      </c>
      <c r="C84" s="527">
        <f>$B84*'Baseline data (from input)'!L70*'Baseline data (from input)'!$C70</f>
        <v>827.56761967995976</v>
      </c>
      <c r="D84" s="528">
        <f>$B84*'Baseline data (from input)'!M70*'Baseline data (from input)'!$C70</f>
        <v>864.31594801146503</v>
      </c>
      <c r="E84" s="528">
        <f>$B84*'Baseline data (from input)'!N70*'Baseline data (from input)'!$C70</f>
        <v>236.07092402354576</v>
      </c>
      <c r="F84" s="528">
        <f>$B84*'Baseline data (from input)'!O70*'Baseline data (from input)'!$C70</f>
        <v>0</v>
      </c>
      <c r="G84" s="528">
        <f>$B84*'Baseline data (from input)'!P70*'Baseline data (from input)'!$C70</f>
        <v>0</v>
      </c>
      <c r="H84" s="528">
        <f>$B84*'Baseline data (from input)'!Q70*'Baseline data (from input)'!$C70</f>
        <v>0</v>
      </c>
      <c r="I84" s="528">
        <f>$B84*'Baseline data (from input)'!R70*'Baseline data (from input)'!$C70</f>
        <v>922.95620663894613</v>
      </c>
      <c r="J84" s="676">
        <f t="shared" si="3"/>
        <v>2850.9106983539168</v>
      </c>
      <c r="K84" s="484">
        <f>'4C2 Open-burning '!C$14*'4C2 Open-burning '!$C$5*'4C2 Open-burning '!$C$6*'4C2 Open-burning '!$C$7*C84</f>
        <v>0</v>
      </c>
      <c r="L84" s="485">
        <f>'4C2 Open-burning '!D$14*'4C2 Open-burning '!$C$5*'4C2 Open-burning '!$C$6*'4C2 Open-burning '!$C$7*D84</f>
        <v>0</v>
      </c>
      <c r="M84" s="485">
        <f>'4C2 Open-burning '!E$14*'4C2 Open-burning '!$C$5*'4C2 Open-burning '!$C$6*'4C2 Open-burning '!$C$7*E84</f>
        <v>1.2470777060837437</v>
      </c>
      <c r="N84" s="485">
        <f>'4C2 Open-burning '!F$14*'4C2 Open-burning '!$C$5*'4C2 Open-burning '!$C$6*'4C2 Open-burning '!$C$7*F84</f>
        <v>0</v>
      </c>
      <c r="O84" s="485">
        <f>'4C2 Open-burning '!G$14*'4C2 Open-burning '!$C$5*'4C2 Open-burning '!$C$6*'4C2 Open-burning '!$C$7*G84</f>
        <v>0</v>
      </c>
      <c r="P84" s="485">
        <f>'4C2 Open-burning '!H$14*'4C2 Open-burning '!$C$5*'4C2 Open-burning '!$C$6*'4C2 Open-burning '!$C$7*H84</f>
        <v>0</v>
      </c>
      <c r="Q84" s="485">
        <f>'4C2 Open-burning '!I$14*'4C2 Open-burning '!$C$5*'4C2 Open-burning '!$C$6*'4C2 Open-burning '!$C$7*I84</f>
        <v>31.797687231124968</v>
      </c>
      <c r="R84" s="1374">
        <f t="shared" si="0"/>
        <v>33.044764937208711</v>
      </c>
      <c r="S84" s="484">
        <f>C84*'4C2 Open-burning '!$C$9*'4C2 Open-burning '!$C$11*$C$5</f>
        <v>3.2275137167518428</v>
      </c>
      <c r="T84" s="485">
        <f>D84*'4C2 Open-burning '!$C$9*'4C2 Open-burning '!$C$11*$C$5</f>
        <v>3.3708321972447135</v>
      </c>
      <c r="U84" s="485">
        <f>E84*'4C2 Open-burning '!$C$9*'4C2 Open-burning '!$C$11*$C$5</f>
        <v>0.92067660369182835</v>
      </c>
      <c r="V84" s="485">
        <f>F84*'4C2 Open-burning '!$C$9*'4C2 Open-burning '!$C$11*$C$5</f>
        <v>0</v>
      </c>
      <c r="W84" s="485">
        <f>G84*'4C2 Open-burning '!$C$9*'4C2 Open-burning '!$C$11*$C$5</f>
        <v>0</v>
      </c>
      <c r="X84" s="485">
        <f>H84*'4C2 Open-burning '!$C$9*'4C2 Open-burning '!$C$11*$C$5</f>
        <v>0</v>
      </c>
      <c r="Y84" s="485">
        <f>I84*'4C2 Open-burning '!$C$9*'4C2 Open-burning '!$C$11*$C$5</f>
        <v>3.5995292058918897</v>
      </c>
      <c r="Z84" s="486">
        <f t="shared" si="4"/>
        <v>11.118551723580275</v>
      </c>
      <c r="AA84" s="487">
        <f>C84*'4C2 Open-burning '!$C$10*'4C2 Open-burning '!$C$11*$C$5*C$15</f>
        <v>2.9792434308478551E-2</v>
      </c>
      <c r="AB84" s="487">
        <f>D84*'4C2 Open-burning '!$C$10*'4C2 Open-burning '!$C$11*$C$5*D$15</f>
        <v>3.111537412841274E-2</v>
      </c>
      <c r="AC84" s="487">
        <f>E84*'4C2 Open-burning '!$C$10*'4C2 Open-burning '!$C$11*$C$5*E$15</f>
        <v>1.9121744845907205E-2</v>
      </c>
      <c r="AD84" s="487">
        <f>F84*'4C2 Open-burning '!$C$10*'4C2 Open-burning '!$C$11*$C$5*F$15</f>
        <v>0</v>
      </c>
      <c r="AE84" s="487">
        <f>G84*'4C2 Open-burning '!$C$10*'4C2 Open-burning '!$C$11*$C$5*G$15</f>
        <v>0</v>
      </c>
      <c r="AF84" s="487">
        <f>H84*'4C2 Open-burning '!$C$10*'4C2 Open-burning '!$C$11*$C$5*H$15</f>
        <v>0</v>
      </c>
      <c r="AG84" s="487">
        <f>I84*'4C2 Open-burning '!$C$10*'4C2 Open-burning '!$C$11*$C$5*I$15</f>
        <v>7.4759452737754625E-2</v>
      </c>
      <c r="AH84" s="488">
        <f t="shared" si="2"/>
        <v>0.15478900602055312</v>
      </c>
      <c r="AI84" s="1388"/>
      <c r="AJ84" s="418"/>
      <c r="AK84" s="528"/>
      <c r="AL84" s="528"/>
      <c r="AM84" s="775"/>
      <c r="AN84" s="775"/>
      <c r="AO84" s="775"/>
      <c r="AP84" s="775"/>
      <c r="AQ84" s="939"/>
      <c r="AR84" s="938"/>
      <c r="AS84" s="99"/>
    </row>
    <row r="85" spans="1:45">
      <c r="A85" s="489">
        <f>'Input data'!A115</f>
        <v>2015</v>
      </c>
      <c r="B85" s="1369">
        <f>'Baseline data (from input)'!V71</f>
        <v>0.11360121064205767</v>
      </c>
      <c r="C85" s="527">
        <f>$B85*'Baseline data (from input)'!L71*'Baseline data (from input)'!$C71</f>
        <v>835.71680146706092</v>
      </c>
      <c r="D85" s="528">
        <f>$B85*'Baseline data (from input)'!M71*'Baseline data (from input)'!$C71</f>
        <v>872.82699606885512</v>
      </c>
      <c r="E85" s="528">
        <f>$B85*'Baseline data (from input)'!N71*'Baseline data (from input)'!$C71</f>
        <v>238.39554962363962</v>
      </c>
      <c r="F85" s="528">
        <f>$B85*'Baseline data (from input)'!O71*'Baseline data (from input)'!$C71</f>
        <v>0</v>
      </c>
      <c r="G85" s="528">
        <f>$B85*'Baseline data (from input)'!P71*'Baseline data (from input)'!$C71</f>
        <v>0</v>
      </c>
      <c r="H85" s="528">
        <f>$B85*'Baseline data (from input)'!Q71*'Baseline data (from input)'!$C71</f>
        <v>0</v>
      </c>
      <c r="I85" s="528">
        <f>$B85*'Baseline data (from input)'!R71*'Baseline data (from input)'!$C71</f>
        <v>932.04469406954752</v>
      </c>
      <c r="J85" s="676">
        <f t="shared" si="3"/>
        <v>2878.9840412291032</v>
      </c>
      <c r="K85" s="484">
        <f>'4C2 Open-burning '!C$14*'4C2 Open-burning '!$C$5*'4C2 Open-burning '!$C$6*'4C2 Open-burning '!$C$7*C85</f>
        <v>0</v>
      </c>
      <c r="L85" s="485">
        <f>'4C2 Open-burning '!D$14*'4C2 Open-burning '!$C$5*'4C2 Open-burning '!$C$6*'4C2 Open-burning '!$C$7*D85</f>
        <v>0</v>
      </c>
      <c r="M85" s="485">
        <f>'4C2 Open-burning '!E$14*'4C2 Open-burning '!$C$5*'4C2 Open-burning '!$C$6*'4C2 Open-burning '!$C$7*E85</f>
        <v>1.2593578662638236</v>
      </c>
      <c r="N85" s="485">
        <f>'4C2 Open-burning '!F$14*'4C2 Open-burning '!$C$5*'4C2 Open-burning '!$C$6*'4C2 Open-burning '!$C$7*F85</f>
        <v>0</v>
      </c>
      <c r="O85" s="485">
        <f>'4C2 Open-burning '!G$14*'4C2 Open-burning '!$C$5*'4C2 Open-burning '!$C$6*'4C2 Open-burning '!$C$7*G85</f>
        <v>0</v>
      </c>
      <c r="P85" s="485">
        <f>'4C2 Open-burning '!H$14*'4C2 Open-burning '!$C$5*'4C2 Open-burning '!$C$6*'4C2 Open-burning '!$C$7*H85</f>
        <v>0</v>
      </c>
      <c r="Q85" s="485">
        <f>'4C2 Open-burning '!I$14*'4C2 Open-burning '!$C$5*'4C2 Open-burning '!$C$6*'4C2 Open-burning '!$C$7*I85</f>
        <v>32.110803800084049</v>
      </c>
      <c r="R85" s="1374">
        <f t="shared" ref="R85:R87" si="5">SUM(K85:Q85)</f>
        <v>33.370161666347876</v>
      </c>
      <c r="S85" s="484">
        <f>C85*'4C2 Open-burning '!$C$9*'4C2 Open-burning '!$C$11*$C$5</f>
        <v>3.2592955257215372</v>
      </c>
      <c r="T85" s="485">
        <f>D85*'4C2 Open-burning '!$C$9*'4C2 Open-burning '!$C$11*$C$5</f>
        <v>3.4040252846685353</v>
      </c>
      <c r="U85" s="485">
        <f>E85*'4C2 Open-burning '!$C$9*'4C2 Open-burning '!$C$11*$C$5</f>
        <v>0.92974264353219438</v>
      </c>
      <c r="V85" s="485">
        <f>F85*'4C2 Open-burning '!$C$9*'4C2 Open-burning '!$C$11*$C$5</f>
        <v>0</v>
      </c>
      <c r="W85" s="485">
        <f>G85*'4C2 Open-burning '!$C$9*'4C2 Open-burning '!$C$11*$C$5</f>
        <v>0</v>
      </c>
      <c r="X85" s="485">
        <f>H85*'4C2 Open-burning '!$C$9*'4C2 Open-burning '!$C$11*$C$5</f>
        <v>0</v>
      </c>
      <c r="Y85" s="485">
        <f>I85*'4C2 Open-burning '!$C$9*'4C2 Open-burning '!$C$11*$C$5</f>
        <v>3.6349743068712352</v>
      </c>
      <c r="Z85" s="486">
        <f t="shared" si="4"/>
        <v>11.228037760793502</v>
      </c>
      <c r="AA85" s="487">
        <f>C85*'4C2 Open-burning '!$C$10*'4C2 Open-burning '!$C$11*$C$5*C$15</f>
        <v>3.0085804852814192E-2</v>
      </c>
      <c r="AB85" s="487">
        <f>D85*'4C2 Open-burning '!$C$10*'4C2 Open-burning '!$C$11*$C$5*D$15</f>
        <v>3.1421771858478782E-2</v>
      </c>
      <c r="AC85" s="487">
        <f>E85*'4C2 Open-burning '!$C$10*'4C2 Open-burning '!$C$11*$C$5*E$15</f>
        <v>1.9310039519514807E-2</v>
      </c>
      <c r="AD85" s="487">
        <f>F85*'4C2 Open-burning '!$C$10*'4C2 Open-burning '!$C$11*$C$5*F$15</f>
        <v>0</v>
      </c>
      <c r="AE85" s="487">
        <f>G85*'4C2 Open-burning '!$C$10*'4C2 Open-burning '!$C$11*$C$5*G$15</f>
        <v>0</v>
      </c>
      <c r="AF85" s="487">
        <f>H85*'4C2 Open-burning '!$C$10*'4C2 Open-burning '!$C$11*$C$5*H$15</f>
        <v>0</v>
      </c>
      <c r="AG85" s="487">
        <f>I85*'4C2 Open-burning '!$C$10*'4C2 Open-burning '!$C$11*$C$5*I$15</f>
        <v>7.5495620219633339E-2</v>
      </c>
      <c r="AH85" s="488">
        <f t="shared" ref="AH85:AH87" si="6">SUM(AA85:AG85)</f>
        <v>0.15631323645044112</v>
      </c>
      <c r="AI85" s="1388"/>
      <c r="AJ85" s="418"/>
      <c r="AK85" s="528"/>
      <c r="AL85" s="528"/>
      <c r="AM85" s="775"/>
      <c r="AN85" s="775"/>
      <c r="AO85" s="775"/>
      <c r="AP85" s="775"/>
      <c r="AQ85" s="939"/>
      <c r="AR85" s="938"/>
      <c r="AS85" s="99"/>
    </row>
    <row r="86" spans="1:45">
      <c r="A86" s="489">
        <f>'Input data'!A116</f>
        <v>2016</v>
      </c>
      <c r="B86" s="1369">
        <f>'Baseline data (from input)'!V72</f>
        <v>0.11753474574906728</v>
      </c>
      <c r="C86" s="527">
        <f>$B86*'Baseline data (from input)'!L72*'Baseline data (from input)'!$C72</f>
        <v>841.74451395612755</v>
      </c>
      <c r="D86" s="528">
        <f>$B86*'Baseline data (from input)'!M72*'Baseline data (from input)'!$C72</f>
        <v>879.1223705016331</v>
      </c>
      <c r="E86" s="528">
        <f>$B86*'Baseline data (from input)'!N72*'Baseline data (from input)'!$C72</f>
        <v>240.11500749415484</v>
      </c>
      <c r="F86" s="528">
        <f>$B86*'Baseline data (from input)'!O72*'Baseline data (from input)'!$C72</f>
        <v>0</v>
      </c>
      <c r="G86" s="528">
        <f>$B86*'Baseline data (from input)'!P72*'Baseline data (from input)'!$C72</f>
        <v>0</v>
      </c>
      <c r="H86" s="528">
        <f>$B86*'Baseline data (from input)'!Q72*'Baseline data (from input)'!$C72</f>
        <v>0</v>
      </c>
      <c r="I86" s="528">
        <f>$B86*'Baseline data (from input)'!R72*'Baseline data (from input)'!$C72</f>
        <v>938.76718359344966</v>
      </c>
      <c r="J86" s="676">
        <f t="shared" si="3"/>
        <v>2899.749075545365</v>
      </c>
      <c r="K86" s="484">
        <f>'4C2 Open-burning '!C$14*'4C2 Open-burning '!$C$5*'4C2 Open-burning '!$C$6*'4C2 Open-burning '!$C$7*C86</f>
        <v>0</v>
      </c>
      <c r="L86" s="485">
        <f>'4C2 Open-burning '!D$14*'4C2 Open-burning '!$C$5*'4C2 Open-burning '!$C$6*'4C2 Open-burning '!$C$7*D86</f>
        <v>0</v>
      </c>
      <c r="M86" s="485">
        <f>'4C2 Open-burning '!E$14*'4C2 Open-burning '!$C$5*'4C2 Open-burning '!$C$6*'4C2 Open-burning '!$C$7*E86</f>
        <v>1.268441143188922</v>
      </c>
      <c r="N86" s="485">
        <f>'4C2 Open-burning '!F$14*'4C2 Open-burning '!$C$5*'4C2 Open-burning '!$C$6*'4C2 Open-burning '!$C$7*F86</f>
        <v>0</v>
      </c>
      <c r="O86" s="485">
        <f>'4C2 Open-burning '!G$14*'4C2 Open-burning '!$C$5*'4C2 Open-burning '!$C$6*'4C2 Open-burning '!$C$7*G86</f>
        <v>0</v>
      </c>
      <c r="P86" s="485">
        <f>'4C2 Open-burning '!H$14*'4C2 Open-burning '!$C$5*'4C2 Open-burning '!$C$6*'4C2 Open-burning '!$C$7*H86</f>
        <v>0</v>
      </c>
      <c r="Q86" s="485">
        <f>'4C2 Open-burning '!I$14*'4C2 Open-burning '!$C$5*'4C2 Open-burning '!$C$6*'4C2 Open-burning '!$C$7*I86</f>
        <v>32.342407009161526</v>
      </c>
      <c r="R86" s="1374">
        <f t="shared" si="5"/>
        <v>33.610848152350449</v>
      </c>
      <c r="S86" s="484">
        <f>C86*'4C2 Open-burning '!$C$9*'4C2 Open-burning '!$C$11*$C$5</f>
        <v>3.2828036044288975</v>
      </c>
      <c r="T86" s="485">
        <f>D86*'4C2 Open-burning '!$C$9*'4C2 Open-burning '!$C$11*$C$5</f>
        <v>3.4285772449563692</v>
      </c>
      <c r="U86" s="485">
        <f>E86*'4C2 Open-burning '!$C$9*'4C2 Open-burning '!$C$11*$C$5</f>
        <v>0.93644852922720379</v>
      </c>
      <c r="V86" s="485">
        <f>F86*'4C2 Open-burning '!$C$9*'4C2 Open-burning '!$C$11*$C$5</f>
        <v>0</v>
      </c>
      <c r="W86" s="485">
        <f>G86*'4C2 Open-burning '!$C$9*'4C2 Open-burning '!$C$11*$C$5</f>
        <v>0</v>
      </c>
      <c r="X86" s="485">
        <f>H86*'4C2 Open-burning '!$C$9*'4C2 Open-burning '!$C$11*$C$5</f>
        <v>0</v>
      </c>
      <c r="Y86" s="485">
        <f>I86*'4C2 Open-burning '!$C$9*'4C2 Open-burning '!$C$11*$C$5</f>
        <v>3.6611920160144531</v>
      </c>
      <c r="Z86" s="486">
        <f t="shared" si="4"/>
        <v>11.309021394626923</v>
      </c>
      <c r="AA86" s="487">
        <f>C86*'4C2 Open-burning '!$C$10*'4C2 Open-burning '!$C$11*$C$5*C$15</f>
        <v>3.0302802502420591E-2</v>
      </c>
      <c r="AB86" s="487">
        <f>D86*'4C2 Open-burning '!$C$10*'4C2 Open-burning '!$C$11*$C$5*D$15</f>
        <v>3.1648405338058787E-2</v>
      </c>
      <c r="AC86" s="487">
        <f>E86*'4C2 Open-burning '!$C$10*'4C2 Open-burning '!$C$11*$C$5*E$15</f>
        <v>1.9449315607026542E-2</v>
      </c>
      <c r="AD86" s="487">
        <f>F86*'4C2 Open-burning '!$C$10*'4C2 Open-burning '!$C$11*$C$5*F$15</f>
        <v>0</v>
      </c>
      <c r="AE86" s="487">
        <f>G86*'4C2 Open-burning '!$C$10*'4C2 Open-burning '!$C$11*$C$5*G$15</f>
        <v>0</v>
      </c>
      <c r="AF86" s="487">
        <f>H86*'4C2 Open-burning '!$C$10*'4C2 Open-burning '!$C$11*$C$5*H$15</f>
        <v>0</v>
      </c>
      <c r="AG86" s="487">
        <f>I86*'4C2 Open-burning '!$C$10*'4C2 Open-burning '!$C$11*$C$5*I$15</f>
        <v>7.6040141871069417E-2</v>
      </c>
      <c r="AH86" s="488">
        <f t="shared" si="6"/>
        <v>0.15744066531857534</v>
      </c>
      <c r="AI86" s="1388"/>
      <c r="AJ86" s="418"/>
      <c r="AK86" s="528"/>
      <c r="AL86" s="528"/>
      <c r="AM86" s="775"/>
      <c r="AN86" s="775"/>
      <c r="AO86" s="775"/>
      <c r="AP86" s="775"/>
      <c r="AQ86" s="939"/>
      <c r="AR86" s="938"/>
      <c r="AS86" s="99"/>
    </row>
    <row r="87" spans="1:45" ht="15.75" thickBot="1">
      <c r="A87" s="489">
        <f>'Input data'!A117</f>
        <v>2017</v>
      </c>
      <c r="B87" s="1369">
        <f>'Baseline data (from input)'!V73</f>
        <v>0.12146828085607692</v>
      </c>
      <c r="C87" s="670">
        <f>$B87*'Baseline data (from input)'!L73*'Baseline data (from input)'!$C73</f>
        <v>845.54198661256362</v>
      </c>
      <c r="D87" s="667">
        <f>$B87*'Baseline data (from input)'!M73*'Baseline data (from input)'!$C73</f>
        <v>883.08847079488123</v>
      </c>
      <c r="E87" s="667">
        <f>$B87*'Baseline data (from input)'!N73*'Baseline data (from input)'!$C73</f>
        <v>241.19826988581985</v>
      </c>
      <c r="F87" s="667">
        <f>$B87*'Baseline data (from input)'!O73*'Baseline data (from input)'!$C73</f>
        <v>0</v>
      </c>
      <c r="G87" s="667">
        <f>$B87*'Baseline data (from input)'!P73*'Baseline data (from input)'!$C73</f>
        <v>0</v>
      </c>
      <c r="H87" s="667">
        <f>$B87*'Baseline data (from input)'!Q73*'Baseline data (from input)'!$C73</f>
        <v>0</v>
      </c>
      <c r="I87" s="667">
        <f>$B87*'Baseline data (from input)'!R73*'Baseline data (from input)'!$C73</f>
        <v>943.00236737112664</v>
      </c>
      <c r="J87" s="1371">
        <f t="shared" ref="J87" si="7">SUM(C87:I87)</f>
        <v>2912.8310946643915</v>
      </c>
      <c r="K87" s="490">
        <f>'4C2 Open-burning '!C$14*'4C2 Open-burning '!$C$5*'4C2 Open-burning '!$C$6*'4C2 Open-burning '!$C$7*C87</f>
        <v>0</v>
      </c>
      <c r="L87" s="491">
        <f>'4C2 Open-burning '!D$14*'4C2 Open-burning '!$C$5*'4C2 Open-burning '!$C$6*'4C2 Open-burning '!$C$7*D87</f>
        <v>0</v>
      </c>
      <c r="M87" s="491">
        <f>'4C2 Open-burning '!E$14*'4C2 Open-burning '!$C$5*'4C2 Open-burning '!$C$6*'4C2 Open-burning '!$C$7*E87</f>
        <v>1.2741636284296274</v>
      </c>
      <c r="N87" s="491">
        <f>'4C2 Open-burning '!F$14*'4C2 Open-burning '!$C$5*'4C2 Open-burning '!$C$6*'4C2 Open-burning '!$C$7*F87</f>
        <v>0</v>
      </c>
      <c r="O87" s="491">
        <f>'4C2 Open-burning '!G$14*'4C2 Open-burning '!$C$5*'4C2 Open-burning '!$C$6*'4C2 Open-burning '!$C$7*G87</f>
        <v>0</v>
      </c>
      <c r="P87" s="491">
        <f>'4C2 Open-burning '!H$14*'4C2 Open-burning '!$C$5*'4C2 Open-burning '!$C$6*'4C2 Open-burning '!$C$7*H87</f>
        <v>0</v>
      </c>
      <c r="Q87" s="491">
        <f>'4C2 Open-burning '!I$14*'4C2 Open-burning '!$C$5*'4C2 Open-burning '!$C$6*'4C2 Open-burning '!$C$7*I87</f>
        <v>32.488317560670055</v>
      </c>
      <c r="R87" s="1377">
        <f t="shared" si="5"/>
        <v>33.762481189099681</v>
      </c>
      <c r="S87" s="490">
        <f>C87*'4C2 Open-burning '!$C$9*'4C2 Open-burning '!$C$11*$C$5</f>
        <v>3.297613747788998</v>
      </c>
      <c r="T87" s="491">
        <f>D87*'4C2 Open-burning '!$C$9*'4C2 Open-burning '!$C$11*$C$5</f>
        <v>3.4440450361000363</v>
      </c>
      <c r="U87" s="491">
        <f>E87*'4C2 Open-burning '!$C$9*'4C2 Open-burning '!$C$11*$C$5</f>
        <v>0.94067325255469736</v>
      </c>
      <c r="V87" s="491">
        <f>F87*'4C2 Open-burning '!$C$9*'4C2 Open-burning '!$C$11*$C$5</f>
        <v>0</v>
      </c>
      <c r="W87" s="491">
        <f>G87*'4C2 Open-burning '!$C$9*'4C2 Open-burning '!$C$11*$C$5</f>
        <v>0</v>
      </c>
      <c r="X87" s="491">
        <f>H87*'4C2 Open-burning '!$C$9*'4C2 Open-burning '!$C$11*$C$5</f>
        <v>0</v>
      </c>
      <c r="Y87" s="491">
        <f>I87*'4C2 Open-burning '!$C$9*'4C2 Open-burning '!$C$11*$C$5</f>
        <v>3.677709232747393</v>
      </c>
      <c r="Z87" s="492">
        <f t="shared" si="4"/>
        <v>11.360041269191125</v>
      </c>
      <c r="AA87" s="487">
        <f>C87*'4C2 Open-burning '!$C$10*'4C2 Open-burning '!$C$11*$C$5*C$15</f>
        <v>3.0439511518052288E-2</v>
      </c>
      <c r="AB87" s="487">
        <f>D87*'4C2 Open-burning '!$C$10*'4C2 Open-burning '!$C$11*$C$5*D$15</f>
        <v>3.1791184948615721E-2</v>
      </c>
      <c r="AC87" s="487">
        <f>E87*'4C2 Open-burning '!$C$10*'4C2 Open-burning '!$C$11*$C$5*E$15</f>
        <v>1.9537059860751407E-2</v>
      </c>
      <c r="AD87" s="487">
        <f>F87*'4C2 Open-burning '!$C$10*'4C2 Open-burning '!$C$11*$C$5*F$15</f>
        <v>0</v>
      </c>
      <c r="AE87" s="487">
        <f>G87*'4C2 Open-burning '!$C$10*'4C2 Open-burning '!$C$11*$C$5*G$15</f>
        <v>0</v>
      </c>
      <c r="AF87" s="487">
        <f>H87*'4C2 Open-burning '!$C$10*'4C2 Open-burning '!$C$11*$C$5*H$15</f>
        <v>0</v>
      </c>
      <c r="AG87" s="487">
        <f>I87*'4C2 Open-burning '!$C$10*'4C2 Open-burning '!$C$11*$C$5*I$15</f>
        <v>7.6383191757061264E-2</v>
      </c>
      <c r="AH87" s="488">
        <f t="shared" si="6"/>
        <v>0.15815094808448069</v>
      </c>
      <c r="AI87" s="1388"/>
      <c r="AJ87" s="418"/>
      <c r="AK87" s="528"/>
      <c r="AL87" s="528"/>
      <c r="AM87" s="775"/>
      <c r="AN87" s="775"/>
      <c r="AO87" s="775"/>
      <c r="AP87" s="775"/>
      <c r="AQ87" s="939"/>
      <c r="AR87" s="938"/>
      <c r="AS87" s="99"/>
    </row>
    <row r="88" spans="1:45" ht="15.75" thickBot="1">
      <c r="A88" s="948" t="s">
        <v>569</v>
      </c>
      <c r="B88" s="814"/>
      <c r="C88" s="528"/>
      <c r="D88" s="938"/>
      <c r="E88" s="938"/>
      <c r="F88" s="938"/>
      <c r="G88" s="938"/>
      <c r="H88" s="938"/>
      <c r="I88" s="938"/>
      <c r="J88" s="939"/>
      <c r="K88" s="158"/>
      <c r="L88" s="158"/>
      <c r="M88" s="158"/>
      <c r="N88" s="158"/>
      <c r="O88" s="158"/>
      <c r="P88" s="158"/>
      <c r="Q88" s="158"/>
      <c r="R88" s="940"/>
      <c r="S88" s="1372"/>
      <c r="T88" s="1372"/>
      <c r="U88" s="1372"/>
      <c r="V88" s="1372"/>
      <c r="W88" s="1372"/>
      <c r="X88" s="1372"/>
      <c r="Y88" s="1372"/>
      <c r="Z88" s="1373"/>
      <c r="AA88" s="946"/>
      <c r="AB88" s="946"/>
      <c r="AC88" s="946"/>
      <c r="AD88" s="946"/>
      <c r="AE88" s="946"/>
      <c r="AF88" s="946"/>
      <c r="AG88" s="946"/>
      <c r="AH88" s="947"/>
      <c r="AI88" s="1388"/>
      <c r="AJ88" s="1388"/>
      <c r="AK88" s="1388"/>
      <c r="AQ88" s="99"/>
      <c r="AR88" s="99"/>
      <c r="AS88" s="99"/>
    </row>
    <row r="89" spans="1:45">
      <c r="A89" s="483">
        <f>'Input data'!A118</f>
        <v>2018</v>
      </c>
      <c r="B89" s="1633">
        <f>'Recycling - Case 1'!AP98</f>
        <v>0.11927634493671938</v>
      </c>
      <c r="C89" s="956">
        <f>$B89*'Recycling - Case 1'!BM98*'Recycling - Case 1'!$AK98</f>
        <v>823.70434200617137</v>
      </c>
      <c r="D89" s="957">
        <f>$B89*'Recycling - Case 1'!BN98*'Recycling - Case 1'!$AK98</f>
        <v>860.28112061410604</v>
      </c>
      <c r="E89" s="957">
        <f>$B89*'Recycling - Case 1'!BO98*'Recycling - Case 1'!$AK98</f>
        <v>234.968890173353</v>
      </c>
      <c r="F89" s="957">
        <f>$B89*'Recycling - Case 1'!BP98*'Recycling - Case 1'!$AK98</f>
        <v>0</v>
      </c>
      <c r="G89" s="957">
        <f>$B89*'Recycling - Case 1'!BQ98*'Recycling - Case 1'!$AK98</f>
        <v>0</v>
      </c>
      <c r="H89" s="957">
        <f>$B89*'Recycling - Case 1'!BR98*'Recycling - Case 1'!$AK98</f>
        <v>0</v>
      </c>
      <c r="I89" s="957">
        <f>$B89*'Recycling - Case 1'!BS98*'Recycling - Case 1'!$AK98</f>
        <v>918.64763290768826</v>
      </c>
      <c r="J89" s="958">
        <f>SUM(C89:I89)</f>
        <v>2837.6019857013184</v>
      </c>
      <c r="K89" s="1378">
        <f>'4C2 Open-burning '!C$14*'4C2 Open-burning '!$C$5*'4C2 Open-burning '!$C$6*'4C2 Open-burning '!$C$7*C89</f>
        <v>0</v>
      </c>
      <c r="L89" s="1378">
        <f>'4C2 Open-burning '!D$14*'4C2 Open-burning '!$C$5*'4C2 Open-burning '!$C$6*'4C2 Open-burning '!$C$7*D89</f>
        <v>0</v>
      </c>
      <c r="M89" s="1378">
        <f>'4C2 Open-burning '!E$14*'4C2 Open-burning '!$C$5*'4C2 Open-burning '!$C$6*'4C2 Open-burning '!$C$7*E89</f>
        <v>1.2412560579853615</v>
      </c>
      <c r="N89" s="1378">
        <f>'4C2 Open-burning '!F$14*'4C2 Open-burning '!$C$5*'4C2 Open-burning '!$C$6*'4C2 Open-burning '!$C$7*F89</f>
        <v>0</v>
      </c>
      <c r="O89" s="1378">
        <f>'4C2 Open-burning '!G$14*'4C2 Open-burning '!$C$5*'4C2 Open-burning '!$C$6*'4C2 Open-burning '!$C$7*G89</f>
        <v>0</v>
      </c>
      <c r="P89" s="1378">
        <f>'4C2 Open-burning '!H$14*'4C2 Open-burning '!$C$5*'4C2 Open-burning '!$C$6*'4C2 Open-burning '!$C$7*H89</f>
        <v>0</v>
      </c>
      <c r="Q89" s="1378">
        <f>'4C2 Open-burning '!I$14*'4C2 Open-burning '!$C$5*'4C2 Open-burning '!$C$6*'4C2 Open-burning '!$C$7*I89</f>
        <v>31.649248248935674</v>
      </c>
      <c r="R89" s="1379">
        <f t="shared" ref="R89:R152" si="8">SUM(K89:Q89)</f>
        <v>32.890504306921038</v>
      </c>
      <c r="S89" s="485">
        <f>C89*'4C2 Open-burning '!$C$9*'4C2 Open-burning '!$C$11*$C$5</f>
        <v>3.2124469338240682</v>
      </c>
      <c r="T89" s="485">
        <f>D89*'4C2 Open-burning '!$C$9*'4C2 Open-burning '!$C$11*$C$5</f>
        <v>3.355096370395013</v>
      </c>
      <c r="U89" s="485">
        <f>E89*'4C2 Open-burning '!$C$9*'4C2 Open-burning '!$C$11*$C$5</f>
        <v>0.91637867167607667</v>
      </c>
      <c r="V89" s="485">
        <f>F89*'4C2 Open-burning '!$C$9*'4C2 Open-burning '!$C$11*$C$5</f>
        <v>0</v>
      </c>
      <c r="W89" s="485">
        <f>G89*'4C2 Open-burning '!$C$9*'4C2 Open-burning '!$C$11*$C$5</f>
        <v>0</v>
      </c>
      <c r="X89" s="485">
        <f>H89*'4C2 Open-burning '!$C$9*'4C2 Open-burning '!$C$11*$C$5</f>
        <v>0</v>
      </c>
      <c r="Y89" s="485">
        <f>I89*'4C2 Open-burning '!$C$9*'4C2 Open-burning '!$C$11*$C$5</f>
        <v>3.582725768339984</v>
      </c>
      <c r="Z89" s="486">
        <f t="shared" ref="Z89:Z152" si="9">SUM(S89:Y89)</f>
        <v>11.066647744235141</v>
      </c>
      <c r="AA89" s="487">
        <f>C89*'4C2 Open-burning '!$C$10*'4C2 Open-burning '!$C$11*$C$5*C$15</f>
        <v>2.965335631222217E-2</v>
      </c>
      <c r="AB89" s="487">
        <f>D89*'4C2 Open-burning '!$C$10*'4C2 Open-burning '!$C$11*$C$5*D$15</f>
        <v>3.0970120342107818E-2</v>
      </c>
      <c r="AC89" s="487">
        <f>E89*'4C2 Open-burning '!$C$10*'4C2 Open-burning '!$C$11*$C$5*E$15</f>
        <v>1.9032480104041589E-2</v>
      </c>
      <c r="AD89" s="487">
        <f>F89*'4C2 Open-burning '!$C$10*'4C2 Open-burning '!$C$11*$C$5*F$15</f>
        <v>0</v>
      </c>
      <c r="AE89" s="487">
        <f>G89*'4C2 Open-burning '!$C$10*'4C2 Open-burning '!$C$11*$C$5*G$15</f>
        <v>0</v>
      </c>
      <c r="AF89" s="487">
        <f>H89*'4C2 Open-burning '!$C$10*'4C2 Open-burning '!$C$11*$C$5*H$15</f>
        <v>0</v>
      </c>
      <c r="AG89" s="487">
        <f>I89*'4C2 Open-burning '!$C$10*'4C2 Open-burning '!$C$11*$C$5*I$15</f>
        <v>7.4410458265522728E-2</v>
      </c>
      <c r="AH89" s="488">
        <f t="shared" ref="AH89:AH152" si="10">SUM(AA89:AG89)</f>
        <v>0.15406641502389429</v>
      </c>
      <c r="AI89" s="1388"/>
      <c r="AJ89" s="1388"/>
      <c r="AK89" s="1388"/>
      <c r="AQ89" s="99"/>
      <c r="AR89" s="99"/>
      <c r="AS89" s="99"/>
    </row>
    <row r="90" spans="1:45">
      <c r="A90" s="489">
        <f>'Input data'!A119</f>
        <v>2019</v>
      </c>
      <c r="B90" s="122">
        <f>'Recycling - Case 1'!AP99</f>
        <v>0.11721836466513541</v>
      </c>
      <c r="C90" s="527">
        <f>$B90*'Recycling - Case 1'!BM99*'Recycling - Case 1'!$AK99</f>
        <v>802.31630527949994</v>
      </c>
      <c r="D90" s="528">
        <f>$B90*'Recycling - Case 1'!BN99*'Recycling - Case 1'!$AK99</f>
        <v>837.94334325318653</v>
      </c>
      <c r="E90" s="528">
        <f>$B90*'Recycling - Case 1'!BO99*'Recycling - Case 1'!$AK99</f>
        <v>228.86776505312724</v>
      </c>
      <c r="F90" s="528">
        <f>$B90*'Recycling - Case 1'!BP99*'Recycling - Case 1'!$AK99</f>
        <v>0</v>
      </c>
      <c r="G90" s="528">
        <f>$B90*'Recycling - Case 1'!BQ99*'Recycling - Case 1'!$AK99</f>
        <v>0</v>
      </c>
      <c r="H90" s="528">
        <f>$B90*'Recycling - Case 1'!BR99*'Recycling - Case 1'!$AK99</f>
        <v>0</v>
      </c>
      <c r="I90" s="528">
        <f>$B90*'Recycling - Case 1'!BS99*'Recycling - Case 1'!$AK99</f>
        <v>894.794329835805</v>
      </c>
      <c r="J90" s="744">
        <f t="shared" ref="J90:J121" si="11">SUM(C90:I90)</f>
        <v>2763.9217434216189</v>
      </c>
      <c r="K90" s="158">
        <f>'4C2 Open-burning '!C$14*'4C2 Open-burning '!$C$5*'4C2 Open-burning '!$C$6*'4C2 Open-burning '!$C$7*C90</f>
        <v>0</v>
      </c>
      <c r="L90" s="158">
        <f>'4C2 Open-burning '!D$14*'4C2 Open-burning '!$C$5*'4C2 Open-burning '!$C$6*'4C2 Open-burning '!$C$7*D90</f>
        <v>0</v>
      </c>
      <c r="M90" s="158">
        <f>'4C2 Open-burning '!E$14*'4C2 Open-burning '!$C$5*'4C2 Open-burning '!$C$6*'4C2 Open-burning '!$C$7*E90</f>
        <v>1.2090260103802521</v>
      </c>
      <c r="N90" s="158">
        <f>'4C2 Open-burning '!F$14*'4C2 Open-burning '!$C$5*'4C2 Open-burning '!$C$6*'4C2 Open-burning '!$C$7*F90</f>
        <v>0</v>
      </c>
      <c r="O90" s="158">
        <f>'4C2 Open-burning '!G$14*'4C2 Open-burning '!$C$5*'4C2 Open-burning '!$C$6*'4C2 Open-burning '!$C$7*G90</f>
        <v>0</v>
      </c>
      <c r="P90" s="158">
        <f>'4C2 Open-burning '!H$14*'4C2 Open-burning '!$C$5*'4C2 Open-burning '!$C$6*'4C2 Open-burning '!$C$7*H90</f>
        <v>0</v>
      </c>
      <c r="Q90" s="158">
        <f>'4C2 Open-burning '!I$14*'4C2 Open-burning '!$C$5*'4C2 Open-burning '!$C$6*'4C2 Open-burning '!$C$7*I90</f>
        <v>30.827454251503152</v>
      </c>
      <c r="R90" s="1380">
        <f t="shared" si="8"/>
        <v>32.036480261883405</v>
      </c>
      <c r="S90" s="485">
        <f>C90*'4C2 Open-burning '!$C$9*'4C2 Open-burning '!$C$11*$C$5</f>
        <v>3.1290335905900495</v>
      </c>
      <c r="T90" s="485">
        <f>D90*'4C2 Open-burning '!$C$9*'4C2 Open-burning '!$C$11*$C$5</f>
        <v>3.267979038687427</v>
      </c>
      <c r="U90" s="485">
        <f>E90*'4C2 Open-burning '!$C$9*'4C2 Open-burning '!$C$11*$C$5</f>
        <v>0.89258428370719611</v>
      </c>
      <c r="V90" s="485">
        <f>F90*'4C2 Open-burning '!$C$9*'4C2 Open-burning '!$C$11*$C$5</f>
        <v>0</v>
      </c>
      <c r="W90" s="485">
        <f>G90*'4C2 Open-burning '!$C$9*'4C2 Open-burning '!$C$11*$C$5</f>
        <v>0</v>
      </c>
      <c r="X90" s="485">
        <f>H90*'4C2 Open-burning '!$C$9*'4C2 Open-burning '!$C$11*$C$5</f>
        <v>0</v>
      </c>
      <c r="Y90" s="485">
        <f>I90*'4C2 Open-burning '!$C$9*'4C2 Open-burning '!$C$11*$C$5</f>
        <v>3.4896978863596395</v>
      </c>
      <c r="Z90" s="486">
        <f t="shared" si="9"/>
        <v>10.779294799344312</v>
      </c>
      <c r="AA90" s="487">
        <f>C90*'4C2 Open-burning '!$C$10*'4C2 Open-burning '!$C$11*$C$5*C$15</f>
        <v>2.8883386990062002E-2</v>
      </c>
      <c r="AB90" s="487">
        <f>D90*'4C2 Open-burning '!$C$10*'4C2 Open-burning '!$C$11*$C$5*D$15</f>
        <v>3.0165960357114715E-2</v>
      </c>
      <c r="AC90" s="487">
        <f>E90*'4C2 Open-burning '!$C$10*'4C2 Open-burning '!$C$11*$C$5*E$15</f>
        <v>1.8538288969303301E-2</v>
      </c>
      <c r="AD90" s="487">
        <f>F90*'4C2 Open-burning '!$C$10*'4C2 Open-burning '!$C$11*$C$5*F$15</f>
        <v>0</v>
      </c>
      <c r="AE90" s="487">
        <f>G90*'4C2 Open-burning '!$C$10*'4C2 Open-burning '!$C$11*$C$5*G$15</f>
        <v>0</v>
      </c>
      <c r="AF90" s="487">
        <f>H90*'4C2 Open-burning '!$C$10*'4C2 Open-burning '!$C$11*$C$5*H$15</f>
        <v>0</v>
      </c>
      <c r="AG90" s="487">
        <f>I90*'4C2 Open-burning '!$C$10*'4C2 Open-burning '!$C$11*$C$5*I$15</f>
        <v>7.2478340716700188E-2</v>
      </c>
      <c r="AH90" s="488">
        <f t="shared" si="10"/>
        <v>0.1500659770331802</v>
      </c>
      <c r="AI90" s="1388"/>
      <c r="AJ90" s="1388"/>
      <c r="AK90" s="1388"/>
    </row>
    <row r="91" spans="1:45">
      <c r="A91" s="489">
        <f>'Input data'!A120</f>
        <v>2020</v>
      </c>
      <c r="B91" s="122">
        <f>'Recycling - Case 1'!AP100</f>
        <v>0.11503127801861517</v>
      </c>
      <c r="C91" s="527">
        <f>$B91*'Recycling - Case 1'!BM100*'Recycling - Case 1'!$AK100</f>
        <v>781.36403170691767</v>
      </c>
      <c r="D91" s="528">
        <f>$B91*'Recycling - Case 1'!BN100*'Recycling - Case 1'!$AK100</f>
        <v>816.06067920830117</v>
      </c>
      <c r="E91" s="528">
        <f>$B91*'Recycling - Case 1'!BO100*'Recycling - Case 1'!$AK100</f>
        <v>222.89094519569196</v>
      </c>
      <c r="F91" s="528">
        <f>$B91*'Recycling - Case 1'!BP100*'Recycling - Case 1'!$AK100</f>
        <v>0</v>
      </c>
      <c r="G91" s="528">
        <f>$B91*'Recycling - Case 1'!BQ100*'Recycling - Case 1'!$AK100</f>
        <v>0</v>
      </c>
      <c r="H91" s="528">
        <f>$B91*'Recycling - Case 1'!BR100*'Recycling - Case 1'!$AK100</f>
        <v>0</v>
      </c>
      <c r="I91" s="528">
        <f>$B91*'Recycling - Case 1'!BS100*'Recycling - Case 1'!$AK100</f>
        <v>871.42701763418643</v>
      </c>
      <c r="J91" s="744">
        <f t="shared" si="11"/>
        <v>2691.7426737450974</v>
      </c>
      <c r="K91" s="158">
        <f>'4C2 Open-burning '!C$14*'4C2 Open-burning '!$C$5*'4C2 Open-burning '!$C$6*'4C2 Open-burning '!$C$7*C91</f>
        <v>0</v>
      </c>
      <c r="L91" s="158">
        <f>'4C2 Open-burning '!D$14*'4C2 Open-burning '!$C$5*'4C2 Open-burning '!$C$6*'4C2 Open-burning '!$C$7*D91</f>
        <v>0</v>
      </c>
      <c r="M91" s="158">
        <f>'4C2 Open-burning '!E$14*'4C2 Open-burning '!$C$5*'4C2 Open-burning '!$C$6*'4C2 Open-burning '!$C$7*E91</f>
        <v>1.1774526227285702</v>
      </c>
      <c r="N91" s="158">
        <f>'4C2 Open-burning '!F$14*'4C2 Open-burning '!$C$5*'4C2 Open-burning '!$C$6*'4C2 Open-burning '!$C$7*F91</f>
        <v>0</v>
      </c>
      <c r="O91" s="158">
        <f>'4C2 Open-burning '!G$14*'4C2 Open-burning '!$C$5*'4C2 Open-burning '!$C$6*'4C2 Open-burning '!$C$7*G91</f>
        <v>0</v>
      </c>
      <c r="P91" s="158">
        <f>'4C2 Open-burning '!H$14*'4C2 Open-burning '!$C$5*'4C2 Open-burning '!$C$6*'4C2 Open-burning '!$C$7*H91</f>
        <v>0</v>
      </c>
      <c r="Q91" s="158">
        <f>'4C2 Open-burning '!I$14*'4C2 Open-burning '!$C$5*'4C2 Open-burning '!$C$6*'4C2 Open-burning '!$C$7*I91</f>
        <v>30.022403611532987</v>
      </c>
      <c r="R91" s="1380">
        <f t="shared" si="8"/>
        <v>31.199856234261556</v>
      </c>
      <c r="S91" s="485">
        <f>C91*'4C2 Open-burning '!$C$9*'4C2 Open-burning '!$C$11*$C$5</f>
        <v>3.0473197236569782</v>
      </c>
      <c r="T91" s="485">
        <f>D91*'4C2 Open-burning '!$C$9*'4C2 Open-burning '!$C$11*$C$5</f>
        <v>3.1826366489123745</v>
      </c>
      <c r="U91" s="485">
        <f>E91*'4C2 Open-burning '!$C$9*'4C2 Open-burning '!$C$11*$C$5</f>
        <v>0.86927468626319848</v>
      </c>
      <c r="V91" s="485">
        <f>F91*'4C2 Open-burning '!$C$9*'4C2 Open-burning '!$C$11*$C$5</f>
        <v>0</v>
      </c>
      <c r="W91" s="485">
        <f>G91*'4C2 Open-burning '!$C$9*'4C2 Open-burning '!$C$11*$C$5</f>
        <v>0</v>
      </c>
      <c r="X91" s="485">
        <f>H91*'4C2 Open-burning '!$C$9*'4C2 Open-burning '!$C$11*$C$5</f>
        <v>0</v>
      </c>
      <c r="Y91" s="485">
        <f>I91*'4C2 Open-burning '!$C$9*'4C2 Open-burning '!$C$11*$C$5</f>
        <v>3.398565368773327</v>
      </c>
      <c r="Z91" s="486">
        <f t="shared" si="9"/>
        <v>10.497796427605877</v>
      </c>
      <c r="AA91" s="487">
        <f>C91*'4C2 Open-burning '!$C$10*'4C2 Open-burning '!$C$11*$C$5*C$15</f>
        <v>2.8129105141449035E-2</v>
      </c>
      <c r="AB91" s="487">
        <f>D91*'4C2 Open-burning '!$C$10*'4C2 Open-burning '!$C$11*$C$5*D$15</f>
        <v>2.937818445149884E-2</v>
      </c>
      <c r="AC91" s="487">
        <f>E91*'4C2 Open-burning '!$C$10*'4C2 Open-burning '!$C$11*$C$5*E$15</f>
        <v>1.8054166560851046E-2</v>
      </c>
      <c r="AD91" s="487">
        <f>F91*'4C2 Open-burning '!$C$10*'4C2 Open-burning '!$C$11*$C$5*F$15</f>
        <v>0</v>
      </c>
      <c r="AE91" s="487">
        <f>G91*'4C2 Open-burning '!$C$10*'4C2 Open-burning '!$C$11*$C$5*G$15</f>
        <v>0</v>
      </c>
      <c r="AF91" s="487">
        <f>H91*'4C2 Open-burning '!$C$10*'4C2 Open-burning '!$C$11*$C$5*H$15</f>
        <v>0</v>
      </c>
      <c r="AG91" s="487">
        <f>I91*'4C2 Open-burning '!$C$10*'4C2 Open-burning '!$C$11*$C$5*I$15</f>
        <v>7.0585588428369095E-2</v>
      </c>
      <c r="AH91" s="488">
        <f t="shared" si="10"/>
        <v>0.14614704458216801</v>
      </c>
      <c r="AI91" s="1388"/>
      <c r="AJ91" s="1388"/>
      <c r="AK91" s="1388"/>
    </row>
    <row r="92" spans="1:45">
      <c r="A92" s="489">
        <f>'Input data'!A121</f>
        <v>2021</v>
      </c>
      <c r="B92" s="122">
        <f>'Recycling - Case 1'!AP101</f>
        <v>0.11293476596976883</v>
      </c>
      <c r="C92" s="527">
        <f>$B92*'Recycling - Case 1'!BM101*'Recycling - Case 1'!$AK101</f>
        <v>761.23286402600684</v>
      </c>
      <c r="D92" s="528">
        <f>$B92*'Recycling - Case 1'!BN101*'Recycling - Case 1'!$AK101</f>
        <v>795.03558244891724</v>
      </c>
      <c r="E92" s="528">
        <f>$B92*'Recycling - Case 1'!BO101*'Recycling - Case 1'!$AK101</f>
        <v>217.14835299767509</v>
      </c>
      <c r="F92" s="528">
        <f>$B92*'Recycling - Case 1'!BP101*'Recycling - Case 1'!$AK101</f>
        <v>0</v>
      </c>
      <c r="G92" s="528">
        <f>$B92*'Recycling - Case 1'!BQ101*'Recycling - Case 1'!$AK101</f>
        <v>0</v>
      </c>
      <c r="H92" s="528">
        <f>$B92*'Recycling - Case 1'!BR101*'Recycling - Case 1'!$AK101</f>
        <v>0</v>
      </c>
      <c r="I92" s="528">
        <f>$B92*'Recycling - Case 1'!BS101*'Recycling - Case 1'!$AK101</f>
        <v>848.97545510788632</v>
      </c>
      <c r="J92" s="744">
        <f t="shared" si="11"/>
        <v>2622.3922545804853</v>
      </c>
      <c r="K92" s="158">
        <f>'4C2 Open-burning '!C$14*'4C2 Open-burning '!$C$5*'4C2 Open-burning '!$C$6*'4C2 Open-burning '!$C$7*C92</f>
        <v>0</v>
      </c>
      <c r="L92" s="158">
        <f>'4C2 Open-burning '!D$14*'4C2 Open-burning '!$C$5*'4C2 Open-burning '!$C$6*'4C2 Open-burning '!$C$7*D92</f>
        <v>0</v>
      </c>
      <c r="M92" s="158">
        <f>'4C2 Open-burning '!E$14*'4C2 Open-burning '!$C$5*'4C2 Open-burning '!$C$6*'4C2 Open-burning '!$C$7*E92</f>
        <v>1.1471165754796384</v>
      </c>
      <c r="N92" s="158">
        <f>'4C2 Open-burning '!F$14*'4C2 Open-burning '!$C$5*'4C2 Open-burning '!$C$6*'4C2 Open-burning '!$C$7*F92</f>
        <v>0</v>
      </c>
      <c r="O92" s="158">
        <f>'4C2 Open-burning '!G$14*'4C2 Open-burning '!$C$5*'4C2 Open-burning '!$C$6*'4C2 Open-burning '!$C$7*G92</f>
        <v>0</v>
      </c>
      <c r="P92" s="158">
        <f>'4C2 Open-burning '!H$14*'4C2 Open-burning '!$C$5*'4C2 Open-burning '!$C$6*'4C2 Open-burning '!$C$7*H92</f>
        <v>0</v>
      </c>
      <c r="Q92" s="158">
        <f>'4C2 Open-burning '!I$14*'4C2 Open-burning '!$C$5*'4C2 Open-burning '!$C$6*'4C2 Open-burning '!$C$7*I92</f>
        <v>29.248902379376897</v>
      </c>
      <c r="R92" s="1380">
        <f t="shared" si="8"/>
        <v>30.396018954856537</v>
      </c>
      <c r="S92" s="485">
        <f>C92*'4C2 Open-burning '!$C$9*'4C2 Open-burning '!$C$11*$C$5</f>
        <v>2.9688081697014264</v>
      </c>
      <c r="T92" s="485">
        <f>D92*'4C2 Open-burning '!$C$9*'4C2 Open-burning '!$C$11*$C$5</f>
        <v>3.1006387715507771</v>
      </c>
      <c r="U92" s="485">
        <f>E92*'4C2 Open-burning '!$C$9*'4C2 Open-burning '!$C$11*$C$5</f>
        <v>0.84687857669093269</v>
      </c>
      <c r="V92" s="485">
        <f>F92*'4C2 Open-burning '!$C$9*'4C2 Open-burning '!$C$11*$C$5</f>
        <v>0</v>
      </c>
      <c r="W92" s="485">
        <f>G92*'4C2 Open-burning '!$C$9*'4C2 Open-burning '!$C$11*$C$5</f>
        <v>0</v>
      </c>
      <c r="X92" s="485">
        <f>H92*'4C2 Open-burning '!$C$9*'4C2 Open-burning '!$C$11*$C$5</f>
        <v>0</v>
      </c>
      <c r="Y92" s="485">
        <f>I92*'4C2 Open-burning '!$C$9*'4C2 Open-burning '!$C$11*$C$5</f>
        <v>3.3110042749207564</v>
      </c>
      <c r="Z92" s="486">
        <f t="shared" si="9"/>
        <v>10.227329792863893</v>
      </c>
      <c r="AA92" s="487">
        <f>C92*'4C2 Open-burning '!$C$10*'4C2 Open-burning '!$C$11*$C$5*C$15</f>
        <v>2.7404383104936245E-2</v>
      </c>
      <c r="AB92" s="487">
        <f>D92*'4C2 Open-burning '!$C$10*'4C2 Open-burning '!$C$11*$C$5*D$15</f>
        <v>2.8621280968161019E-2</v>
      </c>
      <c r="AC92" s="487">
        <f>E92*'4C2 Open-burning '!$C$10*'4C2 Open-burning '!$C$11*$C$5*E$15</f>
        <v>1.7589016592811681E-2</v>
      </c>
      <c r="AD92" s="487">
        <f>F92*'4C2 Open-burning '!$C$10*'4C2 Open-burning '!$C$11*$C$5*F$15</f>
        <v>0</v>
      </c>
      <c r="AE92" s="487">
        <f>G92*'4C2 Open-burning '!$C$10*'4C2 Open-burning '!$C$11*$C$5*G$15</f>
        <v>0</v>
      </c>
      <c r="AF92" s="487">
        <f>H92*'4C2 Open-burning '!$C$10*'4C2 Open-burning '!$C$11*$C$5*H$15</f>
        <v>0</v>
      </c>
      <c r="AG92" s="487">
        <f>I92*'4C2 Open-burning '!$C$10*'4C2 Open-burning '!$C$11*$C$5*I$15</f>
        <v>6.8767011863738792E-2</v>
      </c>
      <c r="AH92" s="488">
        <f t="shared" si="10"/>
        <v>0.14238169252964775</v>
      </c>
      <c r="AI92" s="1388"/>
      <c r="AJ92" s="1388"/>
      <c r="AK92" s="1388"/>
    </row>
    <row r="93" spans="1:45">
      <c r="A93" s="489">
        <f>'Input data'!A122</f>
        <v>2022</v>
      </c>
      <c r="B93" s="122">
        <f>'Recycling - Case 1'!AP102</f>
        <v>0.11075732555016322</v>
      </c>
      <c r="C93" s="527">
        <f>$B93*'Recycling - Case 1'!BM102*'Recycling - Case 1'!$AK102</f>
        <v>741.69767369725253</v>
      </c>
      <c r="D93" s="528">
        <f>$B93*'Recycling - Case 1'!BN102*'Recycling - Case 1'!$AK102</f>
        <v>774.63292755153088</v>
      </c>
      <c r="E93" s="528">
        <f>$B93*'Recycling - Case 1'!BO102*'Recycling - Case 1'!$AK102</f>
        <v>211.5757685680567</v>
      </c>
      <c r="F93" s="528">
        <f>$B93*'Recycling - Case 1'!BP102*'Recycling - Case 1'!$AK102</f>
        <v>0</v>
      </c>
      <c r="G93" s="528">
        <f>$B93*'Recycling - Case 1'!BQ102*'Recycling - Case 1'!$AK102</f>
        <v>0</v>
      </c>
      <c r="H93" s="528">
        <f>$B93*'Recycling - Case 1'!BR102*'Recycling - Case 1'!$AK102</f>
        <v>0</v>
      </c>
      <c r="I93" s="528">
        <f>$B93*'Recycling - Case 1'!BS102*'Recycling - Case 1'!$AK102</f>
        <v>827.18856454688341</v>
      </c>
      <c r="J93" s="744">
        <f t="shared" si="11"/>
        <v>2555.0949343637235</v>
      </c>
      <c r="K93" s="158">
        <f>'4C2 Open-burning '!C$14*'4C2 Open-burning '!$C$5*'4C2 Open-burning '!$C$6*'4C2 Open-burning '!$C$7*C93</f>
        <v>0</v>
      </c>
      <c r="L93" s="158">
        <f>'4C2 Open-burning '!D$14*'4C2 Open-burning '!$C$5*'4C2 Open-burning '!$C$6*'4C2 Open-burning '!$C$7*D93</f>
        <v>0</v>
      </c>
      <c r="M93" s="158">
        <f>'4C2 Open-burning '!E$14*'4C2 Open-burning '!$C$5*'4C2 Open-burning '!$C$6*'4C2 Open-burning '!$C$7*E93</f>
        <v>1.1176786180683591</v>
      </c>
      <c r="N93" s="158">
        <f>'4C2 Open-burning '!F$14*'4C2 Open-burning '!$C$5*'4C2 Open-burning '!$C$6*'4C2 Open-burning '!$C$7*F93</f>
        <v>0</v>
      </c>
      <c r="O93" s="158">
        <f>'4C2 Open-burning '!G$14*'4C2 Open-burning '!$C$5*'4C2 Open-burning '!$C$6*'4C2 Open-burning '!$C$7*G93</f>
        <v>0</v>
      </c>
      <c r="P93" s="158">
        <f>'4C2 Open-burning '!H$14*'4C2 Open-burning '!$C$5*'4C2 Open-burning '!$C$6*'4C2 Open-burning '!$C$7*H93</f>
        <v>0</v>
      </c>
      <c r="Q93" s="158">
        <f>'4C2 Open-burning '!I$14*'4C2 Open-burning '!$C$5*'4C2 Open-burning '!$C$6*'4C2 Open-burning '!$C$7*I93</f>
        <v>28.498300425769223</v>
      </c>
      <c r="R93" s="1380">
        <f t="shared" si="8"/>
        <v>29.615979043837584</v>
      </c>
      <c r="S93" s="485">
        <f>C93*'4C2 Open-burning '!$C$9*'4C2 Open-burning '!$C$11*$C$5</f>
        <v>2.8926209274192849</v>
      </c>
      <c r="T93" s="485">
        <f>D93*'4C2 Open-burning '!$C$9*'4C2 Open-burning '!$C$11*$C$5</f>
        <v>3.0210684174509703</v>
      </c>
      <c r="U93" s="485">
        <f>E93*'4C2 Open-burning '!$C$9*'4C2 Open-burning '!$C$11*$C$5</f>
        <v>0.82514549741542109</v>
      </c>
      <c r="V93" s="485">
        <f>F93*'4C2 Open-burning '!$C$9*'4C2 Open-burning '!$C$11*$C$5</f>
        <v>0</v>
      </c>
      <c r="W93" s="485">
        <f>G93*'4C2 Open-burning '!$C$9*'4C2 Open-burning '!$C$11*$C$5</f>
        <v>0</v>
      </c>
      <c r="X93" s="485">
        <f>H93*'4C2 Open-burning '!$C$9*'4C2 Open-burning '!$C$11*$C$5</f>
        <v>0</v>
      </c>
      <c r="Y93" s="485">
        <f>I93*'4C2 Open-burning '!$C$9*'4C2 Open-burning '!$C$11*$C$5</f>
        <v>3.2260354017328452</v>
      </c>
      <c r="Z93" s="486">
        <f t="shared" si="9"/>
        <v>9.9648702440185204</v>
      </c>
      <c r="AA93" s="487">
        <f>C93*'4C2 Open-burning '!$C$10*'4C2 Open-burning '!$C$11*$C$5*C$15</f>
        <v>2.6701116253101093E-2</v>
      </c>
      <c r="AB93" s="487">
        <f>D93*'4C2 Open-burning '!$C$10*'4C2 Open-burning '!$C$11*$C$5*D$15</f>
        <v>2.7886785391855115E-2</v>
      </c>
      <c r="AC93" s="487">
        <f>E93*'4C2 Open-burning '!$C$10*'4C2 Open-burning '!$C$11*$C$5*E$15</f>
        <v>1.7137637254012593E-2</v>
      </c>
      <c r="AD93" s="487">
        <f>F93*'4C2 Open-burning '!$C$10*'4C2 Open-burning '!$C$11*$C$5*F$15</f>
        <v>0</v>
      </c>
      <c r="AE93" s="487">
        <f>G93*'4C2 Open-burning '!$C$10*'4C2 Open-burning '!$C$11*$C$5*G$15</f>
        <v>0</v>
      </c>
      <c r="AF93" s="487">
        <f>H93*'4C2 Open-burning '!$C$10*'4C2 Open-burning '!$C$11*$C$5*H$15</f>
        <v>0</v>
      </c>
      <c r="AG93" s="487">
        <f>I93*'4C2 Open-burning '!$C$10*'4C2 Open-burning '!$C$11*$C$5*I$15</f>
        <v>6.7002273728297548E-2</v>
      </c>
      <c r="AH93" s="488">
        <f t="shared" si="10"/>
        <v>0.13872781262726636</v>
      </c>
      <c r="AI93" s="1388"/>
      <c r="AJ93" s="1388"/>
      <c r="AK93" s="1388"/>
    </row>
    <row r="94" spans="1:45">
      <c r="A94" s="489">
        <f>'Input data'!A123</f>
        <v>2023</v>
      </c>
      <c r="B94" s="122">
        <f>'Recycling - Case 1'!AP103</f>
        <v>0.10850907008688693</v>
      </c>
      <c r="C94" s="527">
        <f>$B94*'Recycling - Case 1'!BM103*'Recycling - Case 1'!$AK103</f>
        <v>722.73860507762129</v>
      </c>
      <c r="D94" s="528">
        <f>$B94*'Recycling - Case 1'!BN103*'Recycling - Case 1'!$AK103</f>
        <v>754.83197717876499</v>
      </c>
      <c r="E94" s="528">
        <f>$B94*'Recycling - Case 1'!BO103*'Recycling - Case 1'!$AK103</f>
        <v>206.16752791046187</v>
      </c>
      <c r="F94" s="528">
        <f>$B94*'Recycling - Case 1'!BP103*'Recycling - Case 1'!$AK103</f>
        <v>0</v>
      </c>
      <c r="G94" s="528">
        <f>$B94*'Recycling - Case 1'!BQ103*'Recycling - Case 1'!$AK103</f>
        <v>0</v>
      </c>
      <c r="H94" s="528">
        <f>$B94*'Recycling - Case 1'!BR103*'Recycling - Case 1'!$AK103</f>
        <v>0</v>
      </c>
      <c r="I94" s="528">
        <f>$B94*'Recycling - Case 1'!BS103*'Recycling - Case 1'!$AK103</f>
        <v>806.0442016713165</v>
      </c>
      <c r="J94" s="744">
        <f t="shared" si="11"/>
        <v>2489.7823118381648</v>
      </c>
      <c r="K94" s="158">
        <f>'4C2 Open-burning '!C$14*'4C2 Open-burning '!$C$5*'4C2 Open-burning '!$C$6*'4C2 Open-burning '!$C$7*C94</f>
        <v>0</v>
      </c>
      <c r="L94" s="158">
        <f>'4C2 Open-burning '!D$14*'4C2 Open-burning '!$C$5*'4C2 Open-burning '!$C$6*'4C2 Open-burning '!$C$7*D94</f>
        <v>0</v>
      </c>
      <c r="M94" s="158">
        <f>'4C2 Open-burning '!E$14*'4C2 Open-burning '!$C$5*'4C2 Open-burning '!$C$6*'4C2 Open-burning '!$C$7*E94</f>
        <v>1.0891088296409224</v>
      </c>
      <c r="N94" s="158">
        <f>'4C2 Open-burning '!F$14*'4C2 Open-burning '!$C$5*'4C2 Open-burning '!$C$6*'4C2 Open-burning '!$C$7*F94</f>
        <v>0</v>
      </c>
      <c r="O94" s="158">
        <f>'4C2 Open-burning '!G$14*'4C2 Open-burning '!$C$5*'4C2 Open-burning '!$C$6*'4C2 Open-burning '!$C$7*G94</f>
        <v>0</v>
      </c>
      <c r="P94" s="158">
        <f>'4C2 Open-burning '!H$14*'4C2 Open-burning '!$C$5*'4C2 Open-burning '!$C$6*'4C2 Open-burning '!$C$7*H94</f>
        <v>0</v>
      </c>
      <c r="Q94" s="158">
        <f>'4C2 Open-burning '!I$14*'4C2 Open-burning '!$C$5*'4C2 Open-burning '!$C$6*'4C2 Open-burning '!$C$7*I94</f>
        <v>27.769834835980195</v>
      </c>
      <c r="R94" s="1380">
        <f t="shared" si="8"/>
        <v>28.858943665621116</v>
      </c>
      <c r="S94" s="485">
        <f>C94*'4C2 Open-burning '!$C$9*'4C2 Open-burning '!$C$11*$C$5</f>
        <v>2.8186805598027229</v>
      </c>
      <c r="T94" s="485">
        <f>D94*'4C2 Open-burning '!$C$9*'4C2 Open-burning '!$C$11*$C$5</f>
        <v>2.9438447109971837</v>
      </c>
      <c r="U94" s="485">
        <f>E94*'4C2 Open-burning '!$C$9*'4C2 Open-burning '!$C$11*$C$5</f>
        <v>0.8040533588508012</v>
      </c>
      <c r="V94" s="485">
        <f>F94*'4C2 Open-burning '!$C$9*'4C2 Open-burning '!$C$11*$C$5</f>
        <v>0</v>
      </c>
      <c r="W94" s="485">
        <f>G94*'4C2 Open-burning '!$C$9*'4C2 Open-burning '!$C$11*$C$5</f>
        <v>0</v>
      </c>
      <c r="X94" s="485">
        <f>H94*'4C2 Open-burning '!$C$9*'4C2 Open-burning '!$C$11*$C$5</f>
        <v>0</v>
      </c>
      <c r="Y94" s="485">
        <f>I94*'4C2 Open-burning '!$C$9*'4C2 Open-burning '!$C$11*$C$5</f>
        <v>3.1435723865181342</v>
      </c>
      <c r="Z94" s="486">
        <f t="shared" si="9"/>
        <v>9.710151016168842</v>
      </c>
      <c r="AA94" s="487">
        <f>C94*'4C2 Open-burning '!$C$10*'4C2 Open-burning '!$C$11*$C$5*C$15</f>
        <v>2.6018589782794366E-2</v>
      </c>
      <c r="AB94" s="487">
        <f>D94*'4C2 Open-burning '!$C$10*'4C2 Open-burning '!$C$11*$C$5*D$15</f>
        <v>2.7173951178435542E-2</v>
      </c>
      <c r="AC94" s="487">
        <f>E94*'4C2 Open-burning '!$C$10*'4C2 Open-burning '!$C$11*$C$5*E$15</f>
        <v>1.6699569760747414E-2</v>
      </c>
      <c r="AD94" s="487">
        <f>F94*'4C2 Open-burning '!$C$10*'4C2 Open-burning '!$C$11*$C$5*F$15</f>
        <v>0</v>
      </c>
      <c r="AE94" s="487">
        <f>G94*'4C2 Open-burning '!$C$10*'4C2 Open-burning '!$C$11*$C$5*G$15</f>
        <v>0</v>
      </c>
      <c r="AF94" s="487">
        <f>H94*'4C2 Open-burning '!$C$10*'4C2 Open-burning '!$C$11*$C$5*H$15</f>
        <v>0</v>
      </c>
      <c r="AG94" s="487">
        <f>I94*'4C2 Open-burning '!$C$10*'4C2 Open-burning '!$C$11*$C$5*I$15</f>
        <v>6.5289580335376629E-2</v>
      </c>
      <c r="AH94" s="488">
        <f t="shared" si="10"/>
        <v>0.13518169105735395</v>
      </c>
      <c r="AI94" s="1388"/>
      <c r="AJ94" s="1388"/>
      <c r="AK94" s="1388"/>
    </row>
    <row r="95" spans="1:45">
      <c r="A95" s="489">
        <f>'Input data'!A124</f>
        <v>2024</v>
      </c>
      <c r="B95" s="122">
        <f>'Recycling - Case 1'!AP104</f>
        <v>0.1062000898099229</v>
      </c>
      <c r="C95" s="527">
        <f>$B95*'Recycling - Case 1'!BM104*'Recycling - Case 1'!$AK104</f>
        <v>704.33643697509649</v>
      </c>
      <c r="D95" s="528">
        <f>$B95*'Recycling - Case 1'!BN104*'Recycling - Case 1'!$AK104</f>
        <v>735.61265661720017</v>
      </c>
      <c r="E95" s="528">
        <f>$B95*'Recycling - Case 1'!BO104*'Recycling - Case 1'!$AK104</f>
        <v>200.91814801123419</v>
      </c>
      <c r="F95" s="528">
        <f>$B95*'Recycling - Case 1'!BP104*'Recycling - Case 1'!$AK104</f>
        <v>0</v>
      </c>
      <c r="G95" s="528">
        <f>$B95*'Recycling - Case 1'!BQ104*'Recycling - Case 1'!$AK104</f>
        <v>0</v>
      </c>
      <c r="H95" s="528">
        <f>$B95*'Recycling - Case 1'!BR104*'Recycling - Case 1'!$AK104</f>
        <v>0</v>
      </c>
      <c r="I95" s="528">
        <f>$B95*'Recycling - Case 1'!BS104*'Recycling - Case 1'!$AK104</f>
        <v>785.52092978157418</v>
      </c>
      <c r="J95" s="744">
        <f t="shared" si="11"/>
        <v>2426.3881713851051</v>
      </c>
      <c r="K95" s="158">
        <f>'4C2 Open-burning '!C$14*'4C2 Open-burning '!$C$5*'4C2 Open-burning '!$C$6*'4C2 Open-burning '!$C$7*C95</f>
        <v>0</v>
      </c>
      <c r="L95" s="158">
        <f>'4C2 Open-burning '!D$14*'4C2 Open-burning '!$C$5*'4C2 Open-burning '!$C$6*'4C2 Open-burning '!$C$7*D95</f>
        <v>0</v>
      </c>
      <c r="M95" s="158">
        <f>'4C2 Open-burning '!E$14*'4C2 Open-burning '!$C$5*'4C2 Open-burning '!$C$6*'4C2 Open-burning '!$C$7*E95</f>
        <v>1.0613782454100662</v>
      </c>
      <c r="N95" s="158">
        <f>'4C2 Open-burning '!F$14*'4C2 Open-burning '!$C$5*'4C2 Open-burning '!$C$6*'4C2 Open-burning '!$C$7*F95</f>
        <v>0</v>
      </c>
      <c r="O95" s="158">
        <f>'4C2 Open-burning '!G$14*'4C2 Open-burning '!$C$5*'4C2 Open-burning '!$C$6*'4C2 Open-burning '!$C$7*G95</f>
        <v>0</v>
      </c>
      <c r="P95" s="158">
        <f>'4C2 Open-burning '!H$14*'4C2 Open-burning '!$C$5*'4C2 Open-burning '!$C$6*'4C2 Open-burning '!$C$7*H95</f>
        <v>0</v>
      </c>
      <c r="Q95" s="158">
        <f>'4C2 Open-burning '!I$14*'4C2 Open-burning '!$C$5*'4C2 Open-burning '!$C$6*'4C2 Open-burning '!$C$7*I95</f>
        <v>27.062767072834792</v>
      </c>
      <c r="R95" s="1380">
        <f t="shared" si="8"/>
        <v>28.124145318244857</v>
      </c>
      <c r="S95" s="485">
        <f>C95*'4C2 Open-burning '!$C$9*'4C2 Open-burning '!$C$11*$C$5</f>
        <v>2.7469121042028761</v>
      </c>
      <c r="T95" s="485">
        <f>D95*'4C2 Open-burning '!$C$9*'4C2 Open-burning '!$C$11*$C$5</f>
        <v>2.8688893608070805</v>
      </c>
      <c r="U95" s="485">
        <f>E95*'4C2 Open-burning '!$C$9*'4C2 Open-burning '!$C$11*$C$5</f>
        <v>0.78358077724381336</v>
      </c>
      <c r="V95" s="485">
        <f>F95*'4C2 Open-burning '!$C$9*'4C2 Open-burning '!$C$11*$C$5</f>
        <v>0</v>
      </c>
      <c r="W95" s="485">
        <f>G95*'4C2 Open-burning '!$C$9*'4C2 Open-burning '!$C$11*$C$5</f>
        <v>0</v>
      </c>
      <c r="X95" s="485">
        <f>H95*'4C2 Open-burning '!$C$9*'4C2 Open-burning '!$C$11*$C$5</f>
        <v>0</v>
      </c>
      <c r="Y95" s="485">
        <f>I95*'4C2 Open-burning '!$C$9*'4C2 Open-burning '!$C$11*$C$5</f>
        <v>3.0635316261481389</v>
      </c>
      <c r="Z95" s="486">
        <f t="shared" si="9"/>
        <v>9.462913868401909</v>
      </c>
      <c r="AA95" s="487">
        <f>C95*'4C2 Open-burning '!$C$10*'4C2 Open-burning '!$C$11*$C$5*C$15</f>
        <v>2.535611173110347E-2</v>
      </c>
      <c r="AB95" s="487">
        <f>D95*'4C2 Open-burning '!$C$10*'4C2 Open-burning '!$C$11*$C$5*D$15</f>
        <v>2.6482055638219204E-2</v>
      </c>
      <c r="AC95" s="487">
        <f>E95*'4C2 Open-burning '!$C$10*'4C2 Open-burning '!$C$11*$C$5*E$15</f>
        <v>1.6274369988909968E-2</v>
      </c>
      <c r="AD95" s="487">
        <f>F95*'4C2 Open-burning '!$C$10*'4C2 Open-burning '!$C$11*$C$5*F$15</f>
        <v>0</v>
      </c>
      <c r="AE95" s="487">
        <f>G95*'4C2 Open-burning '!$C$10*'4C2 Open-burning '!$C$11*$C$5*G$15</f>
        <v>0</v>
      </c>
      <c r="AF95" s="487">
        <f>H95*'4C2 Open-burning '!$C$10*'4C2 Open-burning '!$C$11*$C$5*H$15</f>
        <v>0</v>
      </c>
      <c r="AG95" s="487">
        <f>I95*'4C2 Open-burning '!$C$10*'4C2 Open-burning '!$C$11*$C$5*I$15</f>
        <v>6.3627195312307497E-2</v>
      </c>
      <c r="AH95" s="488">
        <f t="shared" si="10"/>
        <v>0.13173973267054012</v>
      </c>
      <c r="AI95" s="1388"/>
      <c r="AJ95" s="1388"/>
      <c r="AK95" s="1388"/>
    </row>
    <row r="96" spans="1:45">
      <c r="A96" s="489">
        <f>'Input data'!A125</f>
        <v>2025</v>
      </c>
      <c r="B96" s="122">
        <f>'Recycling - Case 1'!AP105</f>
        <v>0.1038403439063386</v>
      </c>
      <c r="C96" s="527">
        <f>$B96*'Recycling - Case 1'!BM105*'Recycling - Case 1'!$AK105</f>
        <v>686.47255925083232</v>
      </c>
      <c r="D96" s="528">
        <f>$B96*'Recycling - Case 1'!BN105*'Recycling - Case 1'!$AK105</f>
        <v>716.95552934054422</v>
      </c>
      <c r="E96" s="528">
        <f>$B96*'Recycling - Case 1'!BO105*'Recycling - Case 1'!$AK105</f>
        <v>195.82232016499543</v>
      </c>
      <c r="F96" s="528">
        <f>$B96*'Recycling - Case 1'!BP105*'Recycling - Case 1'!$AK105</f>
        <v>0</v>
      </c>
      <c r="G96" s="528">
        <f>$B96*'Recycling - Case 1'!BQ105*'Recycling - Case 1'!$AK105</f>
        <v>0</v>
      </c>
      <c r="H96" s="528">
        <f>$B96*'Recycling - Case 1'!BR105*'Recycling - Case 1'!$AK105</f>
        <v>0</v>
      </c>
      <c r="I96" s="528">
        <f>$B96*'Recycling - Case 1'!BS105*'Recycling - Case 1'!$AK105</f>
        <v>765.59799366352627</v>
      </c>
      <c r="J96" s="744">
        <f t="shared" si="11"/>
        <v>2364.8484024198983</v>
      </c>
      <c r="K96" s="158">
        <f>'4C2 Open-burning '!C$14*'4C2 Open-burning '!$C$5*'4C2 Open-burning '!$C$6*'4C2 Open-burning '!$C$7*C96</f>
        <v>0</v>
      </c>
      <c r="L96" s="158">
        <f>'4C2 Open-burning '!D$14*'4C2 Open-burning '!$C$5*'4C2 Open-burning '!$C$6*'4C2 Open-burning '!$C$7*D96</f>
        <v>0</v>
      </c>
      <c r="M96" s="158">
        <f>'4C2 Open-burning '!E$14*'4C2 Open-burning '!$C$5*'4C2 Open-burning '!$C$6*'4C2 Open-burning '!$C$7*E96</f>
        <v>1.0344588213964114</v>
      </c>
      <c r="N96" s="158">
        <f>'4C2 Open-burning '!F$14*'4C2 Open-burning '!$C$5*'4C2 Open-burning '!$C$6*'4C2 Open-burning '!$C$7*F96</f>
        <v>0</v>
      </c>
      <c r="O96" s="158">
        <f>'4C2 Open-burning '!G$14*'4C2 Open-burning '!$C$5*'4C2 Open-burning '!$C$6*'4C2 Open-burning '!$C$7*G96</f>
        <v>0</v>
      </c>
      <c r="P96" s="158">
        <f>'4C2 Open-burning '!H$14*'4C2 Open-burning '!$C$5*'4C2 Open-burning '!$C$6*'4C2 Open-burning '!$C$7*H96</f>
        <v>0</v>
      </c>
      <c r="Q96" s="158">
        <f>'4C2 Open-burning '!I$14*'4C2 Open-burning '!$C$5*'4C2 Open-burning '!$C$6*'4C2 Open-burning '!$C$7*I96</f>
        <v>26.376382077695805</v>
      </c>
      <c r="R96" s="1380">
        <f t="shared" si="8"/>
        <v>27.410840899092218</v>
      </c>
      <c r="S96" s="485">
        <f>C96*'4C2 Open-burning '!$C$9*'4C2 Open-burning '!$C$11*$C$5</f>
        <v>2.6772429810782454</v>
      </c>
      <c r="T96" s="485">
        <f>D96*'4C2 Open-burning '!$C$9*'4C2 Open-burning '!$C$11*$C$5</f>
        <v>2.7961265644281226</v>
      </c>
      <c r="U96" s="485">
        <f>E96*'4C2 Open-burning '!$C$9*'4C2 Open-burning '!$C$11*$C$5</f>
        <v>0.76370704864348216</v>
      </c>
      <c r="V96" s="485">
        <f>F96*'4C2 Open-burning '!$C$9*'4C2 Open-burning '!$C$11*$C$5</f>
        <v>0</v>
      </c>
      <c r="W96" s="485">
        <f>G96*'4C2 Open-burning '!$C$9*'4C2 Open-burning '!$C$11*$C$5</f>
        <v>0</v>
      </c>
      <c r="X96" s="485">
        <f>H96*'4C2 Open-burning '!$C$9*'4C2 Open-burning '!$C$11*$C$5</f>
        <v>0</v>
      </c>
      <c r="Y96" s="485">
        <f>I96*'4C2 Open-burning '!$C$9*'4C2 Open-burning '!$C$11*$C$5</f>
        <v>2.9858321752877521</v>
      </c>
      <c r="Z96" s="486">
        <f t="shared" si="9"/>
        <v>9.222908769437602</v>
      </c>
      <c r="AA96" s="487">
        <f>C96*'4C2 Open-burning '!$C$10*'4C2 Open-burning '!$C$11*$C$5*C$15</f>
        <v>2.4713012133029965E-2</v>
      </c>
      <c r="AB96" s="487">
        <f>D96*'4C2 Open-burning '!$C$10*'4C2 Open-burning '!$C$11*$C$5*D$15</f>
        <v>2.5810399056259592E-2</v>
      </c>
      <c r="AC96" s="487">
        <f>E96*'4C2 Open-burning '!$C$10*'4C2 Open-burning '!$C$11*$C$5*E$15</f>
        <v>1.5861607933364628E-2</v>
      </c>
      <c r="AD96" s="487">
        <f>F96*'4C2 Open-burning '!$C$10*'4C2 Open-burning '!$C$11*$C$5*F$15</f>
        <v>0</v>
      </c>
      <c r="AE96" s="487">
        <f>G96*'4C2 Open-burning '!$C$10*'4C2 Open-burning '!$C$11*$C$5*G$15</f>
        <v>0</v>
      </c>
      <c r="AF96" s="487">
        <f>H96*'4C2 Open-burning '!$C$10*'4C2 Open-burning '!$C$11*$C$5*H$15</f>
        <v>0</v>
      </c>
      <c r="AG96" s="487">
        <f>I96*'4C2 Open-burning '!$C$10*'4C2 Open-burning '!$C$11*$C$5*I$15</f>
        <v>6.2013437486745614E-2</v>
      </c>
      <c r="AH96" s="488">
        <f t="shared" si="10"/>
        <v>0.1283984566093998</v>
      </c>
      <c r="AI96" s="1388"/>
      <c r="AJ96" s="1388"/>
      <c r="AK96" s="1388"/>
    </row>
    <row r="97" spans="1:37">
      <c r="A97" s="489">
        <f>'Input data'!A126</f>
        <v>2026</v>
      </c>
      <c r="B97" s="122">
        <f>'Recycling - Case 1'!AP106</f>
        <v>0.10153596139868032</v>
      </c>
      <c r="C97" s="527">
        <f>$B97*'Recycling - Case 1'!BM106*'Recycling - Case 1'!$AK106</f>
        <v>669.43710410979213</v>
      </c>
      <c r="D97" s="528">
        <f>$B97*'Recycling - Case 1'!BN106*'Recycling - Case 1'!$AK106</f>
        <v>699.16361094029435</v>
      </c>
      <c r="E97" s="528">
        <f>$B97*'Recycling - Case 1'!BO106*'Recycling - Case 1'!$AK106</f>
        <v>190.96280712863199</v>
      </c>
      <c r="F97" s="528">
        <f>$B97*'Recycling - Case 1'!BP106*'Recycling - Case 1'!$AK106</f>
        <v>0</v>
      </c>
      <c r="G97" s="528">
        <f>$B97*'Recycling - Case 1'!BQ106*'Recycling - Case 1'!$AK106</f>
        <v>0</v>
      </c>
      <c r="H97" s="528">
        <f>$B97*'Recycling - Case 1'!BR106*'Recycling - Case 1'!$AK106</f>
        <v>0</v>
      </c>
      <c r="I97" s="528">
        <f>$B97*'Recycling - Case 1'!BS106*'Recycling - Case 1'!$AK106</f>
        <v>746.59896726200668</v>
      </c>
      <c r="J97" s="744">
        <f t="shared" si="11"/>
        <v>2306.162489440725</v>
      </c>
      <c r="K97" s="158">
        <f>'4C2 Open-burning '!C$14*'4C2 Open-burning '!$C$5*'4C2 Open-burning '!$C$6*'4C2 Open-burning '!$C$7*C97</f>
        <v>0</v>
      </c>
      <c r="L97" s="158">
        <f>'4C2 Open-burning '!D$14*'4C2 Open-burning '!$C$5*'4C2 Open-burning '!$C$6*'4C2 Open-burning '!$C$7*D97</f>
        <v>0</v>
      </c>
      <c r="M97" s="158">
        <f>'4C2 Open-burning '!E$14*'4C2 Open-burning '!$C$5*'4C2 Open-burning '!$C$6*'4C2 Open-burning '!$C$7*E97</f>
        <v>1.0087877634499964</v>
      </c>
      <c r="N97" s="158">
        <f>'4C2 Open-burning '!F$14*'4C2 Open-burning '!$C$5*'4C2 Open-burning '!$C$6*'4C2 Open-burning '!$C$7*F97</f>
        <v>0</v>
      </c>
      <c r="O97" s="158">
        <f>'4C2 Open-burning '!G$14*'4C2 Open-burning '!$C$5*'4C2 Open-burning '!$C$6*'4C2 Open-burning '!$C$7*G97</f>
        <v>0</v>
      </c>
      <c r="P97" s="158">
        <f>'4C2 Open-burning '!H$14*'4C2 Open-burning '!$C$5*'4C2 Open-burning '!$C$6*'4C2 Open-burning '!$C$7*H97</f>
        <v>0</v>
      </c>
      <c r="Q97" s="158">
        <f>'4C2 Open-burning '!I$14*'4C2 Open-burning '!$C$5*'4C2 Open-burning '!$C$6*'4C2 Open-burning '!$C$7*I97</f>
        <v>25.721827620110652</v>
      </c>
      <c r="R97" s="1380">
        <f t="shared" si="8"/>
        <v>26.730615383560647</v>
      </c>
      <c r="S97" s="485">
        <f>C97*'4C2 Open-burning '!$C$9*'4C2 Open-burning '!$C$11*$C$5</f>
        <v>2.6108047060281891</v>
      </c>
      <c r="T97" s="485">
        <f>D97*'4C2 Open-burning '!$C$9*'4C2 Open-burning '!$C$11*$C$5</f>
        <v>2.7267380826671479</v>
      </c>
      <c r="U97" s="485">
        <f>E97*'4C2 Open-burning '!$C$9*'4C2 Open-burning '!$C$11*$C$5</f>
        <v>0.74475494780166474</v>
      </c>
      <c r="V97" s="485">
        <f>F97*'4C2 Open-burning '!$C$9*'4C2 Open-burning '!$C$11*$C$5</f>
        <v>0</v>
      </c>
      <c r="W97" s="485">
        <f>G97*'4C2 Open-burning '!$C$9*'4C2 Open-burning '!$C$11*$C$5</f>
        <v>0</v>
      </c>
      <c r="X97" s="485">
        <f>H97*'4C2 Open-burning '!$C$9*'4C2 Open-burning '!$C$11*$C$5</f>
        <v>0</v>
      </c>
      <c r="Y97" s="485">
        <f>I97*'4C2 Open-burning '!$C$9*'4C2 Open-burning '!$C$11*$C$5</f>
        <v>2.9117359723218259</v>
      </c>
      <c r="Z97" s="486">
        <f t="shared" si="9"/>
        <v>8.9940337088188294</v>
      </c>
      <c r="AA97" s="487">
        <f>C97*'4C2 Open-burning '!$C$10*'4C2 Open-burning '!$C$11*$C$5*C$15</f>
        <v>2.4099735747952516E-2</v>
      </c>
      <c r="AB97" s="487">
        <f>D97*'4C2 Open-burning '!$C$10*'4C2 Open-burning '!$C$11*$C$5*D$15</f>
        <v>2.51698899938506E-2</v>
      </c>
      <c r="AC97" s="487">
        <f>E97*'4C2 Open-burning '!$C$10*'4C2 Open-burning '!$C$11*$C$5*E$15</f>
        <v>1.546798737741919E-2</v>
      </c>
      <c r="AD97" s="487">
        <f>F97*'4C2 Open-burning '!$C$10*'4C2 Open-burning '!$C$11*$C$5*F$15</f>
        <v>0</v>
      </c>
      <c r="AE97" s="487">
        <f>G97*'4C2 Open-burning '!$C$10*'4C2 Open-burning '!$C$11*$C$5*G$15</f>
        <v>0</v>
      </c>
      <c r="AF97" s="487">
        <f>H97*'4C2 Open-burning '!$C$10*'4C2 Open-burning '!$C$11*$C$5*H$15</f>
        <v>0</v>
      </c>
      <c r="AG97" s="487">
        <f>I97*'4C2 Open-burning '!$C$10*'4C2 Open-burning '!$C$11*$C$5*I$15</f>
        <v>6.047451634822254E-2</v>
      </c>
      <c r="AH97" s="488">
        <f t="shared" si="10"/>
        <v>0.12521212946744487</v>
      </c>
      <c r="AI97" s="1388"/>
      <c r="AJ97" s="1388"/>
      <c r="AK97" s="1388"/>
    </row>
    <row r="98" spans="1:37">
      <c r="A98" s="489">
        <f>'Input data'!A127</f>
        <v>2027</v>
      </c>
      <c r="B98" s="122">
        <f>'Recycling - Case 1'!AP107</f>
        <v>9.9207694227677709E-2</v>
      </c>
      <c r="C98" s="527">
        <f>$B98*'Recycling - Case 1'!BM107*'Recycling - Case 1'!$AK107</f>
        <v>652.96768594288483</v>
      </c>
      <c r="D98" s="528">
        <f>$B98*'Recycling - Case 1'!BN107*'Recycling - Case 1'!$AK107</f>
        <v>681.96286451472417</v>
      </c>
      <c r="E98" s="528">
        <f>$B98*'Recycling - Case 1'!BO107*'Recycling - Case 1'!$AK107</f>
        <v>186.26476110515958</v>
      </c>
      <c r="F98" s="528">
        <f>$B98*'Recycling - Case 1'!BP107*'Recycling - Case 1'!$AK107</f>
        <v>0</v>
      </c>
      <c r="G98" s="528">
        <f>$B98*'Recycling - Case 1'!BQ107*'Recycling - Case 1'!$AK107</f>
        <v>0</v>
      </c>
      <c r="H98" s="528">
        <f>$B98*'Recycling - Case 1'!BR107*'Recycling - Case 1'!$AK107</f>
        <v>0</v>
      </c>
      <c r="I98" s="528">
        <f>$B98*'Recycling - Case 1'!BS107*'Recycling - Case 1'!$AK107</f>
        <v>728.23122140607552</v>
      </c>
      <c r="J98" s="744">
        <f t="shared" si="11"/>
        <v>2249.4265329688442</v>
      </c>
      <c r="K98" s="158">
        <f>'4C2 Open-burning '!C$14*'4C2 Open-burning '!$C$5*'4C2 Open-burning '!$C$6*'4C2 Open-burning '!$C$7*C98</f>
        <v>0</v>
      </c>
      <c r="L98" s="158">
        <f>'4C2 Open-burning '!D$14*'4C2 Open-burning '!$C$5*'4C2 Open-burning '!$C$6*'4C2 Open-burning '!$C$7*D98</f>
        <v>0</v>
      </c>
      <c r="M98" s="158">
        <f>'4C2 Open-burning '!E$14*'4C2 Open-burning '!$C$5*'4C2 Open-burning '!$C$6*'4C2 Open-burning '!$C$7*E98</f>
        <v>0.98396967760456022</v>
      </c>
      <c r="N98" s="158">
        <f>'4C2 Open-burning '!F$14*'4C2 Open-burning '!$C$5*'4C2 Open-burning '!$C$6*'4C2 Open-burning '!$C$7*F98</f>
        <v>0</v>
      </c>
      <c r="O98" s="158">
        <f>'4C2 Open-burning '!G$14*'4C2 Open-burning '!$C$5*'4C2 Open-burning '!$C$6*'4C2 Open-burning '!$C$7*G98</f>
        <v>0</v>
      </c>
      <c r="P98" s="158">
        <f>'4C2 Open-burning '!H$14*'4C2 Open-burning '!$C$5*'4C2 Open-burning '!$C$6*'4C2 Open-burning '!$C$7*H98</f>
        <v>0</v>
      </c>
      <c r="Q98" s="158">
        <f>'4C2 Open-burning '!I$14*'4C2 Open-burning '!$C$5*'4C2 Open-burning '!$C$6*'4C2 Open-burning '!$C$7*I98</f>
        <v>25.08902203988211</v>
      </c>
      <c r="R98" s="1380">
        <f t="shared" si="8"/>
        <v>26.072991717486669</v>
      </c>
      <c r="S98" s="485">
        <f>C98*'4C2 Open-burning '!$C$9*'4C2 Open-burning '!$C$11*$C$5</f>
        <v>2.5465739751772505</v>
      </c>
      <c r="T98" s="485">
        <f>D98*'4C2 Open-burning '!$C$9*'4C2 Open-burning '!$C$11*$C$5</f>
        <v>2.6596551716074242</v>
      </c>
      <c r="U98" s="485">
        <f>E98*'4C2 Open-burning '!$C$9*'4C2 Open-burning '!$C$11*$C$5</f>
        <v>0.72643256831012226</v>
      </c>
      <c r="V98" s="485">
        <f>F98*'4C2 Open-burning '!$C$9*'4C2 Open-burning '!$C$11*$C$5</f>
        <v>0</v>
      </c>
      <c r="W98" s="485">
        <f>G98*'4C2 Open-burning '!$C$9*'4C2 Open-burning '!$C$11*$C$5</f>
        <v>0</v>
      </c>
      <c r="X98" s="485">
        <f>H98*'4C2 Open-burning '!$C$9*'4C2 Open-burning '!$C$11*$C$5</f>
        <v>0</v>
      </c>
      <c r="Y98" s="485">
        <f>I98*'4C2 Open-burning '!$C$9*'4C2 Open-burning '!$C$11*$C$5</f>
        <v>2.8401017634836947</v>
      </c>
      <c r="Z98" s="486">
        <f t="shared" si="9"/>
        <v>8.7727634785784918</v>
      </c>
      <c r="AA98" s="487">
        <f>C98*'4C2 Open-burning '!$C$10*'4C2 Open-burning '!$C$11*$C$5*C$15</f>
        <v>2.350683669394385E-2</v>
      </c>
      <c r="AB98" s="487">
        <f>D98*'4C2 Open-burning '!$C$10*'4C2 Open-burning '!$C$11*$C$5*D$15</f>
        <v>2.455066312253007E-2</v>
      </c>
      <c r="AC98" s="487">
        <f>E98*'4C2 Open-burning '!$C$10*'4C2 Open-burning '!$C$11*$C$5*E$15</f>
        <v>1.5087445649517925E-2</v>
      </c>
      <c r="AD98" s="487">
        <f>F98*'4C2 Open-burning '!$C$10*'4C2 Open-burning '!$C$11*$C$5*F$15</f>
        <v>0</v>
      </c>
      <c r="AE98" s="487">
        <f>G98*'4C2 Open-burning '!$C$10*'4C2 Open-burning '!$C$11*$C$5*G$15</f>
        <v>0</v>
      </c>
      <c r="AF98" s="487">
        <f>H98*'4C2 Open-burning '!$C$10*'4C2 Open-burning '!$C$11*$C$5*H$15</f>
        <v>0</v>
      </c>
      <c r="AG98" s="487">
        <f>I98*'4C2 Open-burning '!$C$10*'4C2 Open-burning '!$C$11*$C$5*I$15</f>
        <v>5.8986728933892112E-2</v>
      </c>
      <c r="AH98" s="488">
        <f t="shared" si="10"/>
        <v>0.12213167439988395</v>
      </c>
      <c r="AI98" s="1389"/>
      <c r="AJ98" s="1388"/>
      <c r="AK98" s="1389"/>
    </row>
    <row r="99" spans="1:37">
      <c r="A99" s="489">
        <f>'Input data'!A128</f>
        <v>2028</v>
      </c>
      <c r="B99" s="122">
        <f>'Recycling - Case 1'!AP108</f>
        <v>9.5406461154401684E-2</v>
      </c>
      <c r="C99" s="527">
        <f>$B99*'Recycling - Case 1'!BM108*'Recycling - Case 1'!$AK108</f>
        <v>617.16128725356532</v>
      </c>
      <c r="D99" s="528">
        <f>$B99*'Recycling - Case 1'!BN108*'Recycling - Case 1'!$AK108</f>
        <v>644.56647454963093</v>
      </c>
      <c r="E99" s="528">
        <f>$B99*'Recycling - Case 1'!BO108*'Recycling - Case 1'!$AK108</f>
        <v>176.05067173828456</v>
      </c>
      <c r="F99" s="528">
        <f>$B99*'Recycling - Case 1'!BP108*'Recycling - Case 1'!$AK108</f>
        <v>0</v>
      </c>
      <c r="G99" s="528">
        <f>$B99*'Recycling - Case 1'!BQ108*'Recycling - Case 1'!$AK108</f>
        <v>0</v>
      </c>
      <c r="H99" s="528">
        <f>$B99*'Recycling - Case 1'!BR108*'Recycling - Case 1'!$AK108</f>
        <v>0</v>
      </c>
      <c r="I99" s="528">
        <f>$B99*'Recycling - Case 1'!BS108*'Recycling - Case 1'!$AK108</f>
        <v>688.29764121056667</v>
      </c>
      <c r="J99" s="744">
        <f t="shared" si="11"/>
        <v>2126.0760747520476</v>
      </c>
      <c r="K99" s="158">
        <f>'4C2 Open-burning '!C$14*'4C2 Open-burning '!$C$5*'4C2 Open-burning '!$C$6*'4C2 Open-burning '!$C$7*C99</f>
        <v>0</v>
      </c>
      <c r="L99" s="158">
        <f>'4C2 Open-burning '!D$14*'4C2 Open-burning '!$C$5*'4C2 Open-burning '!$C$6*'4C2 Open-burning '!$C$7*D99</f>
        <v>0</v>
      </c>
      <c r="M99" s="158">
        <f>'4C2 Open-burning '!E$14*'4C2 Open-burning '!$C$5*'4C2 Open-burning '!$C$6*'4C2 Open-burning '!$C$7*E99</f>
        <v>0.9300123205515316</v>
      </c>
      <c r="N99" s="158">
        <f>'4C2 Open-burning '!F$14*'4C2 Open-burning '!$C$5*'4C2 Open-burning '!$C$6*'4C2 Open-burning '!$C$7*F99</f>
        <v>0</v>
      </c>
      <c r="O99" s="158">
        <f>'4C2 Open-burning '!G$14*'4C2 Open-burning '!$C$5*'4C2 Open-burning '!$C$6*'4C2 Open-burning '!$C$7*G99</f>
        <v>0</v>
      </c>
      <c r="P99" s="158">
        <f>'4C2 Open-burning '!H$14*'4C2 Open-burning '!$C$5*'4C2 Open-burning '!$C$6*'4C2 Open-burning '!$C$7*H99</f>
        <v>0</v>
      </c>
      <c r="Q99" s="158">
        <f>'4C2 Open-burning '!I$14*'4C2 Open-burning '!$C$5*'4C2 Open-burning '!$C$6*'4C2 Open-burning '!$C$7*I99</f>
        <v>23.713230334986442</v>
      </c>
      <c r="R99" s="1380">
        <f t="shared" si="8"/>
        <v>24.643242655537975</v>
      </c>
      <c r="S99" s="485">
        <f>C99*'4C2 Open-burning '!$C$9*'4C2 Open-burning '!$C$11*$C$5</f>
        <v>2.4069290202889047</v>
      </c>
      <c r="T99" s="485">
        <f>D99*'4C2 Open-burning '!$C$9*'4C2 Open-burning '!$C$11*$C$5</f>
        <v>2.5138092507435603</v>
      </c>
      <c r="U99" s="485">
        <f>E99*'4C2 Open-burning '!$C$9*'4C2 Open-burning '!$C$11*$C$5</f>
        <v>0.68659761977930978</v>
      </c>
      <c r="V99" s="485">
        <f>F99*'4C2 Open-burning '!$C$9*'4C2 Open-burning '!$C$11*$C$5</f>
        <v>0</v>
      </c>
      <c r="W99" s="485">
        <f>G99*'4C2 Open-burning '!$C$9*'4C2 Open-burning '!$C$11*$C$5</f>
        <v>0</v>
      </c>
      <c r="X99" s="485">
        <f>H99*'4C2 Open-burning '!$C$9*'4C2 Open-burning '!$C$11*$C$5</f>
        <v>0</v>
      </c>
      <c r="Y99" s="485">
        <f>I99*'4C2 Open-burning '!$C$9*'4C2 Open-burning '!$C$11*$C$5</f>
        <v>2.6843608007212096</v>
      </c>
      <c r="Z99" s="486">
        <f t="shared" si="9"/>
        <v>8.2916966915329837</v>
      </c>
      <c r="AA99" s="487">
        <f>C99*'4C2 Open-burning '!$C$10*'4C2 Open-burning '!$C$11*$C$5*C$15</f>
        <v>2.2217806341128351E-2</v>
      </c>
      <c r="AB99" s="487">
        <f>D99*'4C2 Open-burning '!$C$10*'4C2 Open-burning '!$C$11*$C$5*D$15</f>
        <v>2.3204393083786714E-2</v>
      </c>
      <c r="AC99" s="487">
        <f>E99*'4C2 Open-burning '!$C$10*'4C2 Open-burning '!$C$11*$C$5*E$15</f>
        <v>1.426010441080105E-2</v>
      </c>
      <c r="AD99" s="487">
        <f>F99*'4C2 Open-burning '!$C$10*'4C2 Open-burning '!$C$11*$C$5*F$15</f>
        <v>0</v>
      </c>
      <c r="AE99" s="487">
        <f>G99*'4C2 Open-burning '!$C$10*'4C2 Open-burning '!$C$11*$C$5*G$15</f>
        <v>0</v>
      </c>
      <c r="AF99" s="487">
        <f>H99*'4C2 Open-burning '!$C$10*'4C2 Open-burning '!$C$11*$C$5*H$15</f>
        <v>0</v>
      </c>
      <c r="AG99" s="487">
        <f>I99*'4C2 Open-burning '!$C$10*'4C2 Open-burning '!$C$11*$C$5*I$15</f>
        <v>5.5752108938055898E-2</v>
      </c>
      <c r="AH99" s="488">
        <f t="shared" si="10"/>
        <v>0.115434412773772</v>
      </c>
      <c r="AI99" s="1389"/>
      <c r="AJ99" s="1388"/>
      <c r="AK99" s="1389"/>
    </row>
    <row r="100" spans="1:37">
      <c r="A100" s="489">
        <f>'Input data'!A129</f>
        <v>2029</v>
      </c>
      <c r="B100" s="122">
        <f>'Recycling - Case 1'!AP109</f>
        <v>9.1677038898610591E-2</v>
      </c>
      <c r="C100" s="527">
        <f>$B100*'Recycling - Case 1'!BM109*'Recycling - Case 1'!$AK109</f>
        <v>583.34132095784526</v>
      </c>
      <c r="D100" s="528">
        <f>$B100*'Recycling - Case 1'!BN109*'Recycling - Case 1'!$AK109</f>
        <v>609.2447249602676</v>
      </c>
      <c r="E100" s="528">
        <f>$B100*'Recycling - Case 1'!BO109*'Recycling - Case 1'!$AK109</f>
        <v>166.40322963927716</v>
      </c>
      <c r="F100" s="528">
        <f>$B100*'Recycling - Case 1'!BP109*'Recycling - Case 1'!$AK109</f>
        <v>0</v>
      </c>
      <c r="G100" s="528">
        <f>$B100*'Recycling - Case 1'!BQ109*'Recycling - Case 1'!$AK109</f>
        <v>0</v>
      </c>
      <c r="H100" s="528">
        <f>$B100*'Recycling - Case 1'!BR109*'Recycling - Case 1'!$AK109</f>
        <v>0</v>
      </c>
      <c r="I100" s="528">
        <f>$B100*'Recycling - Case 1'!BS109*'Recycling - Case 1'!$AK109</f>
        <v>650.57945715084463</v>
      </c>
      <c r="J100" s="744">
        <f t="shared" si="11"/>
        <v>2009.5687327082346</v>
      </c>
      <c r="K100" s="158">
        <f>'4C2 Open-burning '!C$14*'4C2 Open-burning '!$C$5*'4C2 Open-burning '!$C$6*'4C2 Open-burning '!$C$7*C100</f>
        <v>0</v>
      </c>
      <c r="L100" s="158">
        <f>'4C2 Open-burning '!D$14*'4C2 Open-burning '!$C$5*'4C2 Open-burning '!$C$6*'4C2 Open-burning '!$C$7*D100</f>
        <v>0</v>
      </c>
      <c r="M100" s="158">
        <f>'4C2 Open-burning '!E$14*'4C2 Open-burning '!$C$5*'4C2 Open-burning '!$C$6*'4C2 Open-burning '!$C$7*E100</f>
        <v>0.87904835702163109</v>
      </c>
      <c r="N100" s="158">
        <f>'4C2 Open-burning '!F$14*'4C2 Open-burning '!$C$5*'4C2 Open-burning '!$C$6*'4C2 Open-burning '!$C$7*F100</f>
        <v>0</v>
      </c>
      <c r="O100" s="158">
        <f>'4C2 Open-burning '!G$14*'4C2 Open-burning '!$C$5*'4C2 Open-burning '!$C$6*'4C2 Open-burning '!$C$7*G100</f>
        <v>0</v>
      </c>
      <c r="P100" s="158">
        <f>'4C2 Open-burning '!H$14*'4C2 Open-burning '!$C$5*'4C2 Open-burning '!$C$6*'4C2 Open-burning '!$C$7*H100</f>
        <v>0</v>
      </c>
      <c r="Q100" s="158">
        <f>'4C2 Open-burning '!I$14*'4C2 Open-burning '!$C$5*'4C2 Open-burning '!$C$6*'4C2 Open-burning '!$C$7*I100</f>
        <v>22.413763457760897</v>
      </c>
      <c r="R100" s="1380">
        <f t="shared" si="8"/>
        <v>23.292811814782528</v>
      </c>
      <c r="S100" s="485">
        <f>C100*'4C2 Open-burning '!$C$9*'4C2 Open-burning '!$C$11*$C$5</f>
        <v>2.2750311517355963</v>
      </c>
      <c r="T100" s="485">
        <f>D100*'4C2 Open-burning '!$C$9*'4C2 Open-burning '!$C$11*$C$5</f>
        <v>2.3760544273450437</v>
      </c>
      <c r="U100" s="485">
        <f>E100*'4C2 Open-burning '!$C$9*'4C2 Open-burning '!$C$11*$C$5</f>
        <v>0.64897259559318077</v>
      </c>
      <c r="V100" s="485">
        <f>F100*'4C2 Open-burning '!$C$9*'4C2 Open-burning '!$C$11*$C$5</f>
        <v>0</v>
      </c>
      <c r="W100" s="485">
        <f>G100*'4C2 Open-burning '!$C$9*'4C2 Open-burning '!$C$11*$C$5</f>
        <v>0</v>
      </c>
      <c r="X100" s="485">
        <f>H100*'4C2 Open-burning '!$C$9*'4C2 Open-burning '!$C$11*$C$5</f>
        <v>0</v>
      </c>
      <c r="Y100" s="485">
        <f>I100*'4C2 Open-burning '!$C$9*'4C2 Open-burning '!$C$11*$C$5</f>
        <v>2.5372598828882937</v>
      </c>
      <c r="Z100" s="486">
        <f t="shared" si="9"/>
        <v>7.837318057562114</v>
      </c>
      <c r="AA100" s="487">
        <f>C100*'4C2 Open-burning '!$C$10*'4C2 Open-burning '!$C$11*$C$5*C$15</f>
        <v>2.1000287554482428E-2</v>
      </c>
      <c r="AB100" s="487">
        <f>D100*'4C2 Open-burning '!$C$10*'4C2 Open-burning '!$C$11*$C$5*D$15</f>
        <v>2.1932810098569632E-2</v>
      </c>
      <c r="AC100" s="487">
        <f>E100*'4C2 Open-burning '!$C$10*'4C2 Open-burning '!$C$11*$C$5*E$15</f>
        <v>1.3478661600781448E-2</v>
      </c>
      <c r="AD100" s="487">
        <f>F100*'4C2 Open-burning '!$C$10*'4C2 Open-burning '!$C$11*$C$5*F$15</f>
        <v>0</v>
      </c>
      <c r="AE100" s="487">
        <f>G100*'4C2 Open-burning '!$C$10*'4C2 Open-burning '!$C$11*$C$5*G$15</f>
        <v>0</v>
      </c>
      <c r="AF100" s="487">
        <f>H100*'4C2 Open-burning '!$C$10*'4C2 Open-burning '!$C$11*$C$5*H$15</f>
        <v>0</v>
      </c>
      <c r="AG100" s="487">
        <f>I100*'4C2 Open-burning '!$C$10*'4C2 Open-burning '!$C$11*$C$5*I$15</f>
        <v>5.2696936029218405E-2</v>
      </c>
      <c r="AH100" s="488">
        <f t="shared" si="10"/>
        <v>0.10910869528305192</v>
      </c>
      <c r="AI100" s="1389"/>
      <c r="AJ100" s="1388"/>
      <c r="AK100" s="1389"/>
    </row>
    <row r="101" spans="1:37">
      <c r="A101" s="489">
        <f>'Input data'!A130</f>
        <v>2030</v>
      </c>
      <c r="B101" s="122">
        <f>'Recycling - Case 1'!AP110</f>
        <v>8.802355604111399E-2</v>
      </c>
      <c r="C101" s="527">
        <f>$B101*'Recycling - Case 1'!BM110*'Recycling - Case 1'!$AK110</f>
        <v>551.39600357520544</v>
      </c>
      <c r="D101" s="528">
        <f>$B101*'Recycling - Case 1'!BN110*'Recycling - Case 1'!$AK110</f>
        <v>575.88086849524382</v>
      </c>
      <c r="E101" s="528">
        <f>$B101*'Recycling - Case 1'!BO110*'Recycling - Case 1'!$AK110</f>
        <v>157.29054758960771</v>
      </c>
      <c r="F101" s="528">
        <f>$B101*'Recycling - Case 1'!BP110*'Recycling - Case 1'!$AK110</f>
        <v>0</v>
      </c>
      <c r="G101" s="528">
        <f>$B101*'Recycling - Case 1'!BQ110*'Recycling - Case 1'!$AK110</f>
        <v>0</v>
      </c>
      <c r="H101" s="528">
        <f>$B101*'Recycling - Case 1'!BR110*'Recycling - Case 1'!$AK110</f>
        <v>0</v>
      </c>
      <c r="I101" s="528">
        <f>$B101*'Recycling - Case 1'!BS110*'Recycling - Case 1'!$AK110</f>
        <v>614.95200115786997</v>
      </c>
      <c r="J101" s="744">
        <f t="shared" si="11"/>
        <v>1899.5194208179271</v>
      </c>
      <c r="K101" s="158">
        <f>'4C2 Open-burning '!C$14*'4C2 Open-burning '!$C$5*'4C2 Open-burning '!$C$6*'4C2 Open-burning '!$C$7*C101</f>
        <v>0</v>
      </c>
      <c r="L101" s="158">
        <f>'4C2 Open-burning '!D$14*'4C2 Open-burning '!$C$5*'4C2 Open-burning '!$C$6*'4C2 Open-burning '!$C$7*D101</f>
        <v>0</v>
      </c>
      <c r="M101" s="158">
        <f>'4C2 Open-burning '!E$14*'4C2 Open-burning '!$C$5*'4C2 Open-burning '!$C$6*'4C2 Open-burning '!$C$7*E101</f>
        <v>0.83090933831876523</v>
      </c>
      <c r="N101" s="158">
        <f>'4C2 Open-burning '!F$14*'4C2 Open-burning '!$C$5*'4C2 Open-burning '!$C$6*'4C2 Open-burning '!$C$7*F101</f>
        <v>0</v>
      </c>
      <c r="O101" s="158">
        <f>'4C2 Open-burning '!G$14*'4C2 Open-burning '!$C$5*'4C2 Open-burning '!$C$6*'4C2 Open-burning '!$C$7*G101</f>
        <v>0</v>
      </c>
      <c r="P101" s="158">
        <f>'4C2 Open-burning '!H$14*'4C2 Open-burning '!$C$5*'4C2 Open-burning '!$C$6*'4C2 Open-burning '!$C$7*H101</f>
        <v>0</v>
      </c>
      <c r="Q101" s="158">
        <f>'4C2 Open-burning '!I$14*'4C2 Open-burning '!$C$5*'4C2 Open-burning '!$C$6*'4C2 Open-burning '!$C$7*I101</f>
        <v>21.186326343890933</v>
      </c>
      <c r="R101" s="1380">
        <f t="shared" si="8"/>
        <v>22.017235682209698</v>
      </c>
      <c r="S101" s="485">
        <f>C101*'4C2 Open-burning '!$C$9*'4C2 Open-burning '!$C$11*$C$5</f>
        <v>2.1504444139433008</v>
      </c>
      <c r="T101" s="485">
        <f>D101*'4C2 Open-burning '!$C$9*'4C2 Open-burning '!$C$11*$C$5</f>
        <v>2.2459353871314507</v>
      </c>
      <c r="U101" s="485">
        <f>E101*'4C2 Open-burning '!$C$9*'4C2 Open-burning '!$C$11*$C$5</f>
        <v>0.6134331355994701</v>
      </c>
      <c r="V101" s="485">
        <f>F101*'4C2 Open-burning '!$C$9*'4C2 Open-burning '!$C$11*$C$5</f>
        <v>0</v>
      </c>
      <c r="W101" s="485">
        <f>G101*'4C2 Open-burning '!$C$9*'4C2 Open-burning '!$C$11*$C$5</f>
        <v>0</v>
      </c>
      <c r="X101" s="485">
        <f>H101*'4C2 Open-burning '!$C$9*'4C2 Open-burning '!$C$11*$C$5</f>
        <v>0</v>
      </c>
      <c r="Y101" s="485">
        <f>I101*'4C2 Open-burning '!$C$9*'4C2 Open-burning '!$C$11*$C$5</f>
        <v>2.3983128045156925</v>
      </c>
      <c r="Z101" s="486">
        <f t="shared" si="9"/>
        <v>7.4081257411899131</v>
      </c>
      <c r="AA101" s="487">
        <f>C101*'4C2 Open-burning '!$C$10*'4C2 Open-burning '!$C$11*$C$5*C$15</f>
        <v>1.9850256128707392E-2</v>
      </c>
      <c r="AB101" s="487">
        <f>D101*'4C2 Open-burning '!$C$10*'4C2 Open-burning '!$C$11*$C$5*D$15</f>
        <v>2.0731711265828776E-2</v>
      </c>
      <c r="AC101" s="487">
        <f>E101*'4C2 Open-burning '!$C$10*'4C2 Open-burning '!$C$11*$C$5*E$15</f>
        <v>1.2740534354758224E-2</v>
      </c>
      <c r="AD101" s="487">
        <f>F101*'4C2 Open-burning '!$C$10*'4C2 Open-burning '!$C$11*$C$5*F$15</f>
        <v>0</v>
      </c>
      <c r="AE101" s="487">
        <f>G101*'4C2 Open-burning '!$C$10*'4C2 Open-burning '!$C$11*$C$5*G$15</f>
        <v>0</v>
      </c>
      <c r="AF101" s="487">
        <f>H101*'4C2 Open-burning '!$C$10*'4C2 Open-burning '!$C$11*$C$5*H$15</f>
        <v>0</v>
      </c>
      <c r="AG101" s="487">
        <f>I101*'4C2 Open-burning '!$C$10*'4C2 Open-burning '!$C$11*$C$5*I$15</f>
        <v>4.9811112093787469E-2</v>
      </c>
      <c r="AH101" s="488">
        <f t="shared" si="10"/>
        <v>0.10313361384308185</v>
      </c>
      <c r="AI101" s="1389"/>
      <c r="AJ101" s="1388"/>
      <c r="AK101" s="1389"/>
    </row>
    <row r="102" spans="1:37">
      <c r="A102" s="489">
        <f>'Input data'!A131</f>
        <v>2031</v>
      </c>
      <c r="B102" s="122">
        <f>'Recycling - Case 1'!AP111</f>
        <v>8.479165593890553E-2</v>
      </c>
      <c r="C102" s="527">
        <f>$B102*'Recycling - Case 1'!BM111*'Recycling - Case 1'!$AK111</f>
        <v>523.9406879501845</v>
      </c>
      <c r="D102" s="528">
        <f>$B102*'Recycling - Case 1'!BN111*'Recycling - Case 1'!$AK111</f>
        <v>547.20639333686222</v>
      </c>
      <c r="E102" s="528">
        <f>$B102*'Recycling - Case 1'!BO111*'Recycling - Case 1'!$AK111</f>
        <v>149.45867793349032</v>
      </c>
      <c r="F102" s="528">
        <f>$B102*'Recycling - Case 1'!BP111*'Recycling - Case 1'!$AK111</f>
        <v>0</v>
      </c>
      <c r="G102" s="528">
        <f>$B102*'Recycling - Case 1'!BQ111*'Recycling - Case 1'!$AK111</f>
        <v>0</v>
      </c>
      <c r="H102" s="528">
        <f>$B102*'Recycling - Case 1'!BR111*'Recycling - Case 1'!$AK111</f>
        <v>0</v>
      </c>
      <c r="I102" s="528">
        <f>$B102*'Recycling - Case 1'!BS111*'Recycling - Case 1'!$AK111</f>
        <v>584.33208157819399</v>
      </c>
      <c r="J102" s="744">
        <f t="shared" si="11"/>
        <v>1804.937840798731</v>
      </c>
      <c r="K102" s="158">
        <f>'4C2 Open-burning '!C$14*'4C2 Open-burning '!$C$5*'4C2 Open-burning '!$C$6*'4C2 Open-burning '!$C$7*C102</f>
        <v>0</v>
      </c>
      <c r="L102" s="158">
        <f>'4C2 Open-burning '!D$14*'4C2 Open-burning '!$C$5*'4C2 Open-burning '!$C$6*'4C2 Open-burning '!$C$7*D102</f>
        <v>0</v>
      </c>
      <c r="M102" s="158">
        <f>'4C2 Open-burning '!E$14*'4C2 Open-burning '!$C$5*'4C2 Open-burning '!$C$6*'4C2 Open-burning '!$C$7*E102</f>
        <v>0.78953639039857326</v>
      </c>
      <c r="N102" s="158">
        <f>'4C2 Open-burning '!F$14*'4C2 Open-burning '!$C$5*'4C2 Open-burning '!$C$6*'4C2 Open-burning '!$C$7*F102</f>
        <v>0</v>
      </c>
      <c r="O102" s="158">
        <f>'4C2 Open-burning '!G$14*'4C2 Open-burning '!$C$5*'4C2 Open-burning '!$C$6*'4C2 Open-burning '!$C$7*G102</f>
        <v>0</v>
      </c>
      <c r="P102" s="158">
        <f>'4C2 Open-burning '!H$14*'4C2 Open-burning '!$C$5*'4C2 Open-burning '!$C$6*'4C2 Open-burning '!$C$7*H102</f>
        <v>0</v>
      </c>
      <c r="Q102" s="158">
        <f>'4C2 Open-burning '!I$14*'4C2 Open-burning '!$C$5*'4C2 Open-burning '!$C$6*'4C2 Open-burning '!$C$7*I102</f>
        <v>20.131408874531939</v>
      </c>
      <c r="R102" s="1380">
        <f t="shared" si="8"/>
        <v>20.920945264930513</v>
      </c>
      <c r="S102" s="485">
        <f>C102*'4C2 Open-burning '!$C$9*'4C2 Open-burning '!$C$11*$C$5</f>
        <v>2.0433686830057192</v>
      </c>
      <c r="T102" s="485">
        <f>D102*'4C2 Open-burning '!$C$9*'4C2 Open-burning '!$C$11*$C$5</f>
        <v>2.1341049340137626</v>
      </c>
      <c r="U102" s="485">
        <f>E102*'4C2 Open-burning '!$C$9*'4C2 Open-burning '!$C$11*$C$5</f>
        <v>0.58288884394061213</v>
      </c>
      <c r="V102" s="485">
        <f>F102*'4C2 Open-burning '!$C$9*'4C2 Open-burning '!$C$11*$C$5</f>
        <v>0</v>
      </c>
      <c r="W102" s="485">
        <f>G102*'4C2 Open-burning '!$C$9*'4C2 Open-burning '!$C$11*$C$5</f>
        <v>0</v>
      </c>
      <c r="X102" s="485">
        <f>H102*'4C2 Open-burning '!$C$9*'4C2 Open-burning '!$C$11*$C$5</f>
        <v>0</v>
      </c>
      <c r="Y102" s="485">
        <f>I102*'4C2 Open-burning '!$C$9*'4C2 Open-burning '!$C$11*$C$5</f>
        <v>2.2788951181549564</v>
      </c>
      <c r="Z102" s="486">
        <f t="shared" si="9"/>
        <v>7.0392575791150502</v>
      </c>
      <c r="AA102" s="487">
        <f>C102*'4C2 Open-burning '!$C$10*'4C2 Open-burning '!$C$11*$C$5*C$15</f>
        <v>1.8861864766206642E-2</v>
      </c>
      <c r="AB102" s="487">
        <f>D102*'4C2 Open-burning '!$C$10*'4C2 Open-burning '!$C$11*$C$5*D$15</f>
        <v>1.9699430160127041E-2</v>
      </c>
      <c r="AC102" s="487">
        <f>E102*'4C2 Open-burning '!$C$10*'4C2 Open-burning '!$C$11*$C$5*E$15</f>
        <v>1.2106152912612715E-2</v>
      </c>
      <c r="AD102" s="487">
        <f>F102*'4C2 Open-burning '!$C$10*'4C2 Open-burning '!$C$11*$C$5*F$15</f>
        <v>0</v>
      </c>
      <c r="AE102" s="487">
        <f>G102*'4C2 Open-burning '!$C$10*'4C2 Open-burning '!$C$11*$C$5*G$15</f>
        <v>0</v>
      </c>
      <c r="AF102" s="487">
        <f>H102*'4C2 Open-burning '!$C$10*'4C2 Open-burning '!$C$11*$C$5*H$15</f>
        <v>0</v>
      </c>
      <c r="AG102" s="487">
        <f>I102*'4C2 Open-burning '!$C$10*'4C2 Open-burning '!$C$11*$C$5*I$15</f>
        <v>4.7330898607833703E-2</v>
      </c>
      <c r="AH102" s="488">
        <f t="shared" si="10"/>
        <v>9.7998346446780099E-2</v>
      </c>
      <c r="AI102" s="1389"/>
      <c r="AJ102" s="1388"/>
      <c r="AK102" s="1389"/>
    </row>
    <row r="103" spans="1:37">
      <c r="A103" s="489">
        <f>'Input data'!A132</f>
        <v>2032</v>
      </c>
      <c r="B103" s="122">
        <f>'Recycling - Case 1'!AP112</f>
        <v>8.1490216412465677E-2</v>
      </c>
      <c r="C103" s="527">
        <f>$B103*'Recycling - Case 1'!BM112*'Recycling - Case 1'!$AK112</f>
        <v>496.63678075011467</v>
      </c>
      <c r="D103" s="528">
        <f>$B103*'Recycling - Case 1'!BN112*'Recycling - Case 1'!$AK112</f>
        <v>518.69004992897044</v>
      </c>
      <c r="E103" s="528">
        <f>$B103*'Recycling - Case 1'!BO112*'Recycling - Case 1'!$AK112</f>
        <v>141.66999885894373</v>
      </c>
      <c r="F103" s="528">
        <f>$B103*'Recycling - Case 1'!BP112*'Recycling - Case 1'!$AK112</f>
        <v>0</v>
      </c>
      <c r="G103" s="528">
        <f>$B103*'Recycling - Case 1'!BQ112*'Recycling - Case 1'!$AK112</f>
        <v>0</v>
      </c>
      <c r="H103" s="528">
        <f>$B103*'Recycling - Case 1'!BR112*'Recycling - Case 1'!$AK112</f>
        <v>0</v>
      </c>
      <c r="I103" s="528">
        <f>$B103*'Recycling - Case 1'!BS112*'Recycling - Case 1'!$AK112</f>
        <v>553.88102233358052</v>
      </c>
      <c r="J103" s="744">
        <f t="shared" si="11"/>
        <v>1710.8778518716094</v>
      </c>
      <c r="K103" s="158">
        <f>'4C2 Open-burning '!C$14*'4C2 Open-burning '!$C$5*'4C2 Open-burning '!$C$6*'4C2 Open-burning '!$C$7*C103</f>
        <v>0</v>
      </c>
      <c r="L103" s="158">
        <f>'4C2 Open-burning '!D$14*'4C2 Open-burning '!$C$5*'4C2 Open-burning '!$C$6*'4C2 Open-burning '!$C$7*D103</f>
        <v>0</v>
      </c>
      <c r="M103" s="158">
        <f>'4C2 Open-burning '!E$14*'4C2 Open-burning '!$C$5*'4C2 Open-burning '!$C$6*'4C2 Open-burning '!$C$7*E103</f>
        <v>0.74839160277221051</v>
      </c>
      <c r="N103" s="158">
        <f>'4C2 Open-burning '!F$14*'4C2 Open-burning '!$C$5*'4C2 Open-burning '!$C$6*'4C2 Open-burning '!$C$7*F103</f>
        <v>0</v>
      </c>
      <c r="O103" s="158">
        <f>'4C2 Open-burning '!G$14*'4C2 Open-burning '!$C$5*'4C2 Open-burning '!$C$6*'4C2 Open-burning '!$C$7*G103</f>
        <v>0</v>
      </c>
      <c r="P103" s="158">
        <f>'4C2 Open-burning '!H$14*'4C2 Open-burning '!$C$5*'4C2 Open-burning '!$C$6*'4C2 Open-burning '!$C$7*H103</f>
        <v>0</v>
      </c>
      <c r="Q103" s="158">
        <f>'4C2 Open-burning '!I$14*'4C2 Open-burning '!$C$5*'4C2 Open-burning '!$C$6*'4C2 Open-burning '!$C$7*I103</f>
        <v>19.082308981436515</v>
      </c>
      <c r="R103" s="1380">
        <f t="shared" si="8"/>
        <v>19.830700584208724</v>
      </c>
      <c r="S103" s="485">
        <f>C103*'4C2 Open-burning '!$C$9*'4C2 Open-burning '!$C$11*$C$5</f>
        <v>1.9368834449254471</v>
      </c>
      <c r="T103" s="485">
        <f>D103*'4C2 Open-burning '!$C$9*'4C2 Open-burning '!$C$11*$C$5</f>
        <v>2.0228911947229844</v>
      </c>
      <c r="U103" s="485">
        <f>E103*'4C2 Open-burning '!$C$9*'4C2 Open-burning '!$C$11*$C$5</f>
        <v>0.55251299554988054</v>
      </c>
      <c r="V103" s="485">
        <f>F103*'4C2 Open-burning '!$C$9*'4C2 Open-burning '!$C$11*$C$5</f>
        <v>0</v>
      </c>
      <c r="W103" s="485">
        <f>G103*'4C2 Open-burning '!$C$9*'4C2 Open-burning '!$C$11*$C$5</f>
        <v>0</v>
      </c>
      <c r="X103" s="485">
        <f>H103*'4C2 Open-burning '!$C$9*'4C2 Open-burning '!$C$11*$C$5</f>
        <v>0</v>
      </c>
      <c r="Y103" s="485">
        <f>I103*'4C2 Open-burning '!$C$9*'4C2 Open-burning '!$C$11*$C$5</f>
        <v>2.160135987100964</v>
      </c>
      <c r="Z103" s="486">
        <f t="shared" si="9"/>
        <v>6.6724236222992763</v>
      </c>
      <c r="AA103" s="487">
        <f>C103*'4C2 Open-burning '!$C$10*'4C2 Open-burning '!$C$11*$C$5*C$15</f>
        <v>1.7878924107004129E-2</v>
      </c>
      <c r="AB103" s="487">
        <f>D103*'4C2 Open-burning '!$C$10*'4C2 Open-burning '!$C$11*$C$5*D$15</f>
        <v>1.8672841797442934E-2</v>
      </c>
      <c r="AC103" s="487">
        <f>E103*'4C2 Open-burning '!$C$10*'4C2 Open-burning '!$C$11*$C$5*E$15</f>
        <v>1.1475269907574441E-2</v>
      </c>
      <c r="AD103" s="487">
        <f>F103*'4C2 Open-burning '!$C$10*'4C2 Open-burning '!$C$11*$C$5*F$15</f>
        <v>0</v>
      </c>
      <c r="AE103" s="487">
        <f>G103*'4C2 Open-burning '!$C$10*'4C2 Open-burning '!$C$11*$C$5*G$15</f>
        <v>0</v>
      </c>
      <c r="AF103" s="487">
        <f>H103*'4C2 Open-burning '!$C$10*'4C2 Open-burning '!$C$11*$C$5*H$15</f>
        <v>0</v>
      </c>
      <c r="AG103" s="487">
        <f>I103*'4C2 Open-burning '!$C$10*'4C2 Open-burning '!$C$11*$C$5*I$15</f>
        <v>4.4864362809020022E-2</v>
      </c>
      <c r="AH103" s="488">
        <f t="shared" si="10"/>
        <v>9.2891398621041524E-2</v>
      </c>
      <c r="AI103" s="1389"/>
      <c r="AJ103" s="1388"/>
      <c r="AK103" s="1389"/>
    </row>
    <row r="104" spans="1:37">
      <c r="A104" s="489">
        <f>'Input data'!A133</f>
        <v>2033</v>
      </c>
      <c r="B104" s="122">
        <f>'Recycling - Case 1'!AP113</f>
        <v>7.8116334158114337E-2</v>
      </c>
      <c r="C104" s="527">
        <f>$B104*'Recycling - Case 1'!BM113*'Recycling - Case 1'!$AK113</f>
        <v>469.48127443619666</v>
      </c>
      <c r="D104" s="528">
        <f>$B104*'Recycling - Case 1'!BN113*'Recycling - Case 1'!$AK113</f>
        <v>490.32869718232462</v>
      </c>
      <c r="E104" s="528">
        <f>$B104*'Recycling - Case 1'!BO113*'Recycling - Case 1'!$AK113</f>
        <v>133.92365243913937</v>
      </c>
      <c r="F104" s="528">
        <f>$B104*'Recycling - Case 1'!BP113*'Recycling - Case 1'!$AK113</f>
        <v>0</v>
      </c>
      <c r="G104" s="528">
        <f>$B104*'Recycling - Case 1'!BQ113*'Recycling - Case 1'!$AK113</f>
        <v>0</v>
      </c>
      <c r="H104" s="528">
        <f>$B104*'Recycling - Case 1'!BR113*'Recycling - Case 1'!$AK113</f>
        <v>0</v>
      </c>
      <c r="I104" s="528">
        <f>$B104*'Recycling - Case 1'!BS113*'Recycling - Case 1'!$AK113</f>
        <v>523.59546922488551</v>
      </c>
      <c r="J104" s="744">
        <f t="shared" si="11"/>
        <v>1617.3290932825462</v>
      </c>
      <c r="K104" s="158">
        <f>'4C2 Open-burning '!C$14*'4C2 Open-burning '!$C$5*'4C2 Open-burning '!$C$6*'4C2 Open-burning '!$C$7*C104</f>
        <v>0</v>
      </c>
      <c r="L104" s="158">
        <f>'4C2 Open-burning '!D$14*'4C2 Open-burning '!$C$5*'4C2 Open-burning '!$C$6*'4C2 Open-burning '!$C$7*D104</f>
        <v>0</v>
      </c>
      <c r="M104" s="158">
        <f>'4C2 Open-burning '!E$14*'4C2 Open-burning '!$C$5*'4C2 Open-burning '!$C$6*'4C2 Open-burning '!$C$7*E104</f>
        <v>0.70747044332109521</v>
      </c>
      <c r="N104" s="158">
        <f>'4C2 Open-burning '!F$14*'4C2 Open-burning '!$C$5*'4C2 Open-burning '!$C$6*'4C2 Open-burning '!$C$7*F104</f>
        <v>0</v>
      </c>
      <c r="O104" s="158">
        <f>'4C2 Open-burning '!G$14*'4C2 Open-burning '!$C$5*'4C2 Open-burning '!$C$6*'4C2 Open-burning '!$C$7*G104</f>
        <v>0</v>
      </c>
      <c r="P104" s="158">
        <f>'4C2 Open-burning '!H$14*'4C2 Open-burning '!$C$5*'4C2 Open-burning '!$C$6*'4C2 Open-burning '!$C$7*H104</f>
        <v>0</v>
      </c>
      <c r="Q104" s="158">
        <f>'4C2 Open-burning '!I$14*'4C2 Open-burning '!$C$5*'4C2 Open-burning '!$C$6*'4C2 Open-burning '!$C$7*I104</f>
        <v>18.038911105735753</v>
      </c>
      <c r="R104" s="1380">
        <f t="shared" si="8"/>
        <v>18.746381549056849</v>
      </c>
      <c r="S104" s="485">
        <f>C104*'4C2 Open-burning '!$C$9*'4C2 Open-burning '!$C$11*$C$5</f>
        <v>1.8309769703011669</v>
      </c>
      <c r="T104" s="485">
        <f>D104*'4C2 Open-burning '!$C$9*'4C2 Open-burning '!$C$11*$C$5</f>
        <v>1.9122819190110658</v>
      </c>
      <c r="U104" s="485">
        <f>E104*'4C2 Open-burning '!$C$9*'4C2 Open-burning '!$C$11*$C$5</f>
        <v>0.52230224451264351</v>
      </c>
      <c r="V104" s="485">
        <f>F104*'4C2 Open-burning '!$C$9*'4C2 Open-burning '!$C$11*$C$5</f>
        <v>0</v>
      </c>
      <c r="W104" s="485">
        <f>G104*'4C2 Open-burning '!$C$9*'4C2 Open-burning '!$C$11*$C$5</f>
        <v>0</v>
      </c>
      <c r="X104" s="485">
        <f>H104*'4C2 Open-burning '!$C$9*'4C2 Open-burning '!$C$11*$C$5</f>
        <v>0</v>
      </c>
      <c r="Y104" s="485">
        <f>I104*'4C2 Open-burning '!$C$9*'4C2 Open-burning '!$C$11*$C$5</f>
        <v>2.0420223299770535</v>
      </c>
      <c r="Z104" s="486">
        <f t="shared" si="9"/>
        <v>6.3075834638019295</v>
      </c>
      <c r="AA104" s="487">
        <f>C104*'4C2 Open-burning '!$C$10*'4C2 Open-burning '!$C$11*$C$5*C$15</f>
        <v>1.690132587970308E-2</v>
      </c>
      <c r="AB104" s="487">
        <f>D104*'4C2 Open-burning '!$C$10*'4C2 Open-burning '!$C$11*$C$5*D$15</f>
        <v>1.7651833098563687E-2</v>
      </c>
      <c r="AC104" s="487">
        <f>E104*'4C2 Open-burning '!$C$10*'4C2 Open-burning '!$C$11*$C$5*E$15</f>
        <v>1.0847815847570288E-2</v>
      </c>
      <c r="AD104" s="487">
        <f>F104*'4C2 Open-burning '!$C$10*'4C2 Open-burning '!$C$11*$C$5*F$15</f>
        <v>0</v>
      </c>
      <c r="AE104" s="487">
        <f>G104*'4C2 Open-burning '!$C$10*'4C2 Open-burning '!$C$11*$C$5*G$15</f>
        <v>0</v>
      </c>
      <c r="AF104" s="487">
        <f>H104*'4C2 Open-burning '!$C$10*'4C2 Open-burning '!$C$11*$C$5*H$15</f>
        <v>0</v>
      </c>
      <c r="AG104" s="487">
        <f>I104*'4C2 Open-burning '!$C$10*'4C2 Open-burning '!$C$11*$C$5*I$15</f>
        <v>4.2411233007215735E-2</v>
      </c>
      <c r="AH104" s="488">
        <f t="shared" si="10"/>
        <v>8.7812207833052797E-2</v>
      </c>
      <c r="AI104" s="1389"/>
      <c r="AJ104" s="1388"/>
      <c r="AK104" s="1389"/>
    </row>
    <row r="105" spans="1:37">
      <c r="A105" s="489">
        <f>'Input data'!A134</f>
        <v>2034</v>
      </c>
      <c r="B105" s="122">
        <f>'Recycling - Case 1'!AP114</f>
        <v>7.466697013496236E-2</v>
      </c>
      <c r="C105" s="527">
        <f>$B105*'Recycling - Case 1'!BM114*'Recycling - Case 1'!$AK114</f>
        <v>442.47123134371031</v>
      </c>
      <c r="D105" s="528">
        <f>$B105*'Recycling - Case 1'!BN114*'Recycling - Case 1'!$AK114</f>
        <v>462.11926698453482</v>
      </c>
      <c r="E105" s="528">
        <f>$B105*'Recycling - Case 1'!BO114*'Recycling - Case 1'!$AK114</f>
        <v>126.21880067944282</v>
      </c>
      <c r="F105" s="528">
        <f>$B105*'Recycling - Case 1'!BP114*'Recycling - Case 1'!$AK114</f>
        <v>0</v>
      </c>
      <c r="G105" s="528">
        <f>$B105*'Recycling - Case 1'!BQ114*'Recycling - Case 1'!$AK114</f>
        <v>0</v>
      </c>
      <c r="H105" s="528">
        <f>$B105*'Recycling - Case 1'!BR114*'Recycling - Case 1'!$AK114</f>
        <v>0</v>
      </c>
      <c r="I105" s="528">
        <f>$B105*'Recycling - Case 1'!BS114*'Recycling - Case 1'!$AK114</f>
        <v>493.47214598099595</v>
      </c>
      <c r="J105" s="744">
        <f t="shared" si="11"/>
        <v>1524.2814449886839</v>
      </c>
      <c r="K105" s="158">
        <f>'4C2 Open-burning '!C$14*'4C2 Open-burning '!$C$5*'4C2 Open-burning '!$C$6*'4C2 Open-burning '!$C$7*C105</f>
        <v>0</v>
      </c>
      <c r="L105" s="158">
        <f>'4C2 Open-burning '!D$14*'4C2 Open-burning '!$C$5*'4C2 Open-burning '!$C$6*'4C2 Open-burning '!$C$7*D105</f>
        <v>0</v>
      </c>
      <c r="M105" s="158">
        <f>'4C2 Open-burning '!E$14*'4C2 Open-burning '!$C$5*'4C2 Open-burning '!$C$6*'4C2 Open-burning '!$C$7*E105</f>
        <v>0.66676848522125187</v>
      </c>
      <c r="N105" s="158">
        <f>'4C2 Open-burning '!F$14*'4C2 Open-burning '!$C$5*'4C2 Open-burning '!$C$6*'4C2 Open-burning '!$C$7*F105</f>
        <v>0</v>
      </c>
      <c r="O105" s="158">
        <f>'4C2 Open-burning '!G$14*'4C2 Open-burning '!$C$5*'4C2 Open-burning '!$C$6*'4C2 Open-burning '!$C$7*G105</f>
        <v>0</v>
      </c>
      <c r="P105" s="158">
        <f>'4C2 Open-burning '!H$14*'4C2 Open-burning '!$C$5*'4C2 Open-burning '!$C$6*'4C2 Open-burning '!$C$7*H105</f>
        <v>0</v>
      </c>
      <c r="Q105" s="158">
        <f>'4C2 Open-burning '!I$14*'4C2 Open-burning '!$C$5*'4C2 Open-burning '!$C$6*'4C2 Open-burning '!$C$7*I105</f>
        <v>17.001102373337272</v>
      </c>
      <c r="R105" s="1380">
        <f t="shared" si="8"/>
        <v>17.667870858558523</v>
      </c>
      <c r="S105" s="485">
        <f>C105*'4C2 Open-burning '!$C$9*'4C2 Open-burning '!$C$11*$C$5</f>
        <v>1.7256378022404701</v>
      </c>
      <c r="T105" s="485">
        <f>D105*'4C2 Open-burning '!$C$9*'4C2 Open-burning '!$C$11*$C$5</f>
        <v>1.8022651412396855</v>
      </c>
      <c r="U105" s="485">
        <f>E105*'4C2 Open-burning '!$C$9*'4C2 Open-burning '!$C$11*$C$5</f>
        <v>0.49225332264982691</v>
      </c>
      <c r="V105" s="485">
        <f>F105*'4C2 Open-burning '!$C$9*'4C2 Open-burning '!$C$11*$C$5</f>
        <v>0</v>
      </c>
      <c r="W105" s="485">
        <f>G105*'4C2 Open-burning '!$C$9*'4C2 Open-burning '!$C$11*$C$5</f>
        <v>0</v>
      </c>
      <c r="X105" s="485">
        <f>H105*'4C2 Open-burning '!$C$9*'4C2 Open-burning '!$C$11*$C$5</f>
        <v>0</v>
      </c>
      <c r="Y105" s="485">
        <f>I105*'4C2 Open-burning '!$C$9*'4C2 Open-burning '!$C$11*$C$5</f>
        <v>1.9245413693258842</v>
      </c>
      <c r="Z105" s="486">
        <f t="shared" si="9"/>
        <v>5.9446976354558663</v>
      </c>
      <c r="AA105" s="487">
        <f>C105*'4C2 Open-burning '!$C$10*'4C2 Open-burning '!$C$11*$C$5*C$15</f>
        <v>1.5928964328373568E-2</v>
      </c>
      <c r="AB105" s="487">
        <f>D105*'4C2 Open-burning '!$C$10*'4C2 Open-burning '!$C$11*$C$5*D$15</f>
        <v>1.663629361144325E-2</v>
      </c>
      <c r="AC105" s="487">
        <f>E105*'4C2 Open-burning '!$C$10*'4C2 Open-burning '!$C$11*$C$5*E$15</f>
        <v>1.0223722855034869E-2</v>
      </c>
      <c r="AD105" s="487">
        <f>F105*'4C2 Open-burning '!$C$10*'4C2 Open-burning '!$C$11*$C$5*F$15</f>
        <v>0</v>
      </c>
      <c r="AE105" s="487">
        <f>G105*'4C2 Open-burning '!$C$10*'4C2 Open-burning '!$C$11*$C$5*G$15</f>
        <v>0</v>
      </c>
      <c r="AF105" s="487">
        <f>H105*'4C2 Open-burning '!$C$10*'4C2 Open-burning '!$C$11*$C$5*H$15</f>
        <v>0</v>
      </c>
      <c r="AG105" s="487">
        <f>I105*'4C2 Open-burning '!$C$10*'4C2 Open-burning '!$C$11*$C$5*I$15</f>
        <v>3.9971243824460663E-2</v>
      </c>
      <c r="AH105" s="488">
        <f t="shared" si="10"/>
        <v>8.2760224619312345E-2</v>
      </c>
      <c r="AI105" s="1389"/>
      <c r="AJ105" s="1388"/>
      <c r="AK105" s="1389"/>
    </row>
    <row r="106" spans="1:37">
      <c r="A106" s="489">
        <f>'Input data'!A135</f>
        <v>2035</v>
      </c>
      <c r="B106" s="122">
        <f>'Recycling - Case 1'!AP115</f>
        <v>7.1138941103124659E-2</v>
      </c>
      <c r="C106" s="527">
        <f>$B106*'Recycling - Case 1'!BM115*'Recycling - Case 1'!$AK115</f>
        <v>415.60378170487979</v>
      </c>
      <c r="D106" s="528">
        <f>$B106*'Recycling - Case 1'!BN115*'Recycling - Case 1'!$AK115</f>
        <v>434.05876213513454</v>
      </c>
      <c r="E106" s="528">
        <f>$B106*'Recycling - Case 1'!BO115*'Recycling - Case 1'!$AK115</f>
        <v>118.55462495341855</v>
      </c>
      <c r="F106" s="528">
        <f>$B106*'Recycling - Case 1'!BP115*'Recycling - Case 1'!$AK115</f>
        <v>0</v>
      </c>
      <c r="G106" s="528">
        <f>$B106*'Recycling - Case 1'!BQ115*'Recycling - Case 1'!$AK115</f>
        <v>0</v>
      </c>
      <c r="H106" s="528">
        <f>$B106*'Recycling - Case 1'!BR115*'Recycling - Case 1'!$AK115</f>
        <v>0</v>
      </c>
      <c r="I106" s="528">
        <f>$B106*'Recycling - Case 1'!BS115*'Recycling - Case 1'!$AK115</f>
        <v>463.50785205380271</v>
      </c>
      <c r="J106" s="744">
        <f t="shared" si="11"/>
        <v>1431.7250208472356</v>
      </c>
      <c r="K106" s="158">
        <f>'4C2 Open-burning '!C$14*'4C2 Open-burning '!$C$5*'4C2 Open-burning '!$C$6*'4C2 Open-burning '!$C$7*C106</f>
        <v>0</v>
      </c>
      <c r="L106" s="158">
        <f>'4C2 Open-burning '!D$14*'4C2 Open-burning '!$C$5*'4C2 Open-burning '!$C$6*'4C2 Open-burning '!$C$7*D106</f>
        <v>0</v>
      </c>
      <c r="M106" s="158">
        <f>'4C2 Open-burning '!E$14*'4C2 Open-burning '!$C$5*'4C2 Open-burning '!$C$6*'4C2 Open-burning '!$C$7*E106</f>
        <v>0.62628140396392695</v>
      </c>
      <c r="N106" s="158">
        <f>'4C2 Open-burning '!F$14*'4C2 Open-burning '!$C$5*'4C2 Open-burning '!$C$6*'4C2 Open-burning '!$C$7*F106</f>
        <v>0</v>
      </c>
      <c r="O106" s="158">
        <f>'4C2 Open-burning '!G$14*'4C2 Open-burning '!$C$5*'4C2 Open-burning '!$C$6*'4C2 Open-burning '!$C$7*G106</f>
        <v>0</v>
      </c>
      <c r="P106" s="158">
        <f>'4C2 Open-burning '!H$14*'4C2 Open-burning '!$C$5*'4C2 Open-burning '!$C$6*'4C2 Open-burning '!$C$7*H106</f>
        <v>0</v>
      </c>
      <c r="Q106" s="158">
        <f>'4C2 Open-burning '!I$14*'4C2 Open-burning '!$C$5*'4C2 Open-burning '!$C$6*'4C2 Open-burning '!$C$7*I106</f>
        <v>15.968772518957609</v>
      </c>
      <c r="R106" s="1380">
        <f t="shared" si="8"/>
        <v>16.595053922921537</v>
      </c>
      <c r="S106" s="485">
        <f>C106*'4C2 Open-burning '!$C$9*'4C2 Open-burning '!$C$11*$C$5</f>
        <v>1.620854748649031</v>
      </c>
      <c r="T106" s="485">
        <f>D106*'4C2 Open-burning '!$C$9*'4C2 Open-burning '!$C$11*$C$5</f>
        <v>1.6928291723270246</v>
      </c>
      <c r="U106" s="485">
        <f>E106*'4C2 Open-burning '!$C$9*'4C2 Open-burning '!$C$11*$C$5</f>
        <v>0.46236303731833234</v>
      </c>
      <c r="V106" s="485">
        <f>F106*'4C2 Open-burning '!$C$9*'4C2 Open-burning '!$C$11*$C$5</f>
        <v>0</v>
      </c>
      <c r="W106" s="485">
        <f>G106*'4C2 Open-burning '!$C$9*'4C2 Open-burning '!$C$11*$C$5</f>
        <v>0</v>
      </c>
      <c r="X106" s="485">
        <f>H106*'4C2 Open-burning '!$C$9*'4C2 Open-burning '!$C$11*$C$5</f>
        <v>0</v>
      </c>
      <c r="Y106" s="485">
        <f>I106*'4C2 Open-burning '!$C$9*'4C2 Open-burning '!$C$11*$C$5</f>
        <v>1.8076806230098303</v>
      </c>
      <c r="Z106" s="486">
        <f t="shared" si="9"/>
        <v>5.5837275813042186</v>
      </c>
      <c r="AA106" s="487">
        <f>C106*'4C2 Open-burning '!$C$10*'4C2 Open-burning '!$C$11*$C$5*C$15</f>
        <v>1.4961736141375673E-2</v>
      </c>
      <c r="AB106" s="487">
        <f>D106*'4C2 Open-burning '!$C$10*'4C2 Open-burning '!$C$11*$C$5*D$15</f>
        <v>1.5626115436864842E-2</v>
      </c>
      <c r="AC106" s="487">
        <f>E106*'4C2 Open-burning '!$C$10*'4C2 Open-burning '!$C$11*$C$5*E$15</f>
        <v>9.602924621226902E-3</v>
      </c>
      <c r="AD106" s="487">
        <f>F106*'4C2 Open-burning '!$C$10*'4C2 Open-burning '!$C$11*$C$5*F$15</f>
        <v>0</v>
      </c>
      <c r="AE106" s="487">
        <f>G106*'4C2 Open-burning '!$C$10*'4C2 Open-burning '!$C$11*$C$5*G$15</f>
        <v>0</v>
      </c>
      <c r="AF106" s="487">
        <f>H106*'4C2 Open-burning '!$C$10*'4C2 Open-burning '!$C$11*$C$5*H$15</f>
        <v>0</v>
      </c>
      <c r="AG106" s="487">
        <f>I106*'4C2 Open-burning '!$C$10*'4C2 Open-burning '!$C$11*$C$5*I$15</f>
        <v>3.7544136016358018E-2</v>
      </c>
      <c r="AH106" s="488">
        <f t="shared" si="10"/>
        <v>7.773491221582543E-2</v>
      </c>
      <c r="AI106" s="1389"/>
      <c r="AJ106" s="1388"/>
      <c r="AK106" s="1389"/>
    </row>
    <row r="107" spans="1:37">
      <c r="A107" s="489">
        <f>'Input data'!A136</f>
        <v>2036</v>
      </c>
      <c r="B107" s="122">
        <f>'Recycling - Case 1'!AP116</f>
        <v>6.7583591152434661E-2</v>
      </c>
      <c r="C107" s="527">
        <f>$B107*'Recycling - Case 1'!BM116*'Recycling - Case 1'!$AK116</f>
        <v>389.0095511435855</v>
      </c>
      <c r="D107" s="528">
        <f>$B107*'Recycling - Case 1'!BN116*'Recycling - Case 1'!$AK116</f>
        <v>406.28360871853556</v>
      </c>
      <c r="E107" s="528">
        <f>$B107*'Recycling - Case 1'!BO116*'Recycling - Case 1'!$AK116</f>
        <v>110.96838736629807</v>
      </c>
      <c r="F107" s="528">
        <f>$B107*'Recycling - Case 1'!BP116*'Recycling - Case 1'!$AK116</f>
        <v>0</v>
      </c>
      <c r="G107" s="528">
        <f>$B107*'Recycling - Case 1'!BQ116*'Recycling - Case 1'!$AK116</f>
        <v>0</v>
      </c>
      <c r="H107" s="528">
        <f>$B107*'Recycling - Case 1'!BR116*'Recycling - Case 1'!$AK116</f>
        <v>0</v>
      </c>
      <c r="I107" s="528">
        <f>$B107*'Recycling - Case 1'!BS116*'Recycling - Case 1'!$AK116</f>
        <v>433.8482694727129</v>
      </c>
      <c r="J107" s="744">
        <f t="shared" si="11"/>
        <v>1340.1098167011319</v>
      </c>
      <c r="K107" s="158">
        <f>'4C2 Open-burning '!C$14*'4C2 Open-burning '!$C$5*'4C2 Open-burning '!$C$6*'4C2 Open-burning '!$C$7*C107</f>
        <v>0</v>
      </c>
      <c r="L107" s="158">
        <f>'4C2 Open-burning '!D$14*'4C2 Open-burning '!$C$5*'4C2 Open-burning '!$C$6*'4C2 Open-burning '!$C$7*D107</f>
        <v>0</v>
      </c>
      <c r="M107" s="158">
        <f>'4C2 Open-burning '!E$14*'4C2 Open-burning '!$C$5*'4C2 Open-burning '!$C$6*'4C2 Open-burning '!$C$7*E107</f>
        <v>0.58620604183670089</v>
      </c>
      <c r="N107" s="158">
        <f>'4C2 Open-burning '!F$14*'4C2 Open-burning '!$C$5*'4C2 Open-burning '!$C$6*'4C2 Open-burning '!$C$7*F107</f>
        <v>0</v>
      </c>
      <c r="O107" s="158">
        <f>'4C2 Open-burning '!G$14*'4C2 Open-burning '!$C$5*'4C2 Open-burning '!$C$6*'4C2 Open-burning '!$C$7*G107</f>
        <v>0</v>
      </c>
      <c r="P107" s="158">
        <f>'4C2 Open-burning '!H$14*'4C2 Open-burning '!$C$5*'4C2 Open-burning '!$C$6*'4C2 Open-burning '!$C$7*H107</f>
        <v>0</v>
      </c>
      <c r="Q107" s="158">
        <f>'4C2 Open-burning '!I$14*'4C2 Open-burning '!$C$5*'4C2 Open-burning '!$C$6*'4C2 Open-burning '!$C$7*I107</f>
        <v>14.946940579873903</v>
      </c>
      <c r="R107" s="1380">
        <f t="shared" si="8"/>
        <v>15.533146621710603</v>
      </c>
      <c r="S107" s="485">
        <f>C107*'4C2 Open-burning '!$C$9*'4C2 Open-burning '!$C$11*$C$5</f>
        <v>1.5171372494599833</v>
      </c>
      <c r="T107" s="485">
        <f>D107*'4C2 Open-burning '!$C$9*'4C2 Open-burning '!$C$11*$C$5</f>
        <v>1.5845060740022887</v>
      </c>
      <c r="U107" s="485">
        <f>E107*'4C2 Open-burning '!$C$9*'4C2 Open-burning '!$C$11*$C$5</f>
        <v>0.43277671072856239</v>
      </c>
      <c r="V107" s="485">
        <f>F107*'4C2 Open-burning '!$C$9*'4C2 Open-burning '!$C$11*$C$5</f>
        <v>0</v>
      </c>
      <c r="W107" s="485">
        <f>G107*'4C2 Open-burning '!$C$9*'4C2 Open-burning '!$C$11*$C$5</f>
        <v>0</v>
      </c>
      <c r="X107" s="485">
        <f>H107*'4C2 Open-burning '!$C$9*'4C2 Open-burning '!$C$11*$C$5</f>
        <v>0</v>
      </c>
      <c r="Y107" s="485">
        <f>I107*'4C2 Open-burning '!$C$9*'4C2 Open-burning '!$C$11*$C$5</f>
        <v>1.6920082509435799</v>
      </c>
      <c r="Z107" s="486">
        <f t="shared" si="9"/>
        <v>5.2264282851344142</v>
      </c>
      <c r="AA107" s="487">
        <f>C107*'4C2 Open-burning '!$C$10*'4C2 Open-burning '!$C$11*$C$5*C$15</f>
        <v>1.400434384116908E-2</v>
      </c>
      <c r="AB107" s="487">
        <f>D107*'4C2 Open-burning '!$C$10*'4C2 Open-burning '!$C$11*$C$5*D$15</f>
        <v>1.4626209913867282E-2</v>
      </c>
      <c r="AC107" s="487">
        <f>E107*'4C2 Open-burning '!$C$10*'4C2 Open-burning '!$C$11*$C$5*E$15</f>
        <v>8.9884393766701421E-3</v>
      </c>
      <c r="AD107" s="487">
        <f>F107*'4C2 Open-burning '!$C$10*'4C2 Open-burning '!$C$11*$C$5*F$15</f>
        <v>0</v>
      </c>
      <c r="AE107" s="487">
        <f>G107*'4C2 Open-burning '!$C$10*'4C2 Open-burning '!$C$11*$C$5*G$15</f>
        <v>0</v>
      </c>
      <c r="AF107" s="487">
        <f>H107*'4C2 Open-burning '!$C$10*'4C2 Open-burning '!$C$11*$C$5*H$15</f>
        <v>0</v>
      </c>
      <c r="AG107" s="487">
        <f>I107*'4C2 Open-burning '!$C$10*'4C2 Open-burning '!$C$11*$C$5*I$15</f>
        <v>3.5141709827289744E-2</v>
      </c>
      <c r="AH107" s="488">
        <f t="shared" si="10"/>
        <v>7.2760702958996254E-2</v>
      </c>
      <c r="AI107" s="1389"/>
      <c r="AJ107" s="1388"/>
      <c r="AK107" s="1389"/>
    </row>
    <row r="108" spans="1:37">
      <c r="A108" s="489">
        <f>'Input data'!A137</f>
        <v>2037</v>
      </c>
      <c r="B108" s="122">
        <f>'Recycling - Case 1'!AP117</f>
        <v>6.6151246975557451E-2</v>
      </c>
      <c r="C108" s="527">
        <f>$B108*'Recycling - Case 1'!BM117*'Recycling - Case 1'!$AK117</f>
        <v>379.57019614335758</v>
      </c>
      <c r="D108" s="528">
        <f>$B108*'Recycling - Case 1'!BN117*'Recycling - Case 1'!$AK117</f>
        <v>396.42509701311883</v>
      </c>
      <c r="E108" s="528">
        <f>$B108*'Recycling - Case 1'!BO117*'Recycling - Case 1'!$AK117</f>
        <v>108.27572853806619</v>
      </c>
      <c r="F108" s="528">
        <f>$B108*'Recycling - Case 1'!BP117*'Recycling - Case 1'!$AK117</f>
        <v>0</v>
      </c>
      <c r="G108" s="528">
        <f>$B108*'Recycling - Case 1'!BQ117*'Recycling - Case 1'!$AK117</f>
        <v>0</v>
      </c>
      <c r="H108" s="528">
        <f>$B108*'Recycling - Case 1'!BR117*'Recycling - Case 1'!$AK117</f>
        <v>0</v>
      </c>
      <c r="I108" s="528">
        <f>$B108*'Recycling - Case 1'!BS117*'Recycling - Case 1'!$AK117</f>
        <v>423.3208985643418</v>
      </c>
      <c r="J108" s="744">
        <f t="shared" si="11"/>
        <v>1307.5919202588846</v>
      </c>
      <c r="K108" s="158">
        <f>'4C2 Open-burning '!C$14*'4C2 Open-burning '!$C$5*'4C2 Open-burning '!$C$6*'4C2 Open-burning '!$C$7*C108</f>
        <v>0</v>
      </c>
      <c r="L108" s="158">
        <f>'4C2 Open-burning '!D$14*'4C2 Open-burning '!$C$5*'4C2 Open-burning '!$C$6*'4C2 Open-burning '!$C$7*D108</f>
        <v>0</v>
      </c>
      <c r="M108" s="158">
        <f>'4C2 Open-burning '!E$14*'4C2 Open-burning '!$C$5*'4C2 Open-burning '!$C$6*'4C2 Open-burning '!$C$7*E108</f>
        <v>0.57198169460433002</v>
      </c>
      <c r="N108" s="158">
        <f>'4C2 Open-burning '!F$14*'4C2 Open-burning '!$C$5*'4C2 Open-burning '!$C$6*'4C2 Open-burning '!$C$7*F108</f>
        <v>0</v>
      </c>
      <c r="O108" s="158">
        <f>'4C2 Open-burning '!G$14*'4C2 Open-burning '!$C$5*'4C2 Open-burning '!$C$6*'4C2 Open-burning '!$C$7*G108</f>
        <v>0</v>
      </c>
      <c r="P108" s="158">
        <f>'4C2 Open-burning '!H$14*'4C2 Open-burning '!$C$5*'4C2 Open-burning '!$C$6*'4C2 Open-burning '!$C$7*H108</f>
        <v>0</v>
      </c>
      <c r="Q108" s="158">
        <f>'4C2 Open-burning '!I$14*'4C2 Open-burning '!$C$5*'4C2 Open-burning '!$C$6*'4C2 Open-burning '!$C$7*I108</f>
        <v>14.584251597338703</v>
      </c>
      <c r="R108" s="1380">
        <f t="shared" si="8"/>
        <v>15.156233291943034</v>
      </c>
      <c r="S108" s="485">
        <f>C108*'4C2 Open-burning '!$C$9*'4C2 Open-burning '!$C$11*$C$5</f>
        <v>1.4803237649590943</v>
      </c>
      <c r="T108" s="485">
        <f>D108*'4C2 Open-burning '!$C$9*'4C2 Open-burning '!$C$11*$C$5</f>
        <v>1.5460578783511632</v>
      </c>
      <c r="U108" s="485">
        <f>E108*'4C2 Open-burning '!$C$9*'4C2 Open-burning '!$C$11*$C$5</f>
        <v>0.42227534129845812</v>
      </c>
      <c r="V108" s="485">
        <f>F108*'4C2 Open-burning '!$C$9*'4C2 Open-burning '!$C$11*$C$5</f>
        <v>0</v>
      </c>
      <c r="W108" s="485">
        <f>G108*'4C2 Open-burning '!$C$9*'4C2 Open-burning '!$C$11*$C$5</f>
        <v>0</v>
      </c>
      <c r="X108" s="485">
        <f>H108*'4C2 Open-burning '!$C$9*'4C2 Open-burning '!$C$11*$C$5</f>
        <v>0</v>
      </c>
      <c r="Y108" s="485">
        <f>I108*'4C2 Open-burning '!$C$9*'4C2 Open-burning '!$C$11*$C$5</f>
        <v>1.6509515044009329</v>
      </c>
      <c r="Z108" s="486">
        <f t="shared" si="9"/>
        <v>5.0996084890096478</v>
      </c>
      <c r="AA108" s="487">
        <f>C108*'4C2 Open-burning '!$C$10*'4C2 Open-burning '!$C$11*$C$5*C$15</f>
        <v>1.3664527061160871E-2</v>
      </c>
      <c r="AB108" s="487">
        <f>D108*'4C2 Open-burning '!$C$10*'4C2 Open-burning '!$C$11*$C$5*D$15</f>
        <v>1.4271303492472277E-2</v>
      </c>
      <c r="AC108" s="487">
        <f>E108*'4C2 Open-burning '!$C$10*'4C2 Open-burning '!$C$11*$C$5*E$15</f>
        <v>8.7703340115833604E-3</v>
      </c>
      <c r="AD108" s="487">
        <f>F108*'4C2 Open-burning '!$C$10*'4C2 Open-burning '!$C$11*$C$5*F$15</f>
        <v>0</v>
      </c>
      <c r="AE108" s="487">
        <f>G108*'4C2 Open-burning '!$C$10*'4C2 Open-burning '!$C$11*$C$5*G$15</f>
        <v>0</v>
      </c>
      <c r="AF108" s="487">
        <f>H108*'4C2 Open-burning '!$C$10*'4C2 Open-burning '!$C$11*$C$5*H$15</f>
        <v>0</v>
      </c>
      <c r="AG108" s="487">
        <f>I108*'4C2 Open-burning '!$C$10*'4C2 Open-burning '!$C$11*$C$5*I$15</f>
        <v>3.4288992783711683E-2</v>
      </c>
      <c r="AH108" s="488">
        <f t="shared" si="10"/>
        <v>7.0995157348928195E-2</v>
      </c>
      <c r="AI108" s="1389"/>
      <c r="AJ108" s="1388"/>
      <c r="AK108" s="1389"/>
    </row>
    <row r="109" spans="1:37">
      <c r="A109" s="489">
        <f>'Input data'!A138</f>
        <v>2038</v>
      </c>
      <c r="B109" s="122">
        <f>'Recycling - Case 1'!AP118</f>
        <v>6.3722555709803425E-2</v>
      </c>
      <c r="C109" s="527">
        <f>$B109*'Recycling - Case 1'!BM118*'Recycling - Case 1'!$AK118</f>
        <v>362.55825406346776</v>
      </c>
      <c r="D109" s="528">
        <f>$B109*'Recycling - Case 1'!BN118*'Recycling - Case 1'!$AK118</f>
        <v>378.65773577684627</v>
      </c>
      <c r="E109" s="528">
        <f>$B109*'Recycling - Case 1'!BO118*'Recycling - Case 1'!$AK118</f>
        <v>103.42292280868335</v>
      </c>
      <c r="F109" s="528">
        <f>$B109*'Recycling - Case 1'!BP118*'Recycling - Case 1'!$AK118</f>
        <v>0</v>
      </c>
      <c r="G109" s="528">
        <f>$B109*'Recycling - Case 1'!BQ118*'Recycling - Case 1'!$AK118</f>
        <v>0</v>
      </c>
      <c r="H109" s="528">
        <f>$B109*'Recycling - Case 1'!BR118*'Recycling - Case 1'!$AK118</f>
        <v>0</v>
      </c>
      <c r="I109" s="528">
        <f>$B109*'Recycling - Case 1'!BS118*'Recycling - Case 1'!$AK118</f>
        <v>404.34809542870363</v>
      </c>
      <c r="J109" s="744">
        <f t="shared" si="11"/>
        <v>1248.9870080777009</v>
      </c>
      <c r="K109" s="158">
        <f>'4C2 Open-burning '!C$14*'4C2 Open-burning '!$C$5*'4C2 Open-burning '!$C$6*'4C2 Open-burning '!$C$7*C109</f>
        <v>0</v>
      </c>
      <c r="L109" s="158">
        <f>'4C2 Open-burning '!D$14*'4C2 Open-burning '!$C$5*'4C2 Open-burning '!$C$6*'4C2 Open-burning '!$C$7*D109</f>
        <v>0</v>
      </c>
      <c r="M109" s="158">
        <f>'4C2 Open-burning '!E$14*'4C2 Open-burning '!$C$5*'4C2 Open-burning '!$C$6*'4C2 Open-burning '!$C$7*E109</f>
        <v>0.54634606894606297</v>
      </c>
      <c r="N109" s="158">
        <f>'4C2 Open-burning '!F$14*'4C2 Open-burning '!$C$5*'4C2 Open-burning '!$C$6*'4C2 Open-burning '!$C$7*F109</f>
        <v>0</v>
      </c>
      <c r="O109" s="158">
        <f>'4C2 Open-burning '!G$14*'4C2 Open-burning '!$C$5*'4C2 Open-burning '!$C$6*'4C2 Open-burning '!$C$7*G109</f>
        <v>0</v>
      </c>
      <c r="P109" s="158">
        <f>'4C2 Open-burning '!H$14*'4C2 Open-burning '!$C$5*'4C2 Open-burning '!$C$6*'4C2 Open-burning '!$C$7*H109</f>
        <v>0</v>
      </c>
      <c r="Q109" s="158">
        <f>'4C2 Open-burning '!I$14*'4C2 Open-burning '!$C$5*'4C2 Open-burning '!$C$6*'4C2 Open-burning '!$C$7*I109</f>
        <v>13.930600583709696</v>
      </c>
      <c r="R109" s="1380">
        <f t="shared" si="8"/>
        <v>14.476946652655759</v>
      </c>
      <c r="S109" s="485">
        <f>C109*'4C2 Open-burning '!$C$9*'4C2 Open-burning '!$C$11*$C$5</f>
        <v>1.4139771908475243</v>
      </c>
      <c r="T109" s="485">
        <f>D109*'4C2 Open-burning '!$C$9*'4C2 Open-burning '!$C$11*$C$5</f>
        <v>1.4767651695297004</v>
      </c>
      <c r="U109" s="485">
        <f>E109*'4C2 Open-burning '!$C$9*'4C2 Open-burning '!$C$11*$C$5</f>
        <v>0.40334939895386507</v>
      </c>
      <c r="V109" s="485">
        <f>F109*'4C2 Open-burning '!$C$9*'4C2 Open-burning '!$C$11*$C$5</f>
        <v>0</v>
      </c>
      <c r="W109" s="485">
        <f>G109*'4C2 Open-burning '!$C$9*'4C2 Open-burning '!$C$11*$C$5</f>
        <v>0</v>
      </c>
      <c r="X109" s="485">
        <f>H109*'4C2 Open-burning '!$C$9*'4C2 Open-burning '!$C$11*$C$5</f>
        <v>0</v>
      </c>
      <c r="Y109" s="485">
        <f>I109*'4C2 Open-burning '!$C$9*'4C2 Open-burning '!$C$11*$C$5</f>
        <v>1.576957572171944</v>
      </c>
      <c r="Z109" s="486">
        <f t="shared" si="9"/>
        <v>4.8710493315030332</v>
      </c>
      <c r="AA109" s="487">
        <f>C109*'4C2 Open-burning '!$C$10*'4C2 Open-burning '!$C$11*$C$5*C$15</f>
        <v>1.3052097146284839E-2</v>
      </c>
      <c r="AB109" s="487">
        <f>D109*'4C2 Open-burning '!$C$10*'4C2 Open-burning '!$C$11*$C$5*D$15</f>
        <v>1.3631678487966465E-2</v>
      </c>
      <c r="AC109" s="487">
        <f>E109*'4C2 Open-burning '!$C$10*'4C2 Open-burning '!$C$11*$C$5*E$15</f>
        <v>8.3772567475033505E-3</v>
      </c>
      <c r="AD109" s="487">
        <f>F109*'4C2 Open-burning '!$C$10*'4C2 Open-burning '!$C$11*$C$5*F$15</f>
        <v>0</v>
      </c>
      <c r="AE109" s="487">
        <f>G109*'4C2 Open-burning '!$C$10*'4C2 Open-burning '!$C$11*$C$5*G$15</f>
        <v>0</v>
      </c>
      <c r="AF109" s="487">
        <f>H109*'4C2 Open-burning '!$C$10*'4C2 Open-burning '!$C$11*$C$5*H$15</f>
        <v>0</v>
      </c>
      <c r="AG109" s="487">
        <f>I109*'4C2 Open-burning '!$C$10*'4C2 Open-burning '!$C$11*$C$5*I$15</f>
        <v>3.2752195729724994E-2</v>
      </c>
      <c r="AH109" s="488">
        <f t="shared" si="10"/>
        <v>6.7813228111479648E-2</v>
      </c>
      <c r="AI109" s="1389"/>
      <c r="AJ109" s="1388"/>
      <c r="AK109" s="1389"/>
    </row>
    <row r="110" spans="1:37">
      <c r="A110" s="489">
        <f>'Input data'!A139</f>
        <v>2039</v>
      </c>
      <c r="B110" s="122">
        <f>'Recycling - Case 1'!AP119</f>
        <v>6.1263360258208409E-2</v>
      </c>
      <c r="C110" s="527">
        <f>$B110*'Recycling - Case 1'!BM119*'Recycling - Case 1'!$AK119</f>
        <v>345.621044908763</v>
      </c>
      <c r="D110" s="528">
        <f>$B110*'Recycling - Case 1'!BN119*'Recycling - Case 1'!$AK119</f>
        <v>360.96842599829495</v>
      </c>
      <c r="E110" s="528">
        <f>$B110*'Recycling - Case 1'!BO119*'Recycling - Case 1'!$AK119</f>
        <v>98.591435301864891</v>
      </c>
      <c r="F110" s="528">
        <f>$B110*'Recycling - Case 1'!BP119*'Recycling - Case 1'!$AK119</f>
        <v>0</v>
      </c>
      <c r="G110" s="528">
        <f>$B110*'Recycling - Case 1'!BQ119*'Recycling - Case 1'!$AK119</f>
        <v>0</v>
      </c>
      <c r="H110" s="528">
        <f>$B110*'Recycling - Case 1'!BR119*'Recycling - Case 1'!$AK119</f>
        <v>0</v>
      </c>
      <c r="I110" s="528">
        <f>$B110*'Recycling - Case 1'!BS119*'Recycling - Case 1'!$AK119</f>
        <v>385.45863921904413</v>
      </c>
      <c r="J110" s="744">
        <f t="shared" si="11"/>
        <v>1190.6395454279668</v>
      </c>
      <c r="K110" s="158">
        <f>'4C2 Open-burning '!C$14*'4C2 Open-burning '!$C$5*'4C2 Open-burning '!$C$6*'4C2 Open-burning '!$C$7*C110</f>
        <v>0</v>
      </c>
      <c r="L110" s="158">
        <f>'4C2 Open-burning '!D$14*'4C2 Open-burning '!$C$5*'4C2 Open-burning '!$C$6*'4C2 Open-burning '!$C$7*D110</f>
        <v>0</v>
      </c>
      <c r="M110" s="158">
        <f>'4C2 Open-burning '!E$14*'4C2 Open-burning '!$C$5*'4C2 Open-burning '!$C$6*'4C2 Open-burning '!$C$7*E110</f>
        <v>0.52082305978304355</v>
      </c>
      <c r="N110" s="158">
        <f>'4C2 Open-burning '!F$14*'4C2 Open-burning '!$C$5*'4C2 Open-burning '!$C$6*'4C2 Open-burning '!$C$7*F110</f>
        <v>0</v>
      </c>
      <c r="O110" s="158">
        <f>'4C2 Open-burning '!G$14*'4C2 Open-burning '!$C$5*'4C2 Open-burning '!$C$6*'4C2 Open-burning '!$C$7*G110</f>
        <v>0</v>
      </c>
      <c r="P110" s="158">
        <f>'4C2 Open-burning '!H$14*'4C2 Open-burning '!$C$5*'4C2 Open-burning '!$C$6*'4C2 Open-burning '!$C$7*H110</f>
        <v>0</v>
      </c>
      <c r="Q110" s="158">
        <f>'4C2 Open-burning '!I$14*'4C2 Open-burning '!$C$5*'4C2 Open-burning '!$C$6*'4C2 Open-burning '!$C$7*I110</f>
        <v>13.279821038374507</v>
      </c>
      <c r="R110" s="1380">
        <f t="shared" si="8"/>
        <v>13.800644098157552</v>
      </c>
      <c r="S110" s="485">
        <f>C110*'4C2 Open-burning '!$C$9*'4C2 Open-burning '!$C$11*$C$5</f>
        <v>1.3479220751441756</v>
      </c>
      <c r="T110" s="485">
        <f>D110*'4C2 Open-burning '!$C$9*'4C2 Open-burning '!$C$11*$C$5</f>
        <v>1.4077768613933501</v>
      </c>
      <c r="U110" s="485">
        <f>E110*'4C2 Open-burning '!$C$9*'4C2 Open-burning '!$C$11*$C$5</f>
        <v>0.38450659767727308</v>
      </c>
      <c r="V110" s="485">
        <f>F110*'4C2 Open-burning '!$C$9*'4C2 Open-burning '!$C$11*$C$5</f>
        <v>0</v>
      </c>
      <c r="W110" s="485">
        <f>G110*'4C2 Open-burning '!$C$9*'4C2 Open-burning '!$C$11*$C$5</f>
        <v>0</v>
      </c>
      <c r="X110" s="485">
        <f>H110*'4C2 Open-burning '!$C$9*'4C2 Open-burning '!$C$11*$C$5</f>
        <v>0</v>
      </c>
      <c r="Y110" s="485">
        <f>I110*'4C2 Open-burning '!$C$9*'4C2 Open-burning '!$C$11*$C$5</f>
        <v>1.5032886929542719</v>
      </c>
      <c r="Z110" s="486">
        <f t="shared" si="9"/>
        <v>4.6434942271690707</v>
      </c>
      <c r="AA110" s="487">
        <f>C110*'4C2 Open-burning '!$C$10*'4C2 Open-burning '!$C$11*$C$5*C$15</f>
        <v>1.2442357616715468E-2</v>
      </c>
      <c r="AB110" s="487">
        <f>D110*'4C2 Open-burning '!$C$10*'4C2 Open-burning '!$C$11*$C$5*D$15</f>
        <v>1.2994863335938618E-2</v>
      </c>
      <c r="AC110" s="487">
        <f>E110*'4C2 Open-burning '!$C$10*'4C2 Open-burning '!$C$11*$C$5*E$15</f>
        <v>7.9859062594510553E-3</v>
      </c>
      <c r="AD110" s="487">
        <f>F110*'4C2 Open-burning '!$C$10*'4C2 Open-burning '!$C$11*$C$5*F$15</f>
        <v>0</v>
      </c>
      <c r="AE110" s="487">
        <f>G110*'4C2 Open-burning '!$C$10*'4C2 Open-burning '!$C$11*$C$5*G$15</f>
        <v>0</v>
      </c>
      <c r="AF110" s="487">
        <f>H110*'4C2 Open-burning '!$C$10*'4C2 Open-burning '!$C$11*$C$5*H$15</f>
        <v>0</v>
      </c>
      <c r="AG110" s="487">
        <f>I110*'4C2 Open-burning '!$C$10*'4C2 Open-burning '!$C$11*$C$5*I$15</f>
        <v>3.1222149776742571E-2</v>
      </c>
      <c r="AH110" s="488">
        <f t="shared" si="10"/>
        <v>6.46452769888477E-2</v>
      </c>
      <c r="AI110" s="1389"/>
      <c r="AJ110" s="1388"/>
      <c r="AK110" s="1389"/>
    </row>
    <row r="111" spans="1:37">
      <c r="A111" s="489">
        <f>'Input data'!A140</f>
        <v>2040</v>
      </c>
      <c r="B111" s="122">
        <f>'Recycling - Case 1'!AP120</f>
        <v>5.8772920332941909E-2</v>
      </c>
      <c r="C111" s="527">
        <f>$B111*'Recycling - Case 1'!BM120*'Recycling - Case 1'!$AK120</f>
        <v>328.75732500361454</v>
      </c>
      <c r="D111" s="528">
        <f>$B111*'Recycling - Case 1'!BN120*'Recycling - Case 1'!$AK120</f>
        <v>343.35586877613713</v>
      </c>
      <c r="E111" s="528">
        <f>$B111*'Recycling - Case 1'!BO120*'Recycling - Case 1'!$AK120</f>
        <v>93.780911248226573</v>
      </c>
      <c r="F111" s="528">
        <f>$B111*'Recycling - Case 1'!BP120*'Recycling - Case 1'!$AK120</f>
        <v>0</v>
      </c>
      <c r="G111" s="528">
        <f>$B111*'Recycling - Case 1'!BQ120*'Recycling - Case 1'!$AK120</f>
        <v>0</v>
      </c>
      <c r="H111" s="528">
        <f>$B111*'Recycling - Case 1'!BR120*'Recycling - Case 1'!$AK120</f>
        <v>0</v>
      </c>
      <c r="I111" s="528">
        <f>$B111*'Recycling - Case 1'!BS120*'Recycling - Case 1'!$AK120</f>
        <v>366.65114290895809</v>
      </c>
      <c r="J111" s="744">
        <f t="shared" si="11"/>
        <v>1132.5452479369362</v>
      </c>
      <c r="K111" s="158">
        <f>'4C2 Open-burning '!C$14*'4C2 Open-burning '!$C$5*'4C2 Open-burning '!$C$6*'4C2 Open-burning '!$C$7*C111</f>
        <v>0</v>
      </c>
      <c r="L111" s="158">
        <f>'4C2 Open-burning '!D$14*'4C2 Open-burning '!$C$5*'4C2 Open-burning '!$C$6*'4C2 Open-burning '!$C$7*D111</f>
        <v>0</v>
      </c>
      <c r="M111" s="158">
        <f>'4C2 Open-burning '!E$14*'4C2 Open-burning '!$C$5*'4C2 Open-burning '!$C$6*'4C2 Open-burning '!$C$7*E111</f>
        <v>0.49541079299633162</v>
      </c>
      <c r="N111" s="158">
        <f>'4C2 Open-burning '!F$14*'4C2 Open-burning '!$C$5*'4C2 Open-burning '!$C$6*'4C2 Open-burning '!$C$7*F111</f>
        <v>0</v>
      </c>
      <c r="O111" s="158">
        <f>'4C2 Open-burning '!G$14*'4C2 Open-burning '!$C$5*'4C2 Open-burning '!$C$6*'4C2 Open-burning '!$C$7*G111</f>
        <v>0</v>
      </c>
      <c r="P111" s="158">
        <f>'4C2 Open-burning '!H$14*'4C2 Open-burning '!$C$5*'4C2 Open-burning '!$C$6*'4C2 Open-burning '!$C$7*H111</f>
        <v>0</v>
      </c>
      <c r="Q111" s="158">
        <f>'4C2 Open-burning '!I$14*'4C2 Open-burning '!$C$5*'4C2 Open-burning '!$C$6*'4C2 Open-burning '!$C$7*I111</f>
        <v>12.631865175499422</v>
      </c>
      <c r="R111" s="1380">
        <f t="shared" si="8"/>
        <v>13.127275968495754</v>
      </c>
      <c r="S111" s="485">
        <f>C111*'4C2 Open-burning '!$C$9*'4C2 Open-burning '!$C$11*$C$5</f>
        <v>1.2821535675140965</v>
      </c>
      <c r="T111" s="485">
        <f>D111*'4C2 Open-burning '!$C$9*'4C2 Open-burning '!$C$11*$C$5</f>
        <v>1.3390878882269346</v>
      </c>
      <c r="U111" s="485">
        <f>E111*'4C2 Open-burning '!$C$9*'4C2 Open-burning '!$C$11*$C$5</f>
        <v>0.36574555386808366</v>
      </c>
      <c r="V111" s="485">
        <f>F111*'4C2 Open-burning '!$C$9*'4C2 Open-burning '!$C$11*$C$5</f>
        <v>0</v>
      </c>
      <c r="W111" s="485">
        <f>G111*'4C2 Open-burning '!$C$9*'4C2 Open-burning '!$C$11*$C$5</f>
        <v>0</v>
      </c>
      <c r="X111" s="485">
        <f>H111*'4C2 Open-burning '!$C$9*'4C2 Open-burning '!$C$11*$C$5</f>
        <v>0</v>
      </c>
      <c r="Y111" s="485">
        <f>I111*'4C2 Open-burning '!$C$9*'4C2 Open-burning '!$C$11*$C$5</f>
        <v>1.4299394573449362</v>
      </c>
      <c r="Z111" s="486">
        <f t="shared" si="9"/>
        <v>4.4169264669540507</v>
      </c>
      <c r="AA111" s="487">
        <f>C111*'4C2 Open-burning '!$C$10*'4C2 Open-burning '!$C$11*$C$5*C$15</f>
        <v>1.1835263700130123E-2</v>
      </c>
      <c r="AB111" s="487">
        <f>D111*'4C2 Open-burning '!$C$10*'4C2 Open-burning '!$C$11*$C$5*D$15</f>
        <v>1.2360811275940936E-2</v>
      </c>
      <c r="AC111" s="487">
        <f>E111*'4C2 Open-burning '!$C$10*'4C2 Open-burning '!$C$11*$C$5*E$15</f>
        <v>7.5962538111063521E-3</v>
      </c>
      <c r="AD111" s="487">
        <f>F111*'4C2 Open-burning '!$C$10*'4C2 Open-burning '!$C$11*$C$5*F$15</f>
        <v>0</v>
      </c>
      <c r="AE111" s="487">
        <f>G111*'4C2 Open-burning '!$C$10*'4C2 Open-burning '!$C$11*$C$5*G$15</f>
        <v>0</v>
      </c>
      <c r="AF111" s="487">
        <f>H111*'4C2 Open-burning '!$C$10*'4C2 Open-burning '!$C$11*$C$5*H$15</f>
        <v>0</v>
      </c>
      <c r="AG111" s="487">
        <f>I111*'4C2 Open-burning '!$C$10*'4C2 Open-burning '!$C$11*$C$5*I$15</f>
        <v>2.9698742575625603E-2</v>
      </c>
      <c r="AH111" s="488">
        <f t="shared" si="10"/>
        <v>6.1491071362803011E-2</v>
      </c>
      <c r="AI111" s="1389"/>
      <c r="AJ111" s="1388"/>
      <c r="AK111" s="1389"/>
    </row>
    <row r="112" spans="1:37">
      <c r="A112" s="489">
        <f>'Input data'!A141</f>
        <v>2041</v>
      </c>
      <c r="B112" s="122">
        <f>'Recycling - Case 1'!AP121</f>
        <v>5.6293584836045178E-2</v>
      </c>
      <c r="C112" s="527">
        <f>$B112*'Recycling - Case 1'!BM121*'Recycling - Case 1'!$AK121</f>
        <v>312.05961686342658</v>
      </c>
      <c r="D112" s="528">
        <f>$B112*'Recycling - Case 1'!BN121*'Recycling - Case 1'!$AK121</f>
        <v>325.91669510911214</v>
      </c>
      <c r="E112" s="528">
        <f>$B112*'Recycling - Case 1'!BO121*'Recycling - Case 1'!$AK121</f>
        <v>89.017743507016434</v>
      </c>
      <c r="F112" s="528">
        <f>$B112*'Recycling - Case 1'!BP121*'Recycling - Case 1'!$AK121</f>
        <v>0</v>
      </c>
      <c r="G112" s="528">
        <f>$B112*'Recycling - Case 1'!BQ121*'Recycling - Case 1'!$AK121</f>
        <v>0</v>
      </c>
      <c r="H112" s="528">
        <f>$B112*'Recycling - Case 1'!BR121*'Recycling - Case 1'!$AK121</f>
        <v>0</v>
      </c>
      <c r="I112" s="528">
        <f>$B112*'Recycling - Case 1'!BS121*'Recycling - Case 1'!$AK121</f>
        <v>348.02879351037723</v>
      </c>
      <c r="J112" s="744">
        <f t="shared" si="11"/>
        <v>1075.0228489899323</v>
      </c>
      <c r="K112" s="158">
        <f>'4C2 Open-burning '!C$14*'4C2 Open-burning '!$C$5*'4C2 Open-burning '!$C$6*'4C2 Open-burning '!$C$7*C112</f>
        <v>0</v>
      </c>
      <c r="L112" s="158">
        <f>'4C2 Open-burning '!D$14*'4C2 Open-burning '!$C$5*'4C2 Open-burning '!$C$6*'4C2 Open-burning '!$C$7*D112</f>
        <v>0</v>
      </c>
      <c r="M112" s="158">
        <f>'4C2 Open-burning '!E$14*'4C2 Open-burning '!$C$5*'4C2 Open-burning '!$C$6*'4C2 Open-burning '!$C$7*E112</f>
        <v>0.47024869255990526</v>
      </c>
      <c r="N112" s="158">
        <f>'4C2 Open-burning '!F$14*'4C2 Open-burning '!$C$5*'4C2 Open-burning '!$C$6*'4C2 Open-burning '!$C$7*F112</f>
        <v>0</v>
      </c>
      <c r="O112" s="158">
        <f>'4C2 Open-burning '!G$14*'4C2 Open-burning '!$C$5*'4C2 Open-burning '!$C$6*'4C2 Open-burning '!$C$7*G112</f>
        <v>0</v>
      </c>
      <c r="P112" s="158">
        <f>'4C2 Open-burning '!H$14*'4C2 Open-burning '!$C$5*'4C2 Open-burning '!$C$6*'4C2 Open-burning '!$C$7*H112</f>
        <v>0</v>
      </c>
      <c r="Q112" s="158">
        <f>'4C2 Open-burning '!I$14*'4C2 Open-burning '!$C$5*'4C2 Open-burning '!$C$6*'4C2 Open-burning '!$C$7*I112</f>
        <v>11.990287994019514</v>
      </c>
      <c r="R112" s="1380">
        <f t="shared" si="8"/>
        <v>12.46053668657942</v>
      </c>
      <c r="S112" s="485">
        <f>C112*'4C2 Open-burning '!$C$9*'4C2 Open-burning '!$C$11*$C$5</f>
        <v>1.2170325057673637</v>
      </c>
      <c r="T112" s="485">
        <f>D112*'4C2 Open-burning '!$C$9*'4C2 Open-burning '!$C$11*$C$5</f>
        <v>1.2710751109255372</v>
      </c>
      <c r="U112" s="485">
        <f>E112*'4C2 Open-burning '!$C$9*'4C2 Open-burning '!$C$11*$C$5</f>
        <v>0.34716919967736404</v>
      </c>
      <c r="V112" s="485">
        <f>F112*'4C2 Open-burning '!$C$9*'4C2 Open-burning '!$C$11*$C$5</f>
        <v>0</v>
      </c>
      <c r="W112" s="485">
        <f>G112*'4C2 Open-burning '!$C$9*'4C2 Open-burning '!$C$11*$C$5</f>
        <v>0</v>
      </c>
      <c r="X112" s="485">
        <f>H112*'4C2 Open-burning '!$C$9*'4C2 Open-burning '!$C$11*$C$5</f>
        <v>0</v>
      </c>
      <c r="Y112" s="485">
        <f>I112*'4C2 Open-burning '!$C$9*'4C2 Open-burning '!$C$11*$C$5</f>
        <v>1.3573122946904708</v>
      </c>
      <c r="Z112" s="486">
        <f t="shared" si="9"/>
        <v>4.1925891110607356</v>
      </c>
      <c r="AA112" s="487">
        <f>C112*'4C2 Open-burning '!$C$10*'4C2 Open-burning '!$C$11*$C$5*C$15</f>
        <v>1.1234146207083358E-2</v>
      </c>
      <c r="AB112" s="487">
        <f>D112*'4C2 Open-burning '!$C$10*'4C2 Open-burning '!$C$11*$C$5*D$15</f>
        <v>1.1733001023928036E-2</v>
      </c>
      <c r="AC112" s="487">
        <f>E112*'4C2 Open-burning '!$C$10*'4C2 Open-burning '!$C$11*$C$5*E$15</f>
        <v>7.21043722406833E-3</v>
      </c>
      <c r="AD112" s="487">
        <f>F112*'4C2 Open-burning '!$C$10*'4C2 Open-burning '!$C$11*$C$5*F$15</f>
        <v>0</v>
      </c>
      <c r="AE112" s="487">
        <f>G112*'4C2 Open-burning '!$C$10*'4C2 Open-burning '!$C$11*$C$5*G$15</f>
        <v>0</v>
      </c>
      <c r="AF112" s="487">
        <f>H112*'4C2 Open-burning '!$C$10*'4C2 Open-burning '!$C$11*$C$5*H$15</f>
        <v>0</v>
      </c>
      <c r="AG112" s="487">
        <f>I112*'4C2 Open-burning '!$C$10*'4C2 Open-burning '!$C$11*$C$5*I$15</f>
        <v>2.8190332274340556E-2</v>
      </c>
      <c r="AH112" s="488">
        <f t="shared" si="10"/>
        <v>5.836791672942028E-2</v>
      </c>
      <c r="AI112" s="1389"/>
      <c r="AJ112" s="1388"/>
      <c r="AK112" s="1389"/>
    </row>
    <row r="113" spans="1:37">
      <c r="A113" s="489">
        <f>'Input data'!A142</f>
        <v>2042</v>
      </c>
      <c r="B113" s="122">
        <f>'Recycling - Case 1'!AP122</f>
        <v>5.3778228960326746E-2</v>
      </c>
      <c r="C113" s="527">
        <f>$B113*'Recycling - Case 1'!BM122*'Recycling - Case 1'!$AK122</f>
        <v>295.42144505851621</v>
      </c>
      <c r="D113" s="528">
        <f>$B113*'Recycling - Case 1'!BN122*'Recycling - Case 1'!$AK122</f>
        <v>308.5397015018707</v>
      </c>
      <c r="E113" s="528">
        <f>$B113*'Recycling - Case 1'!BO122*'Recycling - Case 1'!$AK122</f>
        <v>84.271559027775126</v>
      </c>
      <c r="F113" s="528">
        <f>$B113*'Recycling - Case 1'!BP122*'Recycling - Case 1'!$AK122</f>
        <v>0</v>
      </c>
      <c r="G113" s="528">
        <f>$B113*'Recycling - Case 1'!BQ122*'Recycling - Case 1'!$AK122</f>
        <v>0</v>
      </c>
      <c r="H113" s="528">
        <f>$B113*'Recycling - Case 1'!BR122*'Recycling - Case 1'!$AK122</f>
        <v>0</v>
      </c>
      <c r="I113" s="528">
        <f>$B113*'Recycling - Case 1'!BS122*'Recycling - Case 1'!$AK122</f>
        <v>329.47284283119791</v>
      </c>
      <c r="J113" s="744">
        <f t="shared" si="11"/>
        <v>1017.7055484193598</v>
      </c>
      <c r="K113" s="158">
        <f>'4C2 Open-burning '!C$14*'4C2 Open-burning '!$C$5*'4C2 Open-burning '!$C$6*'4C2 Open-burning '!$C$7*C113</f>
        <v>0</v>
      </c>
      <c r="L113" s="158">
        <f>'4C2 Open-burning '!D$14*'4C2 Open-burning '!$C$5*'4C2 Open-burning '!$C$6*'4C2 Open-burning '!$C$7*D113</f>
        <v>0</v>
      </c>
      <c r="M113" s="158">
        <f>'4C2 Open-burning '!E$14*'4C2 Open-burning '!$C$5*'4C2 Open-burning '!$C$6*'4C2 Open-burning '!$C$7*E113</f>
        <v>0.44517630858248597</v>
      </c>
      <c r="N113" s="158">
        <f>'4C2 Open-burning '!F$14*'4C2 Open-burning '!$C$5*'4C2 Open-burning '!$C$6*'4C2 Open-burning '!$C$7*F113</f>
        <v>0</v>
      </c>
      <c r="O113" s="158">
        <f>'4C2 Open-burning '!G$14*'4C2 Open-burning '!$C$5*'4C2 Open-burning '!$C$6*'4C2 Open-burning '!$C$7*G113</f>
        <v>0</v>
      </c>
      <c r="P113" s="158">
        <f>'4C2 Open-burning '!H$14*'4C2 Open-burning '!$C$5*'4C2 Open-burning '!$C$6*'4C2 Open-burning '!$C$7*H113</f>
        <v>0</v>
      </c>
      <c r="Q113" s="158">
        <f>'4C2 Open-burning '!I$14*'4C2 Open-burning '!$C$5*'4C2 Open-burning '!$C$6*'4C2 Open-burning '!$C$7*I113</f>
        <v>11.35099838122043</v>
      </c>
      <c r="R113" s="1380">
        <f t="shared" si="8"/>
        <v>11.796174689802916</v>
      </c>
      <c r="S113" s="485">
        <f>C113*'4C2 Open-burning '!$C$9*'4C2 Open-burning '!$C$11*$C$5</f>
        <v>1.1521436357282131</v>
      </c>
      <c r="T113" s="485">
        <f>D113*'4C2 Open-burning '!$C$9*'4C2 Open-burning '!$C$11*$C$5</f>
        <v>1.2033048358572958</v>
      </c>
      <c r="U113" s="485">
        <f>E113*'4C2 Open-burning '!$C$9*'4C2 Open-burning '!$C$11*$C$5</f>
        <v>0.32865908020832296</v>
      </c>
      <c r="V113" s="485">
        <f>F113*'4C2 Open-burning '!$C$9*'4C2 Open-burning '!$C$11*$C$5</f>
        <v>0</v>
      </c>
      <c r="W113" s="485">
        <f>G113*'4C2 Open-burning '!$C$9*'4C2 Open-burning '!$C$11*$C$5</f>
        <v>0</v>
      </c>
      <c r="X113" s="485">
        <f>H113*'4C2 Open-burning '!$C$9*'4C2 Open-burning '!$C$11*$C$5</f>
        <v>0</v>
      </c>
      <c r="Y113" s="485">
        <f>I113*'4C2 Open-burning '!$C$9*'4C2 Open-burning '!$C$11*$C$5</f>
        <v>1.2849440870416717</v>
      </c>
      <c r="Z113" s="486">
        <f t="shared" si="9"/>
        <v>3.9690516388355039</v>
      </c>
      <c r="AA113" s="487">
        <f>C113*'4C2 Open-burning '!$C$10*'4C2 Open-burning '!$C$11*$C$5*C$15</f>
        <v>1.0635172022106584E-2</v>
      </c>
      <c r="AB113" s="487">
        <f>D113*'4C2 Open-burning '!$C$10*'4C2 Open-burning '!$C$11*$C$5*D$15</f>
        <v>1.1107429254067344E-2</v>
      </c>
      <c r="AC113" s="487">
        <f>E113*'4C2 Open-burning '!$C$10*'4C2 Open-burning '!$C$11*$C$5*E$15</f>
        <v>6.8259962812497847E-3</v>
      </c>
      <c r="AD113" s="487">
        <f>F113*'4C2 Open-burning '!$C$10*'4C2 Open-burning '!$C$11*$C$5*F$15</f>
        <v>0</v>
      </c>
      <c r="AE113" s="487">
        <f>G113*'4C2 Open-burning '!$C$10*'4C2 Open-burning '!$C$11*$C$5*G$15</f>
        <v>0</v>
      </c>
      <c r="AF113" s="487">
        <f>H113*'4C2 Open-burning '!$C$10*'4C2 Open-burning '!$C$11*$C$5*H$15</f>
        <v>0</v>
      </c>
      <c r="AG113" s="487">
        <f>I113*'4C2 Open-burning '!$C$10*'4C2 Open-burning '!$C$11*$C$5*I$15</f>
        <v>2.6687300269327027E-2</v>
      </c>
      <c r="AH113" s="488">
        <f t="shared" si="10"/>
        <v>5.5255897826750736E-2</v>
      </c>
      <c r="AI113" s="1389"/>
      <c r="AJ113" s="1388"/>
      <c r="AK113" s="1389"/>
    </row>
    <row r="114" spans="1:37">
      <c r="A114" s="489">
        <f>'Input data'!A143</f>
        <v>2043</v>
      </c>
      <c r="B114" s="122">
        <f>'Recycling - Case 1'!AP123</f>
        <v>5.1225918046900867E-2</v>
      </c>
      <c r="C114" s="527">
        <f>$B114*'Recycling - Case 1'!BM123*'Recycling - Case 1'!$AK123</f>
        <v>278.84197211508337</v>
      </c>
      <c r="D114" s="528">
        <f>$B114*'Recycling - Case 1'!BN123*'Recycling - Case 1'!$AK123</f>
        <v>291.22401329239801</v>
      </c>
      <c r="E114" s="528">
        <f>$B114*'Recycling - Case 1'!BO123*'Recycling - Case 1'!$AK123</f>
        <v>79.542118913753768</v>
      </c>
      <c r="F114" s="528">
        <f>$B114*'Recycling - Case 1'!BP123*'Recycling - Case 1'!$AK123</f>
        <v>0</v>
      </c>
      <c r="G114" s="528">
        <f>$B114*'Recycling - Case 1'!BQ123*'Recycling - Case 1'!$AK123</f>
        <v>0</v>
      </c>
      <c r="H114" s="528">
        <f>$B114*'Recycling - Case 1'!BR123*'Recycling - Case 1'!$AK123</f>
        <v>0</v>
      </c>
      <c r="I114" s="528">
        <f>$B114*'Recycling - Case 1'!BS123*'Recycling - Case 1'!$AK123</f>
        <v>310.98235686720921</v>
      </c>
      <c r="J114" s="744">
        <f t="shared" si="11"/>
        <v>960.59046118844424</v>
      </c>
      <c r="K114" s="158">
        <f>'4C2 Open-burning '!C$14*'4C2 Open-burning '!$C$5*'4C2 Open-burning '!$C$6*'4C2 Open-burning '!$C$7*C114</f>
        <v>0</v>
      </c>
      <c r="L114" s="158">
        <f>'4C2 Open-burning '!D$14*'4C2 Open-burning '!$C$5*'4C2 Open-burning '!$C$6*'4C2 Open-burning '!$C$7*D114</f>
        <v>0</v>
      </c>
      <c r="M114" s="158">
        <f>'4C2 Open-burning '!E$14*'4C2 Open-burning '!$C$5*'4C2 Open-burning '!$C$6*'4C2 Open-burning '!$C$7*E114</f>
        <v>0.42019237905855222</v>
      </c>
      <c r="N114" s="158">
        <f>'4C2 Open-burning '!F$14*'4C2 Open-burning '!$C$5*'4C2 Open-burning '!$C$6*'4C2 Open-burning '!$C$7*F114</f>
        <v>0</v>
      </c>
      <c r="O114" s="158">
        <f>'4C2 Open-burning '!G$14*'4C2 Open-burning '!$C$5*'4C2 Open-burning '!$C$6*'4C2 Open-burning '!$C$7*G114</f>
        <v>0</v>
      </c>
      <c r="P114" s="158">
        <f>'4C2 Open-burning '!H$14*'4C2 Open-burning '!$C$5*'4C2 Open-burning '!$C$6*'4C2 Open-burning '!$C$7*H114</f>
        <v>0</v>
      </c>
      <c r="Q114" s="158">
        <f>'4C2 Open-burning '!I$14*'4C2 Open-burning '!$C$5*'4C2 Open-burning '!$C$6*'4C2 Open-burning '!$C$7*I114</f>
        <v>10.713964158789091</v>
      </c>
      <c r="R114" s="1380">
        <f t="shared" si="8"/>
        <v>11.134156537847643</v>
      </c>
      <c r="S114" s="485">
        <f>C114*'4C2 Open-burning '!$C$9*'4C2 Open-burning '!$C$11*$C$5</f>
        <v>1.087483691248825</v>
      </c>
      <c r="T114" s="485">
        <f>D114*'4C2 Open-burning '!$C$9*'4C2 Open-burning '!$C$11*$C$5</f>
        <v>1.1357736518403521</v>
      </c>
      <c r="U114" s="485">
        <f>E114*'4C2 Open-burning '!$C$9*'4C2 Open-burning '!$C$11*$C$5</f>
        <v>0.3102142637636397</v>
      </c>
      <c r="V114" s="485">
        <f>F114*'4C2 Open-burning '!$C$9*'4C2 Open-burning '!$C$11*$C$5</f>
        <v>0</v>
      </c>
      <c r="W114" s="485">
        <f>G114*'4C2 Open-burning '!$C$9*'4C2 Open-burning '!$C$11*$C$5</f>
        <v>0</v>
      </c>
      <c r="X114" s="485">
        <f>H114*'4C2 Open-burning '!$C$9*'4C2 Open-burning '!$C$11*$C$5</f>
        <v>0</v>
      </c>
      <c r="Y114" s="485">
        <f>I114*'4C2 Open-burning '!$C$9*'4C2 Open-burning '!$C$11*$C$5</f>
        <v>1.2128311917821157</v>
      </c>
      <c r="Z114" s="486">
        <f t="shared" si="9"/>
        <v>3.7463027986349324</v>
      </c>
      <c r="AA114" s="487">
        <f>C114*'4C2 Open-burning '!$C$10*'4C2 Open-burning '!$C$11*$C$5*C$15</f>
        <v>1.0038310996143003E-2</v>
      </c>
      <c r="AB114" s="487">
        <f>D114*'4C2 Open-burning '!$C$10*'4C2 Open-burning '!$C$11*$C$5*D$15</f>
        <v>1.0484064478526327E-2</v>
      </c>
      <c r="AC114" s="487">
        <f>E114*'4C2 Open-burning '!$C$10*'4C2 Open-burning '!$C$11*$C$5*E$15</f>
        <v>6.4429116320140556E-3</v>
      </c>
      <c r="AD114" s="487">
        <f>F114*'4C2 Open-burning '!$C$10*'4C2 Open-burning '!$C$11*$C$5*F$15</f>
        <v>0</v>
      </c>
      <c r="AE114" s="487">
        <f>G114*'4C2 Open-burning '!$C$10*'4C2 Open-burning '!$C$11*$C$5*G$15</f>
        <v>0</v>
      </c>
      <c r="AF114" s="487">
        <f>H114*'4C2 Open-burning '!$C$10*'4C2 Open-burning '!$C$11*$C$5*H$15</f>
        <v>0</v>
      </c>
      <c r="AG114" s="487">
        <f>I114*'4C2 Open-burning '!$C$10*'4C2 Open-burning '!$C$11*$C$5*I$15</f>
        <v>2.5189570906243942E-2</v>
      </c>
      <c r="AH114" s="488">
        <f t="shared" si="10"/>
        <v>5.2154858012927324E-2</v>
      </c>
      <c r="AI114" s="1389"/>
      <c r="AJ114" s="1388"/>
      <c r="AK114" s="1389"/>
    </row>
    <row r="115" spans="1:37">
      <c r="A115" s="489">
        <f>'Input data'!A144</f>
        <v>2044</v>
      </c>
      <c r="B115" s="122">
        <f>'Recycling - Case 1'!AP124</f>
        <v>4.863569089555568E-2</v>
      </c>
      <c r="C115" s="527">
        <f>$B115*'Recycling - Case 1'!BM124*'Recycling - Case 1'!$AK124</f>
        <v>262.32037416040964</v>
      </c>
      <c r="D115" s="528">
        <f>$B115*'Recycling - Case 1'!BN124*'Recycling - Case 1'!$AK124</f>
        <v>273.96877002372048</v>
      </c>
      <c r="E115" s="528">
        <f>$B115*'Recycling - Case 1'!BO124*'Recycling - Case 1'!$AK124</f>
        <v>74.829188148031349</v>
      </c>
      <c r="F115" s="528">
        <f>$B115*'Recycling - Case 1'!BP124*'Recycling - Case 1'!$AK124</f>
        <v>0</v>
      </c>
      <c r="G115" s="528">
        <f>$B115*'Recycling - Case 1'!BQ124*'Recycling - Case 1'!$AK124</f>
        <v>0</v>
      </c>
      <c r="H115" s="528">
        <f>$B115*'Recycling - Case 1'!BR124*'Recycling - Case 1'!$AK124</f>
        <v>0</v>
      </c>
      <c r="I115" s="528">
        <f>$B115*'Recycling - Case 1'!BS124*'Recycling - Case 1'!$AK124</f>
        <v>292.55641678299412</v>
      </c>
      <c r="J115" s="744">
        <f t="shared" si="11"/>
        <v>903.67474911515558</v>
      </c>
      <c r="K115" s="158">
        <f>'4C2 Open-burning '!C$14*'4C2 Open-burning '!$C$5*'4C2 Open-burning '!$C$6*'4C2 Open-burning '!$C$7*C115</f>
        <v>0</v>
      </c>
      <c r="L115" s="158">
        <f>'4C2 Open-burning '!D$14*'4C2 Open-burning '!$C$5*'4C2 Open-burning '!$C$6*'4C2 Open-burning '!$C$7*D115</f>
        <v>0</v>
      </c>
      <c r="M115" s="158">
        <f>'4C2 Open-burning '!E$14*'4C2 Open-burning '!$C$5*'4C2 Open-burning '!$C$6*'4C2 Open-burning '!$C$7*E115</f>
        <v>0.39529566247831632</v>
      </c>
      <c r="N115" s="158">
        <f>'4C2 Open-burning '!F$14*'4C2 Open-burning '!$C$5*'4C2 Open-burning '!$C$6*'4C2 Open-burning '!$C$7*F115</f>
        <v>0</v>
      </c>
      <c r="O115" s="158">
        <f>'4C2 Open-burning '!G$14*'4C2 Open-burning '!$C$5*'4C2 Open-burning '!$C$6*'4C2 Open-burning '!$C$7*G115</f>
        <v>0</v>
      </c>
      <c r="P115" s="158">
        <f>'4C2 Open-burning '!H$14*'4C2 Open-burning '!$C$5*'4C2 Open-burning '!$C$6*'4C2 Open-burning '!$C$7*H115</f>
        <v>0</v>
      </c>
      <c r="Q115" s="158">
        <f>'4C2 Open-burning '!I$14*'4C2 Open-burning '!$C$5*'4C2 Open-burning '!$C$6*'4C2 Open-burning '!$C$7*I115</f>
        <v>10.079153671007713</v>
      </c>
      <c r="R115" s="1380">
        <f t="shared" si="8"/>
        <v>10.47444933348603</v>
      </c>
      <c r="S115" s="485">
        <f>C115*'4C2 Open-burning '!$C$9*'4C2 Open-burning '!$C$11*$C$5</f>
        <v>1.0230494592255976</v>
      </c>
      <c r="T115" s="485">
        <f>D115*'4C2 Open-burning '!$C$9*'4C2 Open-burning '!$C$11*$C$5</f>
        <v>1.0684782030925097</v>
      </c>
      <c r="U115" s="485">
        <f>E115*'4C2 Open-burning '!$C$9*'4C2 Open-burning '!$C$11*$C$5</f>
        <v>0.29183383377732225</v>
      </c>
      <c r="V115" s="485">
        <f>F115*'4C2 Open-burning '!$C$9*'4C2 Open-burning '!$C$11*$C$5</f>
        <v>0</v>
      </c>
      <c r="W115" s="485">
        <f>G115*'4C2 Open-burning '!$C$9*'4C2 Open-burning '!$C$11*$C$5</f>
        <v>0</v>
      </c>
      <c r="X115" s="485">
        <f>H115*'4C2 Open-burning '!$C$9*'4C2 Open-burning '!$C$11*$C$5</f>
        <v>0</v>
      </c>
      <c r="Y115" s="485">
        <f>I115*'4C2 Open-burning '!$C$9*'4C2 Open-burning '!$C$11*$C$5</f>
        <v>1.140970025453677</v>
      </c>
      <c r="Z115" s="486">
        <f t="shared" si="9"/>
        <v>3.5243315215491062</v>
      </c>
      <c r="AA115" s="487">
        <f>C115*'4C2 Open-burning '!$C$10*'4C2 Open-burning '!$C$11*$C$5*C$15</f>
        <v>9.4435334697747474E-3</v>
      </c>
      <c r="AB115" s="487">
        <f>D115*'4C2 Open-burning '!$C$10*'4C2 Open-burning '!$C$11*$C$5*D$15</f>
        <v>9.8628757208539374E-3</v>
      </c>
      <c r="AC115" s="487">
        <f>E115*'4C2 Open-burning '!$C$10*'4C2 Open-burning '!$C$11*$C$5*E$15</f>
        <v>6.0611642399905396E-3</v>
      </c>
      <c r="AD115" s="487">
        <f>F115*'4C2 Open-burning '!$C$10*'4C2 Open-burning '!$C$11*$C$5*F$15</f>
        <v>0</v>
      </c>
      <c r="AE115" s="487">
        <f>G115*'4C2 Open-burning '!$C$10*'4C2 Open-burning '!$C$11*$C$5*G$15</f>
        <v>0</v>
      </c>
      <c r="AF115" s="487">
        <f>H115*'4C2 Open-burning '!$C$10*'4C2 Open-burning '!$C$11*$C$5*H$15</f>
        <v>0</v>
      </c>
      <c r="AG115" s="487">
        <f>I115*'4C2 Open-burning '!$C$10*'4C2 Open-burning '!$C$11*$C$5*I$15</f>
        <v>2.3697069759422523E-2</v>
      </c>
      <c r="AH115" s="488">
        <f t="shared" si="10"/>
        <v>4.9064643190041744E-2</v>
      </c>
      <c r="AI115" s="1389"/>
      <c r="AJ115" s="1388"/>
      <c r="AK115" s="1389"/>
    </row>
    <row r="116" spans="1:37">
      <c r="A116" s="489">
        <f>'Input data'!A145</f>
        <v>2045</v>
      </c>
      <c r="B116" s="122">
        <f>'Recycling - Case 1'!AP125</f>
        <v>4.6006558773844769E-2</v>
      </c>
      <c r="C116" s="527">
        <f>$B116*'Recycling - Case 1'!BM125*'Recycling - Case 1'!$AK125</f>
        <v>245.85584065459548</v>
      </c>
      <c r="D116" s="528">
        <f>$B116*'Recycling - Case 1'!BN125*'Recycling - Case 1'!$AK125</f>
        <v>256.77312516372996</v>
      </c>
      <c r="E116" s="528">
        <f>$B116*'Recycling - Case 1'!BO125*'Recycling - Case 1'!$AK125</f>
        <v>70.132535516990401</v>
      </c>
      <c r="F116" s="528">
        <f>$B116*'Recycling - Case 1'!BP125*'Recycling - Case 1'!$AK125</f>
        <v>0</v>
      </c>
      <c r="G116" s="528">
        <f>$B116*'Recycling - Case 1'!BQ125*'Recycling - Case 1'!$AK125</f>
        <v>0</v>
      </c>
      <c r="H116" s="528">
        <f>$B116*'Recycling - Case 1'!BR125*'Recycling - Case 1'!$AK125</f>
        <v>0</v>
      </c>
      <c r="I116" s="528">
        <f>$B116*'Recycling - Case 1'!BS125*'Recycling - Case 1'!$AK125</f>
        <v>274.19411861274585</v>
      </c>
      <c r="J116" s="744">
        <f t="shared" si="11"/>
        <v>846.95561994806167</v>
      </c>
      <c r="K116" s="158">
        <f>'4C2 Open-burning '!C$14*'4C2 Open-burning '!$C$5*'4C2 Open-burning '!$C$6*'4C2 Open-burning '!$C$7*C116</f>
        <v>0</v>
      </c>
      <c r="L116" s="158">
        <f>'4C2 Open-burning '!D$14*'4C2 Open-burning '!$C$5*'4C2 Open-burning '!$C$6*'4C2 Open-burning '!$C$7*D116</f>
        <v>0</v>
      </c>
      <c r="M116" s="158">
        <f>'4C2 Open-burning '!E$14*'4C2 Open-burning '!$C$5*'4C2 Open-burning '!$C$6*'4C2 Open-burning '!$C$7*E116</f>
        <v>0.37048493742347416</v>
      </c>
      <c r="N116" s="158">
        <f>'4C2 Open-burning '!F$14*'4C2 Open-burning '!$C$5*'4C2 Open-burning '!$C$6*'4C2 Open-burning '!$C$7*F116</f>
        <v>0</v>
      </c>
      <c r="O116" s="158">
        <f>'4C2 Open-burning '!G$14*'4C2 Open-burning '!$C$5*'4C2 Open-burning '!$C$6*'4C2 Open-burning '!$C$7*G116</f>
        <v>0</v>
      </c>
      <c r="P116" s="158">
        <f>'4C2 Open-burning '!H$14*'4C2 Open-burning '!$C$5*'4C2 Open-burning '!$C$6*'4C2 Open-burning '!$C$7*H116</f>
        <v>0</v>
      </c>
      <c r="Q116" s="158">
        <f>'4C2 Open-burning '!I$14*'4C2 Open-burning '!$C$5*'4C2 Open-burning '!$C$6*'4C2 Open-burning '!$C$7*I116</f>
        <v>9.4465357744463194</v>
      </c>
      <c r="R116" s="1380">
        <f t="shared" si="8"/>
        <v>9.8170207118697927</v>
      </c>
      <c r="S116" s="485">
        <f>C116*'4C2 Open-burning '!$C$9*'4C2 Open-burning '!$C$11*$C$5</f>
        <v>0.95883777855292229</v>
      </c>
      <c r="T116" s="485">
        <f>D116*'4C2 Open-burning '!$C$9*'4C2 Open-burning '!$C$11*$C$5</f>
        <v>1.0014151881385467</v>
      </c>
      <c r="U116" s="485">
        <f>E116*'4C2 Open-burning '!$C$9*'4C2 Open-burning '!$C$11*$C$5</f>
        <v>0.27351688851626255</v>
      </c>
      <c r="V116" s="485">
        <f>F116*'4C2 Open-burning '!$C$9*'4C2 Open-burning '!$C$11*$C$5</f>
        <v>0</v>
      </c>
      <c r="W116" s="485">
        <f>G116*'4C2 Open-burning '!$C$9*'4C2 Open-burning '!$C$11*$C$5</f>
        <v>0</v>
      </c>
      <c r="X116" s="485">
        <f>H116*'4C2 Open-burning '!$C$9*'4C2 Open-burning '!$C$11*$C$5</f>
        <v>0</v>
      </c>
      <c r="Y116" s="485">
        <f>I116*'4C2 Open-burning '!$C$9*'4C2 Open-burning '!$C$11*$C$5</f>
        <v>1.0693570625897086</v>
      </c>
      <c r="Z116" s="486">
        <f t="shared" si="9"/>
        <v>3.3031269177974401</v>
      </c>
      <c r="AA116" s="487">
        <f>C116*'4C2 Open-burning '!$C$10*'4C2 Open-burning '!$C$11*$C$5*C$15</f>
        <v>8.8508102635654375E-3</v>
      </c>
      <c r="AB116" s="487">
        <f>D116*'4C2 Open-burning '!$C$10*'4C2 Open-burning '!$C$11*$C$5*D$15</f>
        <v>9.2438325058942766E-3</v>
      </c>
      <c r="AC116" s="487">
        <f>E116*'4C2 Open-burning '!$C$10*'4C2 Open-burning '!$C$11*$C$5*E$15</f>
        <v>5.6807353768762222E-3</v>
      </c>
      <c r="AD116" s="487">
        <f>F116*'4C2 Open-burning '!$C$10*'4C2 Open-burning '!$C$11*$C$5*F$15</f>
        <v>0</v>
      </c>
      <c r="AE116" s="487">
        <f>G116*'4C2 Open-burning '!$C$10*'4C2 Open-burning '!$C$11*$C$5*G$15</f>
        <v>0</v>
      </c>
      <c r="AF116" s="487">
        <f>H116*'4C2 Open-burning '!$C$10*'4C2 Open-burning '!$C$11*$C$5*H$15</f>
        <v>0</v>
      </c>
      <c r="AG116" s="487">
        <f>I116*'4C2 Open-burning '!$C$10*'4C2 Open-burning '!$C$11*$C$5*I$15</f>
        <v>2.2209723607632414E-2</v>
      </c>
      <c r="AH116" s="488">
        <f t="shared" si="10"/>
        <v>4.5985101753968347E-2</v>
      </c>
      <c r="AI116" s="1389"/>
      <c r="AJ116" s="1388"/>
      <c r="AK116" s="1389"/>
    </row>
    <row r="117" spans="1:37">
      <c r="A117" s="489">
        <f>'Input data'!A146</f>
        <v>2046</v>
      </c>
      <c r="B117" s="122">
        <f>'Recycling - Case 1'!AP126</f>
        <v>4.3371987398720752E-2</v>
      </c>
      <c r="C117" s="527">
        <f>$B117*'Recycling - Case 1'!BM126*'Recycling - Case 1'!$AK126</f>
        <v>229.51378542235705</v>
      </c>
      <c r="D117" s="528">
        <f>$B117*'Recycling - Case 1'!BN126*'Recycling - Case 1'!$AK126</f>
        <v>239.70539725290348</v>
      </c>
      <c r="E117" s="528">
        <f>$B117*'Recycling - Case 1'!BO126*'Recycling - Case 1'!$AK126</f>
        <v>65.470820888027163</v>
      </c>
      <c r="F117" s="528">
        <f>$B117*'Recycling - Case 1'!BP126*'Recycling - Case 1'!$AK126</f>
        <v>0</v>
      </c>
      <c r="G117" s="528">
        <f>$B117*'Recycling - Case 1'!BQ126*'Recycling - Case 1'!$AK126</f>
        <v>0</v>
      </c>
      <c r="H117" s="528">
        <f>$B117*'Recycling - Case 1'!BR126*'Recycling - Case 1'!$AK126</f>
        <v>0</v>
      </c>
      <c r="I117" s="528">
        <f>$B117*'Recycling - Case 1'!BS126*'Recycling - Case 1'!$AK126</f>
        <v>255.96841602705999</v>
      </c>
      <c r="J117" s="744">
        <f t="shared" si="11"/>
        <v>790.65841959034776</v>
      </c>
      <c r="K117" s="158">
        <f>'4C2 Open-burning '!C$14*'4C2 Open-burning '!$C$5*'4C2 Open-burning '!$C$6*'4C2 Open-burning '!$C$7*C117</f>
        <v>0</v>
      </c>
      <c r="L117" s="158">
        <f>'4C2 Open-burning '!D$14*'4C2 Open-burning '!$C$5*'4C2 Open-burning '!$C$6*'4C2 Open-burning '!$C$7*D117</f>
        <v>0</v>
      </c>
      <c r="M117" s="158">
        <f>'4C2 Open-burning '!E$14*'4C2 Open-burning '!$C$5*'4C2 Open-burning '!$C$6*'4C2 Open-burning '!$C$7*E117</f>
        <v>0.34585877725592779</v>
      </c>
      <c r="N117" s="158">
        <f>'4C2 Open-burning '!F$14*'4C2 Open-burning '!$C$5*'4C2 Open-burning '!$C$6*'4C2 Open-burning '!$C$7*F117</f>
        <v>0</v>
      </c>
      <c r="O117" s="158">
        <f>'4C2 Open-burning '!G$14*'4C2 Open-burning '!$C$5*'4C2 Open-burning '!$C$6*'4C2 Open-burning '!$C$7*G117</f>
        <v>0</v>
      </c>
      <c r="P117" s="158">
        <f>'4C2 Open-burning '!H$14*'4C2 Open-burning '!$C$5*'4C2 Open-burning '!$C$6*'4C2 Open-burning '!$C$7*H117</f>
        <v>0</v>
      </c>
      <c r="Q117" s="158">
        <f>'4C2 Open-burning '!I$14*'4C2 Open-burning '!$C$5*'4C2 Open-burning '!$C$6*'4C2 Open-burning '!$C$7*I117</f>
        <v>8.81862386896427</v>
      </c>
      <c r="R117" s="1380">
        <f t="shared" si="8"/>
        <v>9.1644826462201969</v>
      </c>
      <c r="S117" s="485">
        <f>C117*'4C2 Open-burning '!$C$9*'4C2 Open-burning '!$C$11*$C$5</f>
        <v>0.89510376314719242</v>
      </c>
      <c r="T117" s="485">
        <f>D117*'4C2 Open-burning '!$C$9*'4C2 Open-burning '!$C$11*$C$5</f>
        <v>0.93485104928632345</v>
      </c>
      <c r="U117" s="485">
        <f>E117*'4C2 Open-burning '!$C$9*'4C2 Open-burning '!$C$11*$C$5</f>
        <v>0.25533620146330593</v>
      </c>
      <c r="V117" s="485">
        <f>F117*'4C2 Open-burning '!$C$9*'4C2 Open-burning '!$C$11*$C$5</f>
        <v>0</v>
      </c>
      <c r="W117" s="485">
        <f>G117*'4C2 Open-burning '!$C$9*'4C2 Open-burning '!$C$11*$C$5</f>
        <v>0</v>
      </c>
      <c r="X117" s="485">
        <f>H117*'4C2 Open-burning '!$C$9*'4C2 Open-burning '!$C$11*$C$5</f>
        <v>0</v>
      </c>
      <c r="Y117" s="485">
        <f>I117*'4C2 Open-burning '!$C$9*'4C2 Open-burning '!$C$11*$C$5</f>
        <v>0.99827682250553385</v>
      </c>
      <c r="Z117" s="486">
        <f t="shared" si="9"/>
        <v>3.0835678364023558</v>
      </c>
      <c r="AA117" s="487">
        <f>C117*'4C2 Open-burning '!$C$10*'4C2 Open-burning '!$C$11*$C$5*C$15</f>
        <v>8.2624962752048513E-3</v>
      </c>
      <c r="AB117" s="487">
        <f>D117*'4C2 Open-burning '!$C$10*'4C2 Open-burning '!$C$11*$C$5*D$15</f>
        <v>8.629394301104527E-3</v>
      </c>
      <c r="AC117" s="487">
        <f>E117*'4C2 Open-burning '!$C$10*'4C2 Open-burning '!$C$11*$C$5*E$15</f>
        <v>5.3031364919302005E-3</v>
      </c>
      <c r="AD117" s="487">
        <f>F117*'4C2 Open-burning '!$C$10*'4C2 Open-burning '!$C$11*$C$5*F$15</f>
        <v>0</v>
      </c>
      <c r="AE117" s="487">
        <f>G117*'4C2 Open-burning '!$C$10*'4C2 Open-burning '!$C$11*$C$5*G$15</f>
        <v>0</v>
      </c>
      <c r="AF117" s="487">
        <f>H117*'4C2 Open-burning '!$C$10*'4C2 Open-burning '!$C$11*$C$5*H$15</f>
        <v>0</v>
      </c>
      <c r="AG117" s="487">
        <f>I117*'4C2 Open-burning '!$C$10*'4C2 Open-burning '!$C$11*$C$5*I$15</f>
        <v>2.073344169819186E-2</v>
      </c>
      <c r="AH117" s="488">
        <f t="shared" si="10"/>
        <v>4.2928468766431443E-2</v>
      </c>
      <c r="AI117" s="1389"/>
      <c r="AJ117" s="1388"/>
      <c r="AK117" s="1389"/>
    </row>
    <row r="118" spans="1:37">
      <c r="A118" s="489">
        <f>'Input data'!A147</f>
        <v>2047</v>
      </c>
      <c r="B118" s="122">
        <f>'Recycling - Case 1'!AP127</f>
        <v>4.0692713706057433E-2</v>
      </c>
      <c r="C118" s="527">
        <f>$B118*'Recycling - Case 1'!BM127*'Recycling - Case 1'!$AK127</f>
        <v>213.21692001177161</v>
      </c>
      <c r="D118" s="528">
        <f>$B118*'Recycling - Case 1'!BN127*'Recycling - Case 1'!$AK127</f>
        <v>222.68486582803615</v>
      </c>
      <c r="E118" s="528">
        <f>$B118*'Recycling - Case 1'!BO127*'Recycling - Case 1'!$AK127</f>
        <v>60.821997052154906</v>
      </c>
      <c r="F118" s="528">
        <f>$B118*'Recycling - Case 1'!BP127*'Recycling - Case 1'!$AK127</f>
        <v>0</v>
      </c>
      <c r="G118" s="528">
        <f>$B118*'Recycling - Case 1'!BQ127*'Recycling - Case 1'!$AK127</f>
        <v>0</v>
      </c>
      <c r="H118" s="528">
        <f>$B118*'Recycling - Case 1'!BR127*'Recycling - Case 1'!$AK127</f>
        <v>0</v>
      </c>
      <c r="I118" s="528">
        <f>$B118*'Recycling - Case 1'!BS127*'Recycling - Case 1'!$AK127</f>
        <v>237.79311201350251</v>
      </c>
      <c r="J118" s="744">
        <f t="shared" si="11"/>
        <v>734.51689490546516</v>
      </c>
      <c r="K118" s="158">
        <f>'4C2 Open-burning '!C$14*'4C2 Open-burning '!$C$5*'4C2 Open-burning '!$C$6*'4C2 Open-burning '!$C$7*C118</f>
        <v>0</v>
      </c>
      <c r="L118" s="158">
        <f>'4C2 Open-burning '!D$14*'4C2 Open-burning '!$C$5*'4C2 Open-burning '!$C$6*'4C2 Open-burning '!$C$7*D118</f>
        <v>0</v>
      </c>
      <c r="M118" s="158">
        <f>'4C2 Open-burning '!E$14*'4C2 Open-burning '!$C$5*'4C2 Open-burning '!$C$6*'4C2 Open-burning '!$C$7*E118</f>
        <v>0.32130071450759556</v>
      </c>
      <c r="N118" s="158">
        <f>'4C2 Open-burning '!F$14*'4C2 Open-burning '!$C$5*'4C2 Open-burning '!$C$6*'4C2 Open-burning '!$C$7*F118</f>
        <v>0</v>
      </c>
      <c r="O118" s="158">
        <f>'4C2 Open-burning '!G$14*'4C2 Open-burning '!$C$5*'4C2 Open-burning '!$C$6*'4C2 Open-burning '!$C$7*G118</f>
        <v>0</v>
      </c>
      <c r="P118" s="158">
        <f>'4C2 Open-burning '!H$14*'4C2 Open-burning '!$C$5*'4C2 Open-burning '!$C$6*'4C2 Open-burning '!$C$7*H118</f>
        <v>0</v>
      </c>
      <c r="Q118" s="158">
        <f>'4C2 Open-burning '!I$14*'4C2 Open-burning '!$C$5*'4C2 Open-burning '!$C$6*'4C2 Open-burning '!$C$7*I118</f>
        <v>8.1924482950891875</v>
      </c>
      <c r="R118" s="1380">
        <f t="shared" si="8"/>
        <v>8.5137490095967827</v>
      </c>
      <c r="S118" s="485">
        <f>C118*'4C2 Open-burning '!$C$9*'4C2 Open-burning '!$C$11*$C$5</f>
        <v>0.83154598804590918</v>
      </c>
      <c r="T118" s="485">
        <f>D118*'4C2 Open-burning '!$C$9*'4C2 Open-burning '!$C$11*$C$5</f>
        <v>0.86847097672934093</v>
      </c>
      <c r="U118" s="485">
        <f>E118*'4C2 Open-burning '!$C$9*'4C2 Open-burning '!$C$11*$C$5</f>
        <v>0.23720578850340412</v>
      </c>
      <c r="V118" s="485">
        <f>F118*'4C2 Open-burning '!$C$9*'4C2 Open-burning '!$C$11*$C$5</f>
        <v>0</v>
      </c>
      <c r="W118" s="485">
        <f>G118*'4C2 Open-burning '!$C$9*'4C2 Open-burning '!$C$11*$C$5</f>
        <v>0</v>
      </c>
      <c r="X118" s="485">
        <f>H118*'4C2 Open-burning '!$C$9*'4C2 Open-burning '!$C$11*$C$5</f>
        <v>0</v>
      </c>
      <c r="Y118" s="485">
        <f>I118*'4C2 Open-burning '!$C$9*'4C2 Open-burning '!$C$11*$C$5</f>
        <v>0.92739313685265967</v>
      </c>
      <c r="Z118" s="486">
        <f t="shared" si="9"/>
        <v>2.8646158901313141</v>
      </c>
      <c r="AA118" s="487">
        <f>C118*'4C2 Open-burning '!$C$10*'4C2 Open-burning '!$C$11*$C$5*C$15</f>
        <v>7.6758091204237773E-3</v>
      </c>
      <c r="AB118" s="487">
        <f>D118*'4C2 Open-burning '!$C$10*'4C2 Open-burning '!$C$11*$C$5*D$15</f>
        <v>8.0166551698093013E-3</v>
      </c>
      <c r="AC118" s="487">
        <f>E118*'4C2 Open-burning '!$C$10*'4C2 Open-burning '!$C$11*$C$5*E$15</f>
        <v>4.926581761224548E-3</v>
      </c>
      <c r="AD118" s="487">
        <f>F118*'4C2 Open-burning '!$C$10*'4C2 Open-burning '!$C$11*$C$5*F$15</f>
        <v>0</v>
      </c>
      <c r="AE118" s="487">
        <f>G118*'4C2 Open-burning '!$C$10*'4C2 Open-burning '!$C$11*$C$5*G$15</f>
        <v>0</v>
      </c>
      <c r="AF118" s="487">
        <f>H118*'4C2 Open-burning '!$C$10*'4C2 Open-burning '!$C$11*$C$5*H$15</f>
        <v>0</v>
      </c>
      <c r="AG118" s="487">
        <f>I118*'4C2 Open-burning '!$C$10*'4C2 Open-burning '!$C$11*$C$5*I$15</f>
        <v>1.9261242073093703E-2</v>
      </c>
      <c r="AH118" s="488">
        <f t="shared" si="10"/>
        <v>3.9880288124551327E-2</v>
      </c>
      <c r="AI118" s="1389"/>
      <c r="AJ118" s="1388"/>
      <c r="AK118" s="1389"/>
    </row>
    <row r="119" spans="1:37">
      <c r="A119" s="489">
        <f>'Input data'!A148</f>
        <v>2048</v>
      </c>
      <c r="B119" s="122">
        <f>'Recycling - Case 1'!AP128</f>
        <v>4.0541889772564364E-2</v>
      </c>
      <c r="C119" s="527">
        <f>$B119*'Recycling - Case 1'!BM128*'Recycling - Case 1'!$AK128</f>
        <v>212.93483836537837</v>
      </c>
      <c r="D119" s="528">
        <f>$B119*'Recycling - Case 1'!BN128*'Recycling - Case 1'!$AK128</f>
        <v>222.39025828199263</v>
      </c>
      <c r="E119" s="528">
        <f>$B119*'Recycling - Case 1'!BO128*'Recycling - Case 1'!$AK128</f>
        <v>60.741530787730646</v>
      </c>
      <c r="F119" s="528">
        <f>$B119*'Recycling - Case 1'!BP128*'Recycling - Case 1'!$AK128</f>
        <v>0</v>
      </c>
      <c r="G119" s="528">
        <f>$B119*'Recycling - Case 1'!BQ128*'Recycling - Case 1'!$AK128</f>
        <v>0</v>
      </c>
      <c r="H119" s="528">
        <f>$B119*'Recycling - Case 1'!BR128*'Recycling - Case 1'!$AK128</f>
        <v>0</v>
      </c>
      <c r="I119" s="528">
        <f>$B119*'Recycling - Case 1'!BS128*'Recycling - Case 1'!$AK128</f>
        <v>237.47851656519555</v>
      </c>
      <c r="J119" s="744">
        <f t="shared" si="11"/>
        <v>733.54514400029711</v>
      </c>
      <c r="K119" s="158">
        <f>'4C2 Open-burning '!C$14*'4C2 Open-burning '!$C$5*'4C2 Open-burning '!$C$6*'4C2 Open-burning '!$C$7*C119</f>
        <v>0</v>
      </c>
      <c r="L119" s="158">
        <f>'4C2 Open-burning '!D$14*'4C2 Open-burning '!$C$5*'4C2 Open-burning '!$C$6*'4C2 Open-burning '!$C$7*D119</f>
        <v>0</v>
      </c>
      <c r="M119" s="158">
        <f>'4C2 Open-burning '!E$14*'4C2 Open-burning '!$C$5*'4C2 Open-burning '!$C$6*'4C2 Open-burning '!$C$7*E119</f>
        <v>0.32087564020049741</v>
      </c>
      <c r="N119" s="158">
        <f>'4C2 Open-burning '!F$14*'4C2 Open-burning '!$C$5*'4C2 Open-burning '!$C$6*'4C2 Open-burning '!$C$7*F119</f>
        <v>0</v>
      </c>
      <c r="O119" s="158">
        <f>'4C2 Open-burning '!G$14*'4C2 Open-burning '!$C$5*'4C2 Open-burning '!$C$6*'4C2 Open-burning '!$C$7*G119</f>
        <v>0</v>
      </c>
      <c r="P119" s="158">
        <f>'4C2 Open-burning '!H$14*'4C2 Open-burning '!$C$5*'4C2 Open-burning '!$C$6*'4C2 Open-burning '!$C$7*H119</f>
        <v>0</v>
      </c>
      <c r="Q119" s="158">
        <f>'4C2 Open-burning '!I$14*'4C2 Open-burning '!$C$5*'4C2 Open-burning '!$C$6*'4C2 Open-burning '!$C$7*I119</f>
        <v>8.181609852704117</v>
      </c>
      <c r="R119" s="1380">
        <f t="shared" si="8"/>
        <v>8.502485492904615</v>
      </c>
      <c r="S119" s="485">
        <f>C119*'4C2 Open-burning '!$C$9*'4C2 Open-burning '!$C$11*$C$5</f>
        <v>0.83044586962497557</v>
      </c>
      <c r="T119" s="485">
        <f>D119*'4C2 Open-burning '!$C$9*'4C2 Open-burning '!$C$11*$C$5</f>
        <v>0.86732200729977116</v>
      </c>
      <c r="U119" s="485">
        <f>E119*'4C2 Open-burning '!$C$9*'4C2 Open-burning '!$C$11*$C$5</f>
        <v>0.23689197007214949</v>
      </c>
      <c r="V119" s="485">
        <f>F119*'4C2 Open-burning '!$C$9*'4C2 Open-burning '!$C$11*$C$5</f>
        <v>0</v>
      </c>
      <c r="W119" s="485">
        <f>G119*'4C2 Open-burning '!$C$9*'4C2 Open-burning '!$C$11*$C$5</f>
        <v>0</v>
      </c>
      <c r="X119" s="485">
        <f>H119*'4C2 Open-burning '!$C$9*'4C2 Open-burning '!$C$11*$C$5</f>
        <v>0</v>
      </c>
      <c r="Y119" s="485">
        <f>I119*'4C2 Open-burning '!$C$9*'4C2 Open-burning '!$C$11*$C$5</f>
        <v>0.92616621460426252</v>
      </c>
      <c r="Z119" s="486">
        <f t="shared" si="9"/>
        <v>2.8608260616011587</v>
      </c>
      <c r="AA119" s="487">
        <f>C119*'4C2 Open-burning '!$C$10*'4C2 Open-burning '!$C$11*$C$5*C$15</f>
        <v>7.6656541811536208E-3</v>
      </c>
      <c r="AB119" s="487">
        <f>D119*'4C2 Open-burning '!$C$10*'4C2 Open-burning '!$C$11*$C$5*D$15</f>
        <v>8.0060492981517337E-3</v>
      </c>
      <c r="AC119" s="487">
        <f>E119*'4C2 Open-burning '!$C$10*'4C2 Open-burning '!$C$11*$C$5*E$15</f>
        <v>4.920063993806182E-3</v>
      </c>
      <c r="AD119" s="487">
        <f>F119*'4C2 Open-burning '!$C$10*'4C2 Open-burning '!$C$11*$C$5*F$15</f>
        <v>0</v>
      </c>
      <c r="AE119" s="487">
        <f>G119*'4C2 Open-burning '!$C$10*'4C2 Open-burning '!$C$11*$C$5*G$15</f>
        <v>0</v>
      </c>
      <c r="AF119" s="487">
        <f>H119*'4C2 Open-burning '!$C$10*'4C2 Open-burning '!$C$11*$C$5*H$15</f>
        <v>0</v>
      </c>
      <c r="AG119" s="487">
        <f>I119*'4C2 Open-burning '!$C$10*'4C2 Open-burning '!$C$11*$C$5*I$15</f>
        <v>1.9235759841780841E-2</v>
      </c>
      <c r="AH119" s="488">
        <f t="shared" si="10"/>
        <v>3.9827527314892378E-2</v>
      </c>
      <c r="AI119" s="1389"/>
      <c r="AJ119" s="1388"/>
      <c r="AK119" s="1389"/>
    </row>
    <row r="120" spans="1:37">
      <c r="A120" s="489">
        <f>'Input data'!A149</f>
        <v>2049</v>
      </c>
      <c r="B120" s="122">
        <f>'Recycling - Case 1'!AP129</f>
        <v>4.0391678023508841E-2</v>
      </c>
      <c r="C120" s="527">
        <f>$B120*'Recycling - Case 1'!BM129*'Recycling - Case 1'!$AK129</f>
        <v>212.65492911344788</v>
      </c>
      <c r="D120" s="528">
        <f>$B120*'Recycling - Case 1'!BN129*'Recycling - Case 1'!$AK129</f>
        <v>222.09791959608194</v>
      </c>
      <c r="E120" s="528">
        <f>$B120*'Recycling - Case 1'!BO129*'Recycling - Case 1'!$AK129</f>
        <v>60.661684217885963</v>
      </c>
      <c r="F120" s="528">
        <f>$B120*'Recycling - Case 1'!BP129*'Recycling - Case 1'!$AK129</f>
        <v>0</v>
      </c>
      <c r="G120" s="528">
        <f>$B120*'Recycling - Case 1'!BQ129*'Recycling - Case 1'!$AK129</f>
        <v>0</v>
      </c>
      <c r="H120" s="528">
        <f>$B120*'Recycling - Case 1'!BR129*'Recycling - Case 1'!$AK129</f>
        <v>0</v>
      </c>
      <c r="I120" s="528">
        <f>$B120*'Recycling - Case 1'!BS129*'Recycling - Case 1'!$AK129</f>
        <v>237.16634390978786</v>
      </c>
      <c r="J120" s="744">
        <f t="shared" si="11"/>
        <v>732.58087683720362</v>
      </c>
      <c r="K120" s="158">
        <f>'4C2 Open-burning '!C$14*'4C2 Open-burning '!$C$5*'4C2 Open-burning '!$C$6*'4C2 Open-burning '!$C$7*C120</f>
        <v>0</v>
      </c>
      <c r="L120" s="158">
        <f>'4C2 Open-burning '!D$14*'4C2 Open-burning '!$C$5*'4C2 Open-burning '!$C$6*'4C2 Open-burning '!$C$7*D120</f>
        <v>0</v>
      </c>
      <c r="M120" s="158">
        <f>'4C2 Open-burning '!E$14*'4C2 Open-burning '!$C$5*'4C2 Open-burning '!$C$6*'4C2 Open-burning '!$C$7*E120</f>
        <v>0.32045383951677309</v>
      </c>
      <c r="N120" s="158">
        <f>'4C2 Open-burning '!F$14*'4C2 Open-burning '!$C$5*'4C2 Open-burning '!$C$6*'4C2 Open-burning '!$C$7*F120</f>
        <v>0</v>
      </c>
      <c r="O120" s="158">
        <f>'4C2 Open-burning '!G$14*'4C2 Open-burning '!$C$5*'4C2 Open-burning '!$C$6*'4C2 Open-burning '!$C$7*G120</f>
        <v>0</v>
      </c>
      <c r="P120" s="158">
        <f>'4C2 Open-burning '!H$14*'4C2 Open-burning '!$C$5*'4C2 Open-burning '!$C$6*'4C2 Open-burning '!$C$7*H120</f>
        <v>0</v>
      </c>
      <c r="Q120" s="158">
        <f>'4C2 Open-burning '!I$14*'4C2 Open-burning '!$C$5*'4C2 Open-burning '!$C$6*'4C2 Open-burning '!$C$7*I120</f>
        <v>8.170854880380011</v>
      </c>
      <c r="R120" s="1380">
        <f t="shared" si="8"/>
        <v>8.491308719896784</v>
      </c>
      <c r="S120" s="485">
        <f>C120*'4C2 Open-burning '!$C$9*'4C2 Open-burning '!$C$11*$C$5</f>
        <v>0.8293542235424467</v>
      </c>
      <c r="T120" s="485">
        <f>D120*'4C2 Open-burning '!$C$9*'4C2 Open-burning '!$C$11*$C$5</f>
        <v>0.86618188642471949</v>
      </c>
      <c r="U120" s="485">
        <f>E120*'4C2 Open-burning '!$C$9*'4C2 Open-burning '!$C$11*$C$5</f>
        <v>0.23658056844975522</v>
      </c>
      <c r="V120" s="485">
        <f>F120*'4C2 Open-burning '!$C$9*'4C2 Open-burning '!$C$11*$C$5</f>
        <v>0</v>
      </c>
      <c r="W120" s="485">
        <f>G120*'4C2 Open-burning '!$C$9*'4C2 Open-burning '!$C$11*$C$5</f>
        <v>0</v>
      </c>
      <c r="X120" s="485">
        <f>H120*'4C2 Open-burning '!$C$9*'4C2 Open-burning '!$C$11*$C$5</f>
        <v>0</v>
      </c>
      <c r="Y120" s="485">
        <f>I120*'4C2 Open-burning '!$C$9*'4C2 Open-burning '!$C$11*$C$5</f>
        <v>0.9249487412481725</v>
      </c>
      <c r="Z120" s="486">
        <f t="shared" si="9"/>
        <v>2.8570654196650942</v>
      </c>
      <c r="AA120" s="487">
        <f>C120*'4C2 Open-burning '!$C$10*'4C2 Open-burning '!$C$11*$C$5*C$15</f>
        <v>7.6555774480841238E-3</v>
      </c>
      <c r="AB120" s="487">
        <f>D120*'4C2 Open-burning '!$C$10*'4C2 Open-burning '!$C$11*$C$5*D$15</f>
        <v>7.9955251054589487E-3</v>
      </c>
      <c r="AC120" s="487">
        <f>E120*'4C2 Open-burning '!$C$10*'4C2 Open-burning '!$C$11*$C$5*E$15</f>
        <v>4.913596421648762E-3</v>
      </c>
      <c r="AD120" s="487">
        <f>F120*'4C2 Open-burning '!$C$10*'4C2 Open-burning '!$C$11*$C$5*F$15</f>
        <v>0</v>
      </c>
      <c r="AE120" s="487">
        <f>G120*'4C2 Open-burning '!$C$10*'4C2 Open-burning '!$C$11*$C$5*G$15</f>
        <v>0</v>
      </c>
      <c r="AF120" s="487">
        <f>H120*'4C2 Open-burning '!$C$10*'4C2 Open-burning '!$C$11*$C$5*H$15</f>
        <v>0</v>
      </c>
      <c r="AG120" s="487">
        <f>I120*'4C2 Open-burning '!$C$10*'4C2 Open-burning '!$C$11*$C$5*I$15</f>
        <v>1.921047385669282E-2</v>
      </c>
      <c r="AH120" s="488">
        <f t="shared" si="10"/>
        <v>3.9775172831884656E-2</v>
      </c>
      <c r="AI120" s="1389"/>
      <c r="AJ120" s="1388"/>
      <c r="AK120" s="1389"/>
    </row>
    <row r="121" spans="1:37" ht="15.75" thickBot="1">
      <c r="A121" s="489">
        <f>'Input data'!A150</f>
        <v>2050</v>
      </c>
      <c r="B121" s="628">
        <f>'Recycling - Case 1'!AP130</f>
        <v>4.0242073404737747E-2</v>
      </c>
      <c r="C121" s="670">
        <f>$B121*'Recycling - Case 1'!BM130*'Recycling - Case 1'!$AK130</f>
        <v>212.37717084377385</v>
      </c>
      <c r="D121" s="667">
        <f>$B121*'Recycling - Case 1'!BN130*'Recycling - Case 1'!$AK130</f>
        <v>221.80782740728392</v>
      </c>
      <c r="E121" s="667">
        <f>$B121*'Recycling - Case 1'!BO130*'Recycling - Case 1'!$AK130</f>
        <v>60.58245123460118</v>
      </c>
      <c r="F121" s="667">
        <f>$B121*'Recycling - Case 1'!BP130*'Recycling - Case 1'!$AK130</f>
        <v>0</v>
      </c>
      <c r="G121" s="667">
        <f>$B121*'Recycling - Case 1'!BQ130*'Recycling - Case 1'!$AK130</f>
        <v>0</v>
      </c>
      <c r="H121" s="667">
        <f>$B121*'Recycling - Case 1'!BR130*'Recycling - Case 1'!$AK130</f>
        <v>0</v>
      </c>
      <c r="I121" s="667">
        <f>$B121*'Recycling - Case 1'!BS130*'Recycling - Case 1'!$AK130</f>
        <v>236.85657016702095</v>
      </c>
      <c r="J121" s="936">
        <f t="shared" si="11"/>
        <v>731.62401965267986</v>
      </c>
      <c r="K121" s="1372">
        <f>'4C2 Open-burning '!C$14*'4C2 Open-burning '!$C$5*'4C2 Open-burning '!$C$6*'4C2 Open-burning '!$C$7*C121</f>
        <v>0</v>
      </c>
      <c r="L121" s="1372">
        <f>'4C2 Open-burning '!D$14*'4C2 Open-burning '!$C$5*'4C2 Open-burning '!$C$6*'4C2 Open-burning '!$C$7*D121</f>
        <v>0</v>
      </c>
      <c r="M121" s="1372">
        <f>'4C2 Open-burning '!E$14*'4C2 Open-burning '!$C$5*'4C2 Open-burning '!$C$6*'4C2 Open-burning '!$C$7*E121</f>
        <v>0.32003528018995359</v>
      </c>
      <c r="N121" s="1372">
        <f>'4C2 Open-burning '!F$14*'4C2 Open-burning '!$C$5*'4C2 Open-burning '!$C$6*'4C2 Open-burning '!$C$7*F121</f>
        <v>0</v>
      </c>
      <c r="O121" s="1372">
        <f>'4C2 Open-burning '!G$14*'4C2 Open-burning '!$C$5*'4C2 Open-burning '!$C$6*'4C2 Open-burning '!$C$7*G121</f>
        <v>0</v>
      </c>
      <c r="P121" s="1372">
        <f>'4C2 Open-burning '!H$14*'4C2 Open-burning '!$C$5*'4C2 Open-burning '!$C$6*'4C2 Open-burning '!$C$7*H121</f>
        <v>0</v>
      </c>
      <c r="Q121" s="1372">
        <f>'4C2 Open-burning '!I$14*'4C2 Open-burning '!$C$5*'4C2 Open-burning '!$C$6*'4C2 Open-burning '!$C$7*I121</f>
        <v>8.1601825553942042</v>
      </c>
      <c r="R121" s="1381">
        <f t="shared" si="8"/>
        <v>8.480217835584158</v>
      </c>
      <c r="S121" s="485">
        <f>C121*'4C2 Open-burning '!$C$9*'4C2 Open-burning '!$C$11*$C$5</f>
        <v>0.82827096629071795</v>
      </c>
      <c r="T121" s="485">
        <f>D121*'4C2 Open-burning '!$C$9*'4C2 Open-burning '!$C$11*$C$5</f>
        <v>0.86505052688840722</v>
      </c>
      <c r="U121" s="485">
        <f>E121*'4C2 Open-burning '!$C$9*'4C2 Open-burning '!$C$11*$C$5</f>
        <v>0.23627155981494458</v>
      </c>
      <c r="V121" s="485">
        <f>F121*'4C2 Open-burning '!$C$9*'4C2 Open-burning '!$C$11*$C$5</f>
        <v>0</v>
      </c>
      <c r="W121" s="485">
        <f>G121*'4C2 Open-burning '!$C$9*'4C2 Open-burning '!$C$11*$C$5</f>
        <v>0</v>
      </c>
      <c r="X121" s="485">
        <f>H121*'4C2 Open-burning '!$C$9*'4C2 Open-burning '!$C$11*$C$5</f>
        <v>0</v>
      </c>
      <c r="Y121" s="485">
        <f>I121*'4C2 Open-burning '!$C$9*'4C2 Open-burning '!$C$11*$C$5</f>
        <v>0.92374062365138143</v>
      </c>
      <c r="Z121" s="486">
        <f t="shared" si="9"/>
        <v>2.8533336766454509</v>
      </c>
      <c r="AA121" s="487">
        <f>C121*'4C2 Open-burning '!$C$10*'4C2 Open-burning '!$C$11*$C$5*C$15</f>
        <v>7.6455781503758577E-3</v>
      </c>
      <c r="AB121" s="487">
        <f>D121*'4C2 Open-burning '!$C$10*'4C2 Open-burning '!$C$11*$C$5*D$15</f>
        <v>7.9850817866622213E-3</v>
      </c>
      <c r="AC121" s="487">
        <f>E121*'4C2 Open-burning '!$C$10*'4C2 Open-burning '!$C$11*$C$5*E$15</f>
        <v>4.9071785500026952E-3</v>
      </c>
      <c r="AD121" s="487">
        <f>F121*'4C2 Open-burning '!$C$10*'4C2 Open-burning '!$C$11*$C$5*F$15</f>
        <v>0</v>
      </c>
      <c r="AE121" s="487">
        <f>G121*'4C2 Open-burning '!$C$10*'4C2 Open-burning '!$C$11*$C$5*G$15</f>
        <v>0</v>
      </c>
      <c r="AF121" s="487">
        <f>H121*'4C2 Open-burning '!$C$10*'4C2 Open-burning '!$C$11*$C$5*H$15</f>
        <v>0</v>
      </c>
      <c r="AG121" s="487">
        <f>I121*'4C2 Open-burning '!$C$10*'4C2 Open-burning '!$C$11*$C$5*I$15</f>
        <v>1.9185382183528693E-2</v>
      </c>
      <c r="AH121" s="493">
        <f t="shared" si="10"/>
        <v>3.9723220670569465E-2</v>
      </c>
      <c r="AI121" s="1389"/>
      <c r="AJ121" s="1388"/>
      <c r="AK121" s="1389"/>
    </row>
    <row r="122" spans="1:37" ht="21.75" thickBot="1">
      <c r="A122" s="950" t="s">
        <v>621</v>
      </c>
      <c r="B122" s="797"/>
      <c r="C122" s="528"/>
      <c r="D122" s="938"/>
      <c r="E122" s="938"/>
      <c r="F122" s="938"/>
      <c r="G122" s="938"/>
      <c r="H122" s="938"/>
      <c r="I122" s="938"/>
      <c r="J122" s="939"/>
      <c r="K122" s="1372"/>
      <c r="L122" s="1372"/>
      <c r="M122" s="1372"/>
      <c r="N122" s="1372"/>
      <c r="O122" s="1372"/>
      <c r="P122" s="1372"/>
      <c r="Q122" s="1372"/>
      <c r="R122" s="1373"/>
      <c r="S122" s="944"/>
      <c r="T122" s="944"/>
      <c r="U122" s="944"/>
      <c r="V122" s="944"/>
      <c r="W122" s="944"/>
      <c r="X122" s="944"/>
      <c r="Y122" s="944"/>
      <c r="Z122" s="945"/>
      <c r="AA122" s="946"/>
      <c r="AB122" s="946"/>
      <c r="AC122" s="946"/>
      <c r="AD122" s="946"/>
      <c r="AE122" s="946"/>
      <c r="AF122" s="946"/>
      <c r="AG122" s="946"/>
      <c r="AH122" s="947"/>
      <c r="AI122" s="1389"/>
      <c r="AJ122" s="1388"/>
      <c r="AK122" s="1389"/>
    </row>
    <row r="123" spans="1:37">
      <c r="A123" s="157">
        <f>'Input data'!A118</f>
        <v>2018</v>
      </c>
      <c r="B123" s="417">
        <f>'Recycling - Case 2'!AP98</f>
        <v>0.11929747585785701</v>
      </c>
      <c r="C123" s="956">
        <f>'Recycling - Case 2'!$AK98*'Recycling - Case 2'!BM98*'4C2 Open-burning '!$B123</f>
        <v>824.36909931569244</v>
      </c>
      <c r="D123" s="957">
        <f>'Recycling - Case 2'!$AK98*'Recycling - Case 2'!BN98*'4C2 Open-burning '!$B123</f>
        <v>860.97539662311488</v>
      </c>
      <c r="E123" s="957">
        <f>'Recycling - Case 2'!$AK98*'Recycling - Case 2'!BO98*'4C2 Open-burning '!$B123</f>
        <v>235.15851802801794</v>
      </c>
      <c r="F123" s="957">
        <f>'Recycling - Case 2'!$AK98*'Recycling - Case 2'!BP98*'4C2 Open-burning '!$B123</f>
        <v>0</v>
      </c>
      <c r="G123" s="957">
        <f>'Recycling - Case 2'!$AK98*'Recycling - Case 2'!BQ98*'4C2 Open-burning '!$B123</f>
        <v>0</v>
      </c>
      <c r="H123" s="957">
        <f>'Recycling - Case 2'!$AK98*'Recycling - Case 2'!BR98*'4C2 Open-burning '!$B123</f>
        <v>0</v>
      </c>
      <c r="I123" s="957">
        <f>'Recycling - Case 2'!$AK98*'Recycling - Case 2'!BS98*'4C2 Open-burning '!$B123</f>
        <v>919.38901266946345</v>
      </c>
      <c r="J123" s="958">
        <f>SUM(C123:I123)</f>
        <v>2839.8920266362884</v>
      </c>
      <c r="K123" s="1382">
        <f>'4C2 Open-burning '!C$14*'4C2 Open-burning '!$C$5*'4C2 Open-burning '!$C$6*'4C2 Open-burning '!$C$7*C123</f>
        <v>0</v>
      </c>
      <c r="L123" s="1382">
        <f>'4C2 Open-burning '!D$14*'4C2 Open-burning '!$C$5*'4C2 Open-burning '!$C$6*'4C2 Open-burning '!$C$7*D123</f>
        <v>0</v>
      </c>
      <c r="M123" s="1382">
        <f>'4C2 Open-burning '!E$14*'4C2 Open-burning '!$C$5*'4C2 Open-burning '!$C$6*'4C2 Open-burning '!$C$7*E123</f>
        <v>1.2422577936755286</v>
      </c>
      <c r="N123" s="1382">
        <f>'4C2 Open-burning '!F$14*'4C2 Open-burning '!$C$5*'4C2 Open-burning '!$C$6*'4C2 Open-burning '!$C$7*F123</f>
        <v>0</v>
      </c>
      <c r="O123" s="1382">
        <f>'4C2 Open-burning '!G$14*'4C2 Open-burning '!$C$5*'4C2 Open-burning '!$C$6*'4C2 Open-burning '!$C$7*G123</f>
        <v>0</v>
      </c>
      <c r="P123" s="1382">
        <f>'4C2 Open-burning '!H$14*'4C2 Open-burning '!$C$5*'4C2 Open-burning '!$C$6*'4C2 Open-burning '!$C$7*H123</f>
        <v>0</v>
      </c>
      <c r="Q123" s="1382">
        <f>'4C2 Open-burning '!I$14*'4C2 Open-burning '!$C$5*'4C2 Open-burning '!$C$6*'4C2 Open-burning '!$C$7*I123</f>
        <v>31.674790264488351</v>
      </c>
      <c r="R123" s="1383">
        <f t="shared" si="8"/>
        <v>32.917048058163878</v>
      </c>
      <c r="S123" s="485">
        <f>C123*'4C2 Open-burning '!$C$9*'4C2 Open-burning '!$C$11*$C$5</f>
        <v>3.2150394873312007</v>
      </c>
      <c r="T123" s="485">
        <f>D123*'4C2 Open-burning '!$C$9*'4C2 Open-burning '!$C$11*$C$5</f>
        <v>3.3578040468301475</v>
      </c>
      <c r="U123" s="485">
        <f>E123*'4C2 Open-burning '!$C$9*'4C2 Open-burning '!$C$11*$C$5</f>
        <v>0.91711822030926982</v>
      </c>
      <c r="V123" s="485">
        <f>F123*'4C2 Open-burning '!$C$9*'4C2 Open-burning '!$C$11*$C$5</f>
        <v>0</v>
      </c>
      <c r="W123" s="485">
        <f>G123*'4C2 Open-burning '!$C$9*'4C2 Open-burning '!$C$11*$C$5</f>
        <v>0</v>
      </c>
      <c r="X123" s="485">
        <f>H123*'4C2 Open-burning '!$C$9*'4C2 Open-burning '!$C$11*$C$5</f>
        <v>0</v>
      </c>
      <c r="Y123" s="485">
        <f>I123*'4C2 Open-burning '!$C$9*'4C2 Open-burning '!$C$11*$C$5</f>
        <v>3.5856171494109073</v>
      </c>
      <c r="Z123" s="486">
        <f t="shared" si="9"/>
        <v>11.075578903881526</v>
      </c>
      <c r="AA123" s="487">
        <f>C123*'4C2 Open-burning '!$C$10*'4C2 Open-burning '!$C$11*$C$5*C$15</f>
        <v>2.9677287575364926E-2</v>
      </c>
      <c r="AB123" s="487">
        <f>D123*'4C2 Open-burning '!$C$10*'4C2 Open-burning '!$C$11*$C$5*D$15</f>
        <v>3.0995114278432136E-2</v>
      </c>
      <c r="AC123" s="487">
        <f>E123*'4C2 Open-burning '!$C$10*'4C2 Open-burning '!$C$11*$C$5*E$15</f>
        <v>1.9047839960269455E-2</v>
      </c>
      <c r="AD123" s="487">
        <f>F123*'4C2 Open-burning '!$C$10*'4C2 Open-burning '!$C$11*$C$5*F$15</f>
        <v>0</v>
      </c>
      <c r="AE123" s="487">
        <f>G123*'4C2 Open-burning '!$C$10*'4C2 Open-burning '!$C$11*$C$5*G$15</f>
        <v>0</v>
      </c>
      <c r="AF123" s="487">
        <f>H123*'4C2 Open-burning '!$C$10*'4C2 Open-burning '!$C$11*$C$5*H$15</f>
        <v>0</v>
      </c>
      <c r="AG123" s="487">
        <f>I123*'4C2 Open-burning '!$C$10*'4C2 Open-burning '!$C$11*$C$5*I$15</f>
        <v>7.4470510026226525E-2</v>
      </c>
      <c r="AH123" s="937">
        <f t="shared" si="10"/>
        <v>0.15419075184029304</v>
      </c>
      <c r="AI123" s="1389"/>
      <c r="AJ123" s="1388"/>
      <c r="AK123" s="1389"/>
    </row>
    <row r="124" spans="1:37">
      <c r="A124" s="157">
        <f>'Input data'!A119</f>
        <v>2019</v>
      </c>
      <c r="B124" s="417">
        <f>'Recycling - Case 2'!AP99</f>
        <v>0.11764988013805638</v>
      </c>
      <c r="C124" s="527">
        <f>'Recycling - Case 2'!$AK99*'Recycling - Case 2'!BM99*'4C2 Open-burning '!$B124</f>
        <v>809.92524865024029</v>
      </c>
      <c r="D124" s="528">
        <f>'Recycling - Case 2'!$AK99*'Recycling - Case 2'!BN99*'4C2 Open-burning '!$B124</f>
        <v>845.8901634844932</v>
      </c>
      <c r="E124" s="528">
        <f>'Recycling - Case 2'!$AK99*'Recycling - Case 2'!BO99*'4C2 Open-burning '!$B124</f>
        <v>231.03828290527346</v>
      </c>
      <c r="F124" s="528">
        <f>'Recycling - Case 2'!$AK99*'Recycling - Case 2'!BP99*'4C2 Open-burning '!$B124</f>
        <v>0</v>
      </c>
      <c r="G124" s="528">
        <f>'Recycling - Case 2'!$AK99*'Recycling - Case 2'!BQ99*'4C2 Open-burning '!$B124</f>
        <v>0</v>
      </c>
      <c r="H124" s="528">
        <f>'Recycling - Case 2'!$AK99*'Recycling - Case 2'!BR99*'4C2 Open-burning '!$B124</f>
        <v>0</v>
      </c>
      <c r="I124" s="528">
        <f>'Recycling - Case 2'!$AK99*'Recycling - Case 2'!BS99*'4C2 Open-burning '!$B124</f>
        <v>903.28030891834203</v>
      </c>
      <c r="J124" s="744">
        <f t="shared" ref="J124:J155" si="12">SUM(C124:I124)</f>
        <v>2790.1340039583488</v>
      </c>
      <c r="K124" s="106">
        <f>'4C2 Open-burning '!C$14*'4C2 Open-burning '!$C$5*'4C2 Open-burning '!$C$6*'4C2 Open-burning '!$C$7*C124</f>
        <v>0</v>
      </c>
      <c r="L124" s="106">
        <f>'4C2 Open-burning '!D$14*'4C2 Open-burning '!$C$5*'4C2 Open-burning '!$C$6*'4C2 Open-burning '!$C$7*D124</f>
        <v>0</v>
      </c>
      <c r="M124" s="106">
        <f>'4C2 Open-burning '!E$14*'4C2 Open-burning '!$C$5*'4C2 Open-burning '!$C$6*'4C2 Open-burning '!$C$7*E124</f>
        <v>1.2204920748067138</v>
      </c>
      <c r="N124" s="106">
        <f>'4C2 Open-burning '!F$14*'4C2 Open-burning '!$C$5*'4C2 Open-burning '!$C$6*'4C2 Open-burning '!$C$7*F124</f>
        <v>0</v>
      </c>
      <c r="O124" s="106">
        <f>'4C2 Open-burning '!G$14*'4C2 Open-burning '!$C$5*'4C2 Open-burning '!$C$6*'4C2 Open-burning '!$C$7*G124</f>
        <v>0</v>
      </c>
      <c r="P124" s="106">
        <f>'4C2 Open-burning '!H$14*'4C2 Open-burning '!$C$5*'4C2 Open-burning '!$C$6*'4C2 Open-burning '!$C$7*H124</f>
        <v>0</v>
      </c>
      <c r="Q124" s="106">
        <f>'4C2 Open-burning '!I$14*'4C2 Open-burning '!$C$5*'4C2 Open-burning '!$C$6*'4C2 Open-burning '!$C$7*I124</f>
        <v>31.119813202854715</v>
      </c>
      <c r="R124" s="1384">
        <f t="shared" si="8"/>
        <v>32.340305277661429</v>
      </c>
      <c r="S124" s="485">
        <f>C124*'4C2 Open-burning '!$C$9*'4C2 Open-burning '!$C$11*$C$5</f>
        <v>3.1587084697359371</v>
      </c>
      <c r="T124" s="485">
        <f>D124*'4C2 Open-burning '!$C$9*'4C2 Open-burning '!$C$11*$C$5</f>
        <v>3.2989716375895237</v>
      </c>
      <c r="U124" s="485">
        <f>E124*'4C2 Open-burning '!$C$9*'4C2 Open-burning '!$C$11*$C$5</f>
        <v>0.90104930333056643</v>
      </c>
      <c r="V124" s="485">
        <f>F124*'4C2 Open-burning '!$C$9*'4C2 Open-burning '!$C$11*$C$5</f>
        <v>0</v>
      </c>
      <c r="W124" s="485">
        <f>G124*'4C2 Open-burning '!$C$9*'4C2 Open-burning '!$C$11*$C$5</f>
        <v>0</v>
      </c>
      <c r="X124" s="485">
        <f>H124*'4C2 Open-burning '!$C$9*'4C2 Open-burning '!$C$11*$C$5</f>
        <v>0</v>
      </c>
      <c r="Y124" s="485">
        <f>I124*'4C2 Open-burning '!$C$9*'4C2 Open-burning '!$C$11*$C$5</f>
        <v>3.5227932047815336</v>
      </c>
      <c r="Z124" s="486">
        <f t="shared" si="9"/>
        <v>10.881522615437561</v>
      </c>
      <c r="AA124" s="487">
        <f>C124*'4C2 Open-burning '!$C$10*'4C2 Open-burning '!$C$11*$C$5*C$15</f>
        <v>2.9157308951408653E-2</v>
      </c>
      <c r="AB124" s="487">
        <f>D124*'4C2 Open-burning '!$C$10*'4C2 Open-burning '!$C$11*$C$5*D$15</f>
        <v>3.0452045885441755E-2</v>
      </c>
      <c r="AC124" s="487">
        <f>E124*'4C2 Open-burning '!$C$10*'4C2 Open-burning '!$C$11*$C$5*E$15</f>
        <v>1.8714100915327148E-2</v>
      </c>
      <c r="AD124" s="487">
        <f>F124*'4C2 Open-burning '!$C$10*'4C2 Open-burning '!$C$11*$C$5*F$15</f>
        <v>0</v>
      </c>
      <c r="AE124" s="487">
        <f>G124*'4C2 Open-burning '!$C$10*'4C2 Open-burning '!$C$11*$C$5*G$15</f>
        <v>0</v>
      </c>
      <c r="AF124" s="487">
        <f>H124*'4C2 Open-burning '!$C$10*'4C2 Open-burning '!$C$11*$C$5*H$15</f>
        <v>0</v>
      </c>
      <c r="AG124" s="487">
        <f>I124*'4C2 Open-burning '!$C$10*'4C2 Open-burning '!$C$11*$C$5*I$15</f>
        <v>7.3165705022385688E-2</v>
      </c>
      <c r="AH124" s="488">
        <f t="shared" si="10"/>
        <v>0.15148916077456326</v>
      </c>
      <c r="AI124" s="1389"/>
      <c r="AJ124" s="1388"/>
      <c r="AK124" s="1389"/>
    </row>
    <row r="125" spans="1:37">
      <c r="A125" s="157">
        <f>'Input data'!A120</f>
        <v>2020</v>
      </c>
      <c r="B125" s="417">
        <f>'Recycling - Case 2'!AP100</f>
        <v>0.11516499941226198</v>
      </c>
      <c r="C125" s="527">
        <f>'Recycling - Case 2'!$AK100*'Recycling - Case 2'!BM100*'4C2 Open-burning '!$B125</f>
        <v>788.11293543078432</v>
      </c>
      <c r="D125" s="528">
        <f>'Recycling - Case 2'!$AK100*'Recycling - Case 2'!BN100*'4C2 Open-burning '!$B125</f>
        <v>823.10926953665137</v>
      </c>
      <c r="E125" s="528">
        <f>'Recycling - Case 2'!$AK100*'Recycling - Case 2'!BO100*'4C2 Open-burning '!$B125</f>
        <v>224.81612919317038</v>
      </c>
      <c r="F125" s="528">
        <f>'Recycling - Case 2'!$AK100*'Recycling - Case 2'!BP100*'4C2 Open-burning '!$B125</f>
        <v>0</v>
      </c>
      <c r="G125" s="528">
        <f>'Recycling - Case 2'!$AK100*'Recycling - Case 2'!BQ100*'4C2 Open-burning '!$B125</f>
        <v>0</v>
      </c>
      <c r="H125" s="528">
        <f>'Recycling - Case 2'!$AK100*'Recycling - Case 2'!BR100*'4C2 Open-burning '!$B125</f>
        <v>0</v>
      </c>
      <c r="I125" s="528">
        <f>'Recycling - Case 2'!$AK100*'Recycling - Case 2'!BS100*'4C2 Open-burning '!$B125</f>
        <v>878.95382563370708</v>
      </c>
      <c r="J125" s="744">
        <f t="shared" si="12"/>
        <v>2714.992159794313</v>
      </c>
      <c r="K125" s="106">
        <f>'4C2 Open-burning '!C$14*'4C2 Open-burning '!$C$5*'4C2 Open-burning '!$C$6*'4C2 Open-burning '!$C$7*C125</f>
        <v>0</v>
      </c>
      <c r="L125" s="106">
        <f>'4C2 Open-burning '!D$14*'4C2 Open-burning '!$C$5*'4C2 Open-burning '!$C$6*'4C2 Open-burning '!$C$7*D125</f>
        <v>0</v>
      </c>
      <c r="M125" s="106">
        <f>'4C2 Open-burning '!E$14*'4C2 Open-burning '!$C$5*'4C2 Open-burning '!$C$6*'4C2 Open-burning '!$C$7*E125</f>
        <v>1.1876226767210096</v>
      </c>
      <c r="N125" s="106">
        <f>'4C2 Open-burning '!F$14*'4C2 Open-burning '!$C$5*'4C2 Open-burning '!$C$6*'4C2 Open-burning '!$C$7*F125</f>
        <v>0</v>
      </c>
      <c r="O125" s="106">
        <f>'4C2 Open-burning '!G$14*'4C2 Open-burning '!$C$5*'4C2 Open-burning '!$C$6*'4C2 Open-burning '!$C$7*G125</f>
        <v>0</v>
      </c>
      <c r="P125" s="106">
        <f>'4C2 Open-burning '!H$14*'4C2 Open-burning '!$C$5*'4C2 Open-burning '!$C$6*'4C2 Open-burning '!$C$7*H125</f>
        <v>0</v>
      </c>
      <c r="Q125" s="106">
        <f>'4C2 Open-burning '!I$14*'4C2 Open-burning '!$C$5*'4C2 Open-burning '!$C$6*'4C2 Open-burning '!$C$7*I125</f>
        <v>30.281717200732473</v>
      </c>
      <c r="R125" s="1384">
        <f t="shared" si="8"/>
        <v>31.469339877453482</v>
      </c>
      <c r="S125" s="485">
        <f>C125*'4C2 Open-burning '!$C$9*'4C2 Open-burning '!$C$11*$C$5</f>
        <v>3.073640448180059</v>
      </c>
      <c r="T125" s="485">
        <f>D125*'4C2 Open-burning '!$C$9*'4C2 Open-burning '!$C$11*$C$5</f>
        <v>3.2101261511929402</v>
      </c>
      <c r="U125" s="485">
        <f>E125*'4C2 Open-burning '!$C$9*'4C2 Open-burning '!$C$11*$C$5</f>
        <v>0.87678290385336444</v>
      </c>
      <c r="V125" s="485">
        <f>F125*'4C2 Open-burning '!$C$9*'4C2 Open-burning '!$C$11*$C$5</f>
        <v>0</v>
      </c>
      <c r="W125" s="485">
        <f>G125*'4C2 Open-burning '!$C$9*'4C2 Open-burning '!$C$11*$C$5</f>
        <v>0</v>
      </c>
      <c r="X125" s="485">
        <f>H125*'4C2 Open-burning '!$C$9*'4C2 Open-burning '!$C$11*$C$5</f>
        <v>0</v>
      </c>
      <c r="Y125" s="485">
        <f>I125*'4C2 Open-burning '!$C$9*'4C2 Open-burning '!$C$11*$C$5</f>
        <v>3.4279199199714574</v>
      </c>
      <c r="Z125" s="486">
        <f t="shared" si="9"/>
        <v>10.588469423197822</v>
      </c>
      <c r="AA125" s="487">
        <f>C125*'4C2 Open-burning '!$C$10*'4C2 Open-burning '!$C$11*$C$5*C$15</f>
        <v>2.8372065675508235E-2</v>
      </c>
      <c r="AB125" s="487">
        <f>D125*'4C2 Open-burning '!$C$10*'4C2 Open-burning '!$C$11*$C$5*D$15</f>
        <v>2.9631933703319447E-2</v>
      </c>
      <c r="AC125" s="487">
        <f>E125*'4C2 Open-burning '!$C$10*'4C2 Open-burning '!$C$11*$C$5*E$15</f>
        <v>1.82101064646468E-2</v>
      </c>
      <c r="AD125" s="487">
        <f>F125*'4C2 Open-burning '!$C$10*'4C2 Open-burning '!$C$11*$C$5*F$15</f>
        <v>0</v>
      </c>
      <c r="AE125" s="487">
        <f>G125*'4C2 Open-burning '!$C$10*'4C2 Open-burning '!$C$11*$C$5*G$15</f>
        <v>0</v>
      </c>
      <c r="AF125" s="487">
        <f>H125*'4C2 Open-burning '!$C$10*'4C2 Open-burning '!$C$11*$C$5*H$15</f>
        <v>0</v>
      </c>
      <c r="AG125" s="487">
        <f>I125*'4C2 Open-burning '!$C$10*'4C2 Open-burning '!$C$11*$C$5*I$15</f>
        <v>7.1195259876330269E-2</v>
      </c>
      <c r="AH125" s="488">
        <f t="shared" si="10"/>
        <v>0.14740936571980473</v>
      </c>
      <c r="AI125" s="1389"/>
      <c r="AJ125" s="1388"/>
      <c r="AK125" s="1389"/>
    </row>
    <row r="126" spans="1:37">
      <c r="A126" s="157">
        <f>'Input data'!A121</f>
        <v>2021</v>
      </c>
      <c r="B126" s="417">
        <f>'Recycling - Case 2'!AP101</f>
        <v>0.108632640688443</v>
      </c>
      <c r="C126" s="527">
        <f>'Recycling - Case 2'!$AK101*'Recycling - Case 2'!BM101*'4C2 Open-burning '!$B126</f>
        <v>724.54347859846757</v>
      </c>
      <c r="D126" s="528">
        <f>'Recycling - Case 2'!$AK101*'Recycling - Case 2'!BN101*'4C2 Open-burning '!$B126</f>
        <v>756.71699651871234</v>
      </c>
      <c r="E126" s="528">
        <f>'Recycling - Case 2'!$AK101*'Recycling - Case 2'!BO101*'4C2 Open-burning '!$B126</f>
        <v>206.68238391700373</v>
      </c>
      <c r="F126" s="528">
        <f>'Recycling - Case 2'!$AK101*'Recycling - Case 2'!BP101*'4C2 Open-burning '!$B126</f>
        <v>0</v>
      </c>
      <c r="G126" s="528">
        <f>'Recycling - Case 2'!$AK101*'Recycling - Case 2'!BQ101*'4C2 Open-burning '!$B126</f>
        <v>0</v>
      </c>
      <c r="H126" s="528">
        <f>'Recycling - Case 2'!$AK101*'Recycling - Case 2'!BR101*'4C2 Open-burning '!$B126</f>
        <v>0</v>
      </c>
      <c r="I126" s="528">
        <f>'Recycling - Case 2'!$AK101*'Recycling - Case 2'!BS101*'4C2 Open-burning '!$B126</f>
        <v>808.05711176911302</v>
      </c>
      <c r="J126" s="744">
        <f t="shared" si="12"/>
        <v>2495.9999708032965</v>
      </c>
      <c r="K126" s="106">
        <f>'4C2 Open-burning '!C$14*'4C2 Open-burning '!$C$5*'4C2 Open-burning '!$C$6*'4C2 Open-burning '!$C$7*C126</f>
        <v>0</v>
      </c>
      <c r="L126" s="106">
        <f>'4C2 Open-burning '!D$14*'4C2 Open-burning '!$C$5*'4C2 Open-burning '!$C$6*'4C2 Open-burning '!$C$7*D126</f>
        <v>0</v>
      </c>
      <c r="M126" s="106">
        <f>'4C2 Open-burning '!E$14*'4C2 Open-burning '!$C$5*'4C2 Open-burning '!$C$6*'4C2 Open-burning '!$C$7*E126</f>
        <v>1.0918286285753205</v>
      </c>
      <c r="N126" s="106">
        <f>'4C2 Open-burning '!F$14*'4C2 Open-burning '!$C$5*'4C2 Open-burning '!$C$6*'4C2 Open-burning '!$C$7*F126</f>
        <v>0</v>
      </c>
      <c r="O126" s="106">
        <f>'4C2 Open-burning '!G$14*'4C2 Open-burning '!$C$5*'4C2 Open-burning '!$C$6*'4C2 Open-burning '!$C$7*G126</f>
        <v>0</v>
      </c>
      <c r="P126" s="106">
        <f>'4C2 Open-burning '!H$14*'4C2 Open-burning '!$C$5*'4C2 Open-burning '!$C$6*'4C2 Open-burning '!$C$7*H126</f>
        <v>0</v>
      </c>
      <c r="Q126" s="106">
        <f>'4C2 Open-burning '!I$14*'4C2 Open-burning '!$C$5*'4C2 Open-burning '!$C$6*'4C2 Open-burning '!$C$7*I126</f>
        <v>27.83918361466948</v>
      </c>
      <c r="R126" s="1384">
        <f t="shared" si="8"/>
        <v>28.931012243244801</v>
      </c>
      <c r="S126" s="485">
        <f>C126*'4C2 Open-burning '!$C$9*'4C2 Open-burning '!$C$11*$C$5</f>
        <v>2.8257195665340236</v>
      </c>
      <c r="T126" s="485">
        <f>D126*'4C2 Open-burning '!$C$9*'4C2 Open-burning '!$C$11*$C$5</f>
        <v>2.9511962864229782</v>
      </c>
      <c r="U126" s="485">
        <f>E126*'4C2 Open-burning '!$C$9*'4C2 Open-burning '!$C$11*$C$5</f>
        <v>0.80606129727631448</v>
      </c>
      <c r="V126" s="485">
        <f>F126*'4C2 Open-burning '!$C$9*'4C2 Open-burning '!$C$11*$C$5</f>
        <v>0</v>
      </c>
      <c r="W126" s="485">
        <f>G126*'4C2 Open-burning '!$C$9*'4C2 Open-burning '!$C$11*$C$5</f>
        <v>0</v>
      </c>
      <c r="X126" s="485">
        <f>H126*'4C2 Open-burning '!$C$9*'4C2 Open-burning '!$C$11*$C$5</f>
        <v>0</v>
      </c>
      <c r="Y126" s="485">
        <f>I126*'4C2 Open-burning '!$C$9*'4C2 Open-burning '!$C$11*$C$5</f>
        <v>3.1514227358995401</v>
      </c>
      <c r="Z126" s="486">
        <f t="shared" si="9"/>
        <v>9.7343998861328558</v>
      </c>
      <c r="AA126" s="487">
        <f>C126*'4C2 Open-burning '!$C$10*'4C2 Open-burning '!$C$11*$C$5*C$15</f>
        <v>2.6083565229544831E-2</v>
      </c>
      <c r="AB126" s="487">
        <f>D126*'4C2 Open-burning '!$C$10*'4C2 Open-burning '!$C$11*$C$5*D$15</f>
        <v>2.7241811874673644E-2</v>
      </c>
      <c r="AC126" s="487">
        <f>E126*'4C2 Open-burning '!$C$10*'4C2 Open-burning '!$C$11*$C$5*E$15</f>
        <v>1.6741273097277302E-2</v>
      </c>
      <c r="AD126" s="487">
        <f>F126*'4C2 Open-burning '!$C$10*'4C2 Open-burning '!$C$11*$C$5*F$15</f>
        <v>0</v>
      </c>
      <c r="AE126" s="487">
        <f>G126*'4C2 Open-burning '!$C$10*'4C2 Open-burning '!$C$11*$C$5*G$15</f>
        <v>0</v>
      </c>
      <c r="AF126" s="487">
        <f>H126*'4C2 Open-burning '!$C$10*'4C2 Open-burning '!$C$11*$C$5*H$15</f>
        <v>0</v>
      </c>
      <c r="AG126" s="487">
        <f>I126*'4C2 Open-burning '!$C$10*'4C2 Open-burning '!$C$11*$C$5*I$15</f>
        <v>6.5452626053298144E-2</v>
      </c>
      <c r="AH126" s="488">
        <f t="shared" si="10"/>
        <v>0.13551927625479393</v>
      </c>
      <c r="AI126" s="1389"/>
      <c r="AJ126" s="1388"/>
      <c r="AK126" s="1389"/>
    </row>
    <row r="127" spans="1:37">
      <c r="A127" s="157">
        <f>'Input data'!A122</f>
        <v>2022</v>
      </c>
      <c r="B127" s="417">
        <f>'Recycling - Case 2'!AP102</f>
        <v>9.5787234273176591E-2</v>
      </c>
      <c r="C127" s="527">
        <f>'Recycling - Case 2'!$AK102*'Recycling - Case 2'!BM102*'4C2 Open-burning '!$B127</f>
        <v>603.00531989916851</v>
      </c>
      <c r="D127" s="528">
        <f>'Recycling - Case 2'!$AK102*'Recycling - Case 2'!BN102*'4C2 Open-burning '!$B127</f>
        <v>629.78190824595356</v>
      </c>
      <c r="E127" s="528">
        <f>'Recycling - Case 2'!$AK102*'Recycling - Case 2'!BO102*'4C2 Open-burning '!$B127</f>
        <v>172.01255785570908</v>
      </c>
      <c r="F127" s="528">
        <f>'Recycling - Case 2'!$AK102*'Recycling - Case 2'!BP102*'4C2 Open-burning '!$B127</f>
        <v>0</v>
      </c>
      <c r="G127" s="528">
        <f>'Recycling - Case 2'!$AK102*'Recycling - Case 2'!BQ102*'4C2 Open-burning '!$B127</f>
        <v>0</v>
      </c>
      <c r="H127" s="528">
        <f>'Recycling - Case 2'!$AK102*'Recycling - Case 2'!BR102*'4C2 Open-burning '!$B127</f>
        <v>0</v>
      </c>
      <c r="I127" s="528">
        <f>'Recycling - Case 2'!$AK102*'Recycling - Case 2'!BS102*'4C2 Open-burning '!$B127</f>
        <v>672.51000329431815</v>
      </c>
      <c r="J127" s="744">
        <f t="shared" si="12"/>
        <v>2077.3097892951491</v>
      </c>
      <c r="K127" s="106">
        <f>'4C2 Open-burning '!C$14*'4C2 Open-burning '!$C$5*'4C2 Open-burning '!$C$6*'4C2 Open-burning '!$C$7*C127</f>
        <v>0</v>
      </c>
      <c r="L127" s="106">
        <f>'4C2 Open-burning '!D$14*'4C2 Open-burning '!$C$5*'4C2 Open-burning '!$C$6*'4C2 Open-burning '!$C$7*D127</f>
        <v>0</v>
      </c>
      <c r="M127" s="106">
        <f>'4C2 Open-burning '!E$14*'4C2 Open-burning '!$C$5*'4C2 Open-burning '!$C$6*'4C2 Open-burning '!$C$7*E127</f>
        <v>0.908680418630883</v>
      </c>
      <c r="N127" s="106">
        <f>'4C2 Open-burning '!F$14*'4C2 Open-burning '!$C$5*'4C2 Open-burning '!$C$6*'4C2 Open-burning '!$C$7*F127</f>
        <v>0</v>
      </c>
      <c r="O127" s="106">
        <f>'4C2 Open-burning '!G$14*'4C2 Open-burning '!$C$5*'4C2 Open-burning '!$C$6*'4C2 Open-burning '!$C$7*G127</f>
        <v>0</v>
      </c>
      <c r="P127" s="106">
        <f>'4C2 Open-burning '!H$14*'4C2 Open-burning '!$C$5*'4C2 Open-burning '!$C$6*'4C2 Open-burning '!$C$7*H127</f>
        <v>0</v>
      </c>
      <c r="Q127" s="106">
        <f>'4C2 Open-burning '!I$14*'4C2 Open-burning '!$C$5*'4C2 Open-burning '!$C$6*'4C2 Open-burning '!$C$7*I127</f>
        <v>23.169314633495848</v>
      </c>
      <c r="R127" s="1384">
        <f t="shared" si="8"/>
        <v>24.077995052126731</v>
      </c>
      <c r="S127" s="485">
        <f>C127*'4C2 Open-burning '!$C$9*'4C2 Open-burning '!$C$11*$C$5</f>
        <v>2.3517207476067568</v>
      </c>
      <c r="T127" s="485">
        <f>D127*'4C2 Open-burning '!$C$9*'4C2 Open-burning '!$C$11*$C$5</f>
        <v>2.4561494421592189</v>
      </c>
      <c r="U127" s="485">
        <f>E127*'4C2 Open-burning '!$C$9*'4C2 Open-burning '!$C$11*$C$5</f>
        <v>0.67084897563726531</v>
      </c>
      <c r="V127" s="485">
        <f>F127*'4C2 Open-burning '!$C$9*'4C2 Open-burning '!$C$11*$C$5</f>
        <v>0</v>
      </c>
      <c r="W127" s="485">
        <f>G127*'4C2 Open-burning '!$C$9*'4C2 Open-burning '!$C$11*$C$5</f>
        <v>0</v>
      </c>
      <c r="X127" s="485">
        <f>H127*'4C2 Open-burning '!$C$9*'4C2 Open-burning '!$C$11*$C$5</f>
        <v>0</v>
      </c>
      <c r="Y127" s="485">
        <f>I127*'4C2 Open-burning '!$C$9*'4C2 Open-burning '!$C$11*$C$5</f>
        <v>2.6227890128478406</v>
      </c>
      <c r="Z127" s="486">
        <f t="shared" si="9"/>
        <v>8.1015081782510823</v>
      </c>
      <c r="AA127" s="487">
        <f>C127*'4C2 Open-burning '!$C$10*'4C2 Open-burning '!$C$11*$C$5*C$15</f>
        <v>2.1708191516370063E-2</v>
      </c>
      <c r="AB127" s="487">
        <f>D127*'4C2 Open-burning '!$C$10*'4C2 Open-burning '!$C$11*$C$5*D$15</f>
        <v>2.2672148696854327E-2</v>
      </c>
      <c r="AC127" s="487">
        <f>E127*'4C2 Open-burning '!$C$10*'4C2 Open-burning '!$C$11*$C$5*E$15</f>
        <v>1.3933017186312433E-2</v>
      </c>
      <c r="AD127" s="487">
        <f>F127*'4C2 Open-burning '!$C$10*'4C2 Open-burning '!$C$11*$C$5*F$15</f>
        <v>0</v>
      </c>
      <c r="AE127" s="487">
        <f>G127*'4C2 Open-burning '!$C$10*'4C2 Open-burning '!$C$11*$C$5*G$15</f>
        <v>0</v>
      </c>
      <c r="AF127" s="487">
        <f>H127*'4C2 Open-burning '!$C$10*'4C2 Open-burning '!$C$11*$C$5*H$15</f>
        <v>0</v>
      </c>
      <c r="AG127" s="487">
        <f>I127*'4C2 Open-burning '!$C$10*'4C2 Open-burning '!$C$11*$C$5*I$15</f>
        <v>5.4473310266839763E-2</v>
      </c>
      <c r="AH127" s="488">
        <f t="shared" si="10"/>
        <v>0.11278666766637657</v>
      </c>
      <c r="AI127" s="1389"/>
      <c r="AJ127" s="1388"/>
      <c r="AK127" s="1389"/>
    </row>
    <row r="128" spans="1:37">
      <c r="A128" s="157">
        <f>'Input data'!A123</f>
        <v>2023</v>
      </c>
      <c r="B128" s="417">
        <f>'Recycling - Case 2'!AP103</f>
        <v>9.1876256960619254E-2</v>
      </c>
      <c r="C128" s="527">
        <f>'Recycling - Case 2'!$AK103*'Recycling - Case 2'!BM103*'4C2 Open-burning '!$B128</f>
        <v>571.86877898847069</v>
      </c>
      <c r="D128" s="528">
        <f>'Recycling - Case 2'!$AK103*'Recycling - Case 2'!BN103*'4C2 Open-burning '!$B128</f>
        <v>597.26274215601518</v>
      </c>
      <c r="E128" s="528">
        <f>'Recycling - Case 2'!$AK103*'Recycling - Case 2'!BO103*'4C2 Open-burning '!$B128</f>
        <v>163.1305863903103</v>
      </c>
      <c r="F128" s="528">
        <f>'Recycling - Case 2'!$AK103*'Recycling - Case 2'!BP103*'4C2 Open-burning '!$B128</f>
        <v>0</v>
      </c>
      <c r="G128" s="528">
        <f>'Recycling - Case 2'!$AK103*'Recycling - Case 2'!BQ103*'4C2 Open-burning '!$B128</f>
        <v>0</v>
      </c>
      <c r="H128" s="528">
        <f>'Recycling - Case 2'!$AK103*'Recycling - Case 2'!BR103*'4C2 Open-burning '!$B128</f>
        <v>0</v>
      </c>
      <c r="I128" s="528">
        <f>'Recycling - Case 2'!$AK103*'Recycling - Case 2'!BS103*'4C2 Open-burning '!$B128</f>
        <v>637.78454642118731</v>
      </c>
      <c r="J128" s="744">
        <f t="shared" si="12"/>
        <v>1970.0466539559834</v>
      </c>
      <c r="K128" s="106">
        <f>'4C2 Open-burning '!C$14*'4C2 Open-burning '!$C$5*'4C2 Open-burning '!$C$6*'4C2 Open-burning '!$C$7*C128</f>
        <v>0</v>
      </c>
      <c r="L128" s="106">
        <f>'4C2 Open-burning '!D$14*'4C2 Open-burning '!$C$5*'4C2 Open-burning '!$C$6*'4C2 Open-burning '!$C$7*D128</f>
        <v>0</v>
      </c>
      <c r="M128" s="106">
        <f>'4C2 Open-burning '!E$14*'4C2 Open-burning '!$C$5*'4C2 Open-burning '!$C$6*'4C2 Open-burning '!$C$7*E128</f>
        <v>0.86176016088890883</v>
      </c>
      <c r="N128" s="106">
        <f>'4C2 Open-burning '!F$14*'4C2 Open-burning '!$C$5*'4C2 Open-burning '!$C$6*'4C2 Open-burning '!$C$7*F128</f>
        <v>0</v>
      </c>
      <c r="O128" s="106">
        <f>'4C2 Open-burning '!G$14*'4C2 Open-burning '!$C$5*'4C2 Open-burning '!$C$6*'4C2 Open-burning '!$C$7*G128</f>
        <v>0</v>
      </c>
      <c r="P128" s="106">
        <f>'4C2 Open-burning '!H$14*'4C2 Open-burning '!$C$5*'4C2 Open-burning '!$C$6*'4C2 Open-burning '!$C$7*H128</f>
        <v>0</v>
      </c>
      <c r="Q128" s="106">
        <f>'4C2 Open-burning '!I$14*'4C2 Open-burning '!$C$5*'4C2 Open-burning '!$C$6*'4C2 Open-burning '!$C$7*I128</f>
        <v>21.972953193302743</v>
      </c>
      <c r="R128" s="1384">
        <f t="shared" si="8"/>
        <v>22.834713354191653</v>
      </c>
      <c r="S128" s="485">
        <f>C128*'4C2 Open-burning '!$C$9*'4C2 Open-burning '!$C$11*$C$5</f>
        <v>2.2302882380550355</v>
      </c>
      <c r="T128" s="485">
        <f>D128*'4C2 Open-burning '!$C$9*'4C2 Open-burning '!$C$11*$C$5</f>
        <v>2.3293246944084589</v>
      </c>
      <c r="U128" s="485">
        <f>E128*'4C2 Open-burning '!$C$9*'4C2 Open-burning '!$C$11*$C$5</f>
        <v>0.63620928692221002</v>
      </c>
      <c r="V128" s="485">
        <f>F128*'4C2 Open-burning '!$C$9*'4C2 Open-burning '!$C$11*$C$5</f>
        <v>0</v>
      </c>
      <c r="W128" s="485">
        <f>G128*'4C2 Open-burning '!$C$9*'4C2 Open-burning '!$C$11*$C$5</f>
        <v>0</v>
      </c>
      <c r="X128" s="485">
        <f>H128*'4C2 Open-burning '!$C$9*'4C2 Open-burning '!$C$11*$C$5</f>
        <v>0</v>
      </c>
      <c r="Y128" s="485">
        <f>I128*'4C2 Open-burning '!$C$9*'4C2 Open-burning '!$C$11*$C$5</f>
        <v>2.4873597310426305</v>
      </c>
      <c r="Z128" s="486">
        <f t="shared" si="9"/>
        <v>7.6831819504283345</v>
      </c>
      <c r="AA128" s="487">
        <f>C128*'4C2 Open-burning '!$C$10*'4C2 Open-burning '!$C$11*$C$5*C$15</f>
        <v>2.0587276043584943E-2</v>
      </c>
      <c r="AB128" s="487">
        <f>D128*'4C2 Open-burning '!$C$10*'4C2 Open-burning '!$C$11*$C$5*D$15</f>
        <v>2.1501458717616547E-2</v>
      </c>
      <c r="AC128" s="487">
        <f>E128*'4C2 Open-burning '!$C$10*'4C2 Open-burning '!$C$11*$C$5*E$15</f>
        <v>1.3213577497615132E-2</v>
      </c>
      <c r="AD128" s="487">
        <f>F128*'4C2 Open-burning '!$C$10*'4C2 Open-burning '!$C$11*$C$5*F$15</f>
        <v>0</v>
      </c>
      <c r="AE128" s="487">
        <f>G128*'4C2 Open-burning '!$C$10*'4C2 Open-burning '!$C$11*$C$5*G$15</f>
        <v>0</v>
      </c>
      <c r="AF128" s="487">
        <f>H128*'4C2 Open-burning '!$C$10*'4C2 Open-burning '!$C$11*$C$5*H$15</f>
        <v>0</v>
      </c>
      <c r="AG128" s="487">
        <f>I128*'4C2 Open-burning '!$C$10*'4C2 Open-burning '!$C$11*$C$5*I$15</f>
        <v>5.1660548260116172E-2</v>
      </c>
      <c r="AH128" s="488">
        <f t="shared" si="10"/>
        <v>0.10696286051893281</v>
      </c>
      <c r="AI128" s="1389"/>
      <c r="AJ128" s="1388"/>
      <c r="AK128" s="1389"/>
    </row>
    <row r="129" spans="1:37">
      <c r="A129" s="157">
        <f>'Input data'!A124</f>
        <v>2024</v>
      </c>
      <c r="B129" s="417">
        <f>'Recycling - Case 2'!AP104</f>
        <v>8.7781424771145714E-2</v>
      </c>
      <c r="C129" s="527">
        <f>'Recycling - Case 2'!$AK104*'Recycling - Case 2'!BM104*'4C2 Open-burning '!$B129</f>
        <v>540.19890619267005</v>
      </c>
      <c r="D129" s="528">
        <f>'Recycling - Case 2'!$AK104*'Recycling - Case 2'!BN104*'4C2 Open-burning '!$B129</f>
        <v>564.18656145734235</v>
      </c>
      <c r="E129" s="528">
        <f>'Recycling - Case 2'!$AK104*'Recycling - Case 2'!BO104*'4C2 Open-burning '!$B129</f>
        <v>154.09647732559836</v>
      </c>
      <c r="F129" s="528">
        <f>'Recycling - Case 2'!$AK104*'Recycling - Case 2'!BP104*'4C2 Open-burning '!$B129</f>
        <v>0</v>
      </c>
      <c r="G129" s="528">
        <f>'Recycling - Case 2'!$AK104*'Recycling - Case 2'!BQ104*'4C2 Open-burning '!$B129</f>
        <v>0</v>
      </c>
      <c r="H129" s="528">
        <f>'Recycling - Case 2'!$AK104*'Recycling - Case 2'!BR104*'4C2 Open-burning '!$B129</f>
        <v>0</v>
      </c>
      <c r="I129" s="528">
        <f>'Recycling - Case 2'!$AK104*'Recycling - Case 2'!BS104*'4C2 Open-burning '!$B129</f>
        <v>602.4642838042738</v>
      </c>
      <c r="J129" s="744">
        <f t="shared" si="12"/>
        <v>1860.9462287798842</v>
      </c>
      <c r="K129" s="106">
        <f>'4C2 Open-burning '!C$14*'4C2 Open-burning '!$C$5*'4C2 Open-burning '!$C$6*'4C2 Open-burning '!$C$7*C129</f>
        <v>0</v>
      </c>
      <c r="L129" s="106">
        <f>'4C2 Open-burning '!D$14*'4C2 Open-burning '!$C$5*'4C2 Open-burning '!$C$6*'4C2 Open-burning '!$C$7*D129</f>
        <v>0</v>
      </c>
      <c r="M129" s="106">
        <f>'4C2 Open-burning '!E$14*'4C2 Open-burning '!$C$5*'4C2 Open-burning '!$C$6*'4C2 Open-burning '!$C$7*E129</f>
        <v>0.8140362149792989</v>
      </c>
      <c r="N129" s="106">
        <f>'4C2 Open-burning '!F$14*'4C2 Open-burning '!$C$5*'4C2 Open-burning '!$C$6*'4C2 Open-burning '!$C$7*F129</f>
        <v>0</v>
      </c>
      <c r="O129" s="106">
        <f>'4C2 Open-burning '!G$14*'4C2 Open-burning '!$C$5*'4C2 Open-burning '!$C$6*'4C2 Open-burning '!$C$7*G129</f>
        <v>0</v>
      </c>
      <c r="P129" s="106">
        <f>'4C2 Open-burning '!H$14*'4C2 Open-burning '!$C$5*'4C2 Open-burning '!$C$6*'4C2 Open-burning '!$C$7*H129</f>
        <v>0</v>
      </c>
      <c r="Q129" s="106">
        <f>'4C2 Open-burning '!I$14*'4C2 Open-burning '!$C$5*'4C2 Open-burning '!$C$6*'4C2 Open-burning '!$C$7*I129</f>
        <v>20.756099505624839</v>
      </c>
      <c r="R129" s="1384">
        <f t="shared" si="8"/>
        <v>21.570135720604139</v>
      </c>
      <c r="S129" s="485">
        <f>C129*'4C2 Open-burning '!$C$9*'4C2 Open-burning '!$C$11*$C$5</f>
        <v>2.1067757341514133</v>
      </c>
      <c r="T129" s="485">
        <f>D129*'4C2 Open-burning '!$C$9*'4C2 Open-burning '!$C$11*$C$5</f>
        <v>2.200327589683635</v>
      </c>
      <c r="U129" s="485">
        <f>E129*'4C2 Open-burning '!$C$9*'4C2 Open-burning '!$C$11*$C$5</f>
        <v>0.60097626156983353</v>
      </c>
      <c r="V129" s="485">
        <f>F129*'4C2 Open-burning '!$C$9*'4C2 Open-burning '!$C$11*$C$5</f>
        <v>0</v>
      </c>
      <c r="W129" s="485">
        <f>G129*'4C2 Open-burning '!$C$9*'4C2 Open-burning '!$C$11*$C$5</f>
        <v>0</v>
      </c>
      <c r="X129" s="485">
        <f>H129*'4C2 Open-burning '!$C$9*'4C2 Open-burning '!$C$11*$C$5</f>
        <v>0</v>
      </c>
      <c r="Y129" s="485">
        <f>I129*'4C2 Open-burning '!$C$9*'4C2 Open-burning '!$C$11*$C$5</f>
        <v>2.3496107068366676</v>
      </c>
      <c r="Z129" s="486">
        <f t="shared" si="9"/>
        <v>7.2576902922415494</v>
      </c>
      <c r="AA129" s="487">
        <f>C129*'4C2 Open-burning '!$C$10*'4C2 Open-burning '!$C$11*$C$5*C$15</f>
        <v>1.9447160622936121E-2</v>
      </c>
      <c r="AB129" s="487">
        <f>D129*'4C2 Open-burning '!$C$10*'4C2 Open-burning '!$C$11*$C$5*D$15</f>
        <v>2.0310716212464323E-2</v>
      </c>
      <c r="AC129" s="487">
        <f>E129*'4C2 Open-burning '!$C$10*'4C2 Open-burning '!$C$11*$C$5*E$15</f>
        <v>1.2481814663373466E-2</v>
      </c>
      <c r="AD129" s="487">
        <f>F129*'4C2 Open-burning '!$C$10*'4C2 Open-burning '!$C$11*$C$5*F$15</f>
        <v>0</v>
      </c>
      <c r="AE129" s="487">
        <f>G129*'4C2 Open-burning '!$C$10*'4C2 Open-burning '!$C$11*$C$5*G$15</f>
        <v>0</v>
      </c>
      <c r="AF129" s="487">
        <f>H129*'4C2 Open-burning '!$C$10*'4C2 Open-burning '!$C$11*$C$5*H$15</f>
        <v>0</v>
      </c>
      <c r="AG129" s="487">
        <f>I129*'4C2 Open-burning '!$C$10*'4C2 Open-burning '!$C$11*$C$5*I$15</f>
        <v>4.8799606988146178E-2</v>
      </c>
      <c r="AH129" s="488">
        <f t="shared" si="10"/>
        <v>0.10103929848692009</v>
      </c>
      <c r="AI129" s="1389"/>
      <c r="AJ129" s="1388"/>
      <c r="AK129" s="1389"/>
    </row>
    <row r="130" spans="1:37">
      <c r="A130" s="157">
        <f>'Input data'!A125</f>
        <v>2025</v>
      </c>
      <c r="B130" s="417">
        <f>'Recycling - Case 2'!AP105</f>
        <v>8.3494201429216791E-2</v>
      </c>
      <c r="C130" s="527">
        <f>'Recycling - Case 2'!$AK105*'Recycling - Case 2'!BM105*'4C2 Open-burning '!$B130</f>
        <v>507.97627512742508</v>
      </c>
      <c r="D130" s="528">
        <f>'Recycling - Case 2'!$AK105*'Recycling - Case 2'!BN105*'4C2 Open-burning '!$B130</f>
        <v>530.53307713257948</v>
      </c>
      <c r="E130" s="528">
        <f>'Recycling - Case 2'!$AK105*'Recycling - Case 2'!BO105*'4C2 Open-burning '!$B130</f>
        <v>144.90468911500608</v>
      </c>
      <c r="F130" s="528">
        <f>'Recycling - Case 2'!$AK105*'Recycling - Case 2'!BP105*'4C2 Open-burning '!$B130</f>
        <v>0</v>
      </c>
      <c r="G130" s="528">
        <f>'Recycling - Case 2'!$AK105*'Recycling - Case 2'!BQ105*'4C2 Open-burning '!$B130</f>
        <v>0</v>
      </c>
      <c r="H130" s="528">
        <f>'Recycling - Case 2'!$AK105*'Recycling - Case 2'!BR105*'4C2 Open-burning '!$B130</f>
        <v>0</v>
      </c>
      <c r="I130" s="528">
        <f>'Recycling - Case 2'!$AK105*'Recycling - Case 2'!BS105*'4C2 Open-burning '!$B130</f>
        <v>566.52754990039546</v>
      </c>
      <c r="J130" s="744">
        <f t="shared" si="12"/>
        <v>1749.9415912754062</v>
      </c>
      <c r="K130" s="106">
        <f>'4C2 Open-burning '!C$14*'4C2 Open-burning '!$C$5*'4C2 Open-burning '!$C$6*'4C2 Open-burning '!$C$7*C130</f>
        <v>0</v>
      </c>
      <c r="L130" s="106">
        <f>'4C2 Open-burning '!D$14*'4C2 Open-burning '!$C$5*'4C2 Open-burning '!$C$6*'4C2 Open-burning '!$C$7*D130</f>
        <v>0</v>
      </c>
      <c r="M130" s="106">
        <f>'4C2 Open-burning '!E$14*'4C2 Open-burning '!$C$5*'4C2 Open-burning '!$C$6*'4C2 Open-burning '!$C$7*E130</f>
        <v>0.76547930690649568</v>
      </c>
      <c r="N130" s="106">
        <f>'4C2 Open-burning '!F$14*'4C2 Open-burning '!$C$5*'4C2 Open-burning '!$C$6*'4C2 Open-burning '!$C$7*F130</f>
        <v>0</v>
      </c>
      <c r="O130" s="106">
        <f>'4C2 Open-burning '!G$14*'4C2 Open-burning '!$C$5*'4C2 Open-burning '!$C$6*'4C2 Open-burning '!$C$7*G130</f>
        <v>0</v>
      </c>
      <c r="P130" s="106">
        <f>'4C2 Open-burning '!H$14*'4C2 Open-burning '!$C$5*'4C2 Open-burning '!$C$6*'4C2 Open-burning '!$C$7*H130</f>
        <v>0</v>
      </c>
      <c r="Q130" s="106">
        <f>'4C2 Open-burning '!I$14*'4C2 Open-burning '!$C$5*'4C2 Open-burning '!$C$6*'4C2 Open-burning '!$C$7*I130</f>
        <v>19.518007149168422</v>
      </c>
      <c r="R130" s="1384">
        <f t="shared" si="8"/>
        <v>20.283486456074918</v>
      </c>
      <c r="S130" s="485">
        <f>C130*'4C2 Open-burning '!$C$9*'4C2 Open-burning '!$C$11*$C$5</f>
        <v>1.9811074729969576</v>
      </c>
      <c r="T130" s="485">
        <f>D130*'4C2 Open-burning '!$C$9*'4C2 Open-burning '!$C$11*$C$5</f>
        <v>2.0690790008170601</v>
      </c>
      <c r="U130" s="485">
        <f>E130*'4C2 Open-burning '!$C$9*'4C2 Open-burning '!$C$11*$C$5</f>
        <v>0.56512828754852362</v>
      </c>
      <c r="V130" s="485">
        <f>F130*'4C2 Open-burning '!$C$9*'4C2 Open-burning '!$C$11*$C$5</f>
        <v>0</v>
      </c>
      <c r="W130" s="485">
        <f>G130*'4C2 Open-burning '!$C$9*'4C2 Open-burning '!$C$11*$C$5</f>
        <v>0</v>
      </c>
      <c r="X130" s="485">
        <f>H130*'4C2 Open-burning '!$C$9*'4C2 Open-burning '!$C$11*$C$5</f>
        <v>0</v>
      </c>
      <c r="Y130" s="485">
        <f>I130*'4C2 Open-burning '!$C$9*'4C2 Open-burning '!$C$11*$C$5</f>
        <v>2.2094574446115423</v>
      </c>
      <c r="Z130" s="486">
        <f t="shared" si="9"/>
        <v>6.8247722059740834</v>
      </c>
      <c r="AA130" s="487">
        <f>C130*'4C2 Open-burning '!$C$10*'4C2 Open-burning '!$C$11*$C$5*C$15</f>
        <v>1.8287145904587302E-2</v>
      </c>
      <c r="AB130" s="487">
        <f>D130*'4C2 Open-burning '!$C$10*'4C2 Open-burning '!$C$11*$C$5*D$15</f>
        <v>1.9099190776772856E-2</v>
      </c>
      <c r="AC130" s="487">
        <f>E130*'4C2 Open-burning '!$C$10*'4C2 Open-burning '!$C$11*$C$5*E$15</f>
        <v>1.1737279818315492E-2</v>
      </c>
      <c r="AD130" s="487">
        <f>F130*'4C2 Open-burning '!$C$10*'4C2 Open-burning '!$C$11*$C$5*F$15</f>
        <v>0</v>
      </c>
      <c r="AE130" s="487">
        <f>G130*'4C2 Open-burning '!$C$10*'4C2 Open-burning '!$C$11*$C$5*G$15</f>
        <v>0</v>
      </c>
      <c r="AF130" s="487">
        <f>H130*'4C2 Open-burning '!$C$10*'4C2 Open-burning '!$C$11*$C$5*H$15</f>
        <v>0</v>
      </c>
      <c r="AG130" s="487">
        <f>I130*'4C2 Open-burning '!$C$10*'4C2 Open-burning '!$C$11*$C$5*I$15</f>
        <v>4.5888731541932036E-2</v>
      </c>
      <c r="AH130" s="488">
        <f t="shared" si="10"/>
        <v>9.5012348041607686E-2</v>
      </c>
      <c r="AI130" s="1389"/>
      <c r="AJ130" s="1388"/>
      <c r="AK130" s="1389"/>
    </row>
    <row r="131" spans="1:37">
      <c r="A131" s="157">
        <f>'Input data'!A126</f>
        <v>2026</v>
      </c>
      <c r="B131" s="417">
        <f>'Recycling - Case 2'!AP106</f>
        <v>7.9101611218796483E-2</v>
      </c>
      <c r="C131" s="527">
        <f>'Recycling - Case 2'!$AK106*'Recycling - Case 2'!BM106*'4C2 Open-burning '!$B131</f>
        <v>475.46190657561885</v>
      </c>
      <c r="D131" s="528">
        <f>'Recycling - Case 2'!$AK106*'Recycling - Case 2'!BN106*'4C2 Open-burning '!$B131</f>
        <v>496.57490065182662</v>
      </c>
      <c r="E131" s="528">
        <f>'Recycling - Case 2'!$AK106*'Recycling - Case 2'!BO106*'4C2 Open-burning '!$B131</f>
        <v>135.62968022686786</v>
      </c>
      <c r="F131" s="528">
        <f>'Recycling - Case 2'!$AK106*'Recycling - Case 2'!BP106*'4C2 Open-burning '!$B131</f>
        <v>0</v>
      </c>
      <c r="G131" s="528">
        <f>'Recycling - Case 2'!$AK106*'Recycling - Case 2'!BQ106*'4C2 Open-burning '!$B131</f>
        <v>0</v>
      </c>
      <c r="H131" s="528">
        <f>'Recycling - Case 2'!$AK106*'Recycling - Case 2'!BR106*'4C2 Open-burning '!$B131</f>
        <v>0</v>
      </c>
      <c r="I131" s="528">
        <f>'Recycling - Case 2'!$AK106*'Recycling - Case 2'!BS106*'4C2 Open-burning '!$B131</f>
        <v>530.26545173923125</v>
      </c>
      <c r="J131" s="744">
        <f t="shared" si="12"/>
        <v>1637.9319391935446</v>
      </c>
      <c r="K131" s="106">
        <f>'4C2 Open-burning '!C$14*'4C2 Open-burning '!$C$5*'4C2 Open-burning '!$C$6*'4C2 Open-burning '!$C$7*C131</f>
        <v>0</v>
      </c>
      <c r="L131" s="106">
        <f>'4C2 Open-burning '!D$14*'4C2 Open-burning '!$C$5*'4C2 Open-burning '!$C$6*'4C2 Open-burning '!$C$7*D131</f>
        <v>0</v>
      </c>
      <c r="M131" s="106">
        <f>'4C2 Open-burning '!E$14*'4C2 Open-burning '!$C$5*'4C2 Open-burning '!$C$6*'4C2 Open-burning '!$C$7*E131</f>
        <v>0.71648277395366122</v>
      </c>
      <c r="N131" s="106">
        <f>'4C2 Open-burning '!F$14*'4C2 Open-burning '!$C$5*'4C2 Open-burning '!$C$6*'4C2 Open-burning '!$C$7*F131</f>
        <v>0</v>
      </c>
      <c r="O131" s="106">
        <f>'4C2 Open-burning '!G$14*'4C2 Open-burning '!$C$5*'4C2 Open-burning '!$C$6*'4C2 Open-burning '!$C$7*G131</f>
        <v>0</v>
      </c>
      <c r="P131" s="106">
        <f>'4C2 Open-burning '!H$14*'4C2 Open-burning '!$C$5*'4C2 Open-burning '!$C$6*'4C2 Open-burning '!$C$7*H131</f>
        <v>0</v>
      </c>
      <c r="Q131" s="106">
        <f>'4C2 Open-burning '!I$14*'4C2 Open-burning '!$C$5*'4C2 Open-burning '!$C$6*'4C2 Open-burning '!$C$7*I131</f>
        <v>18.268705343319994</v>
      </c>
      <c r="R131" s="1384">
        <f t="shared" si="8"/>
        <v>18.985188117273655</v>
      </c>
      <c r="S131" s="485">
        <f>C131*'4C2 Open-burning '!$C$9*'4C2 Open-burning '!$C$11*$C$5</f>
        <v>1.8543014356449135</v>
      </c>
      <c r="T131" s="485">
        <f>D131*'4C2 Open-burning '!$C$9*'4C2 Open-burning '!$C$11*$C$5</f>
        <v>1.9366421125421234</v>
      </c>
      <c r="U131" s="485">
        <f>E131*'4C2 Open-burning '!$C$9*'4C2 Open-burning '!$C$11*$C$5</f>
        <v>0.52895575288478458</v>
      </c>
      <c r="V131" s="485">
        <f>F131*'4C2 Open-burning '!$C$9*'4C2 Open-burning '!$C$11*$C$5</f>
        <v>0</v>
      </c>
      <c r="W131" s="485">
        <f>G131*'4C2 Open-burning '!$C$9*'4C2 Open-burning '!$C$11*$C$5</f>
        <v>0</v>
      </c>
      <c r="X131" s="485">
        <f>H131*'4C2 Open-burning '!$C$9*'4C2 Open-burning '!$C$11*$C$5</f>
        <v>0</v>
      </c>
      <c r="Y131" s="485">
        <f>I131*'4C2 Open-burning '!$C$9*'4C2 Open-burning '!$C$11*$C$5</f>
        <v>2.0680352617830016</v>
      </c>
      <c r="Z131" s="486">
        <f t="shared" si="9"/>
        <v>6.3879345628548228</v>
      </c>
      <c r="AA131" s="487">
        <f>C131*'4C2 Open-burning '!$C$10*'4C2 Open-burning '!$C$11*$C$5*C$15</f>
        <v>1.7116628636722277E-2</v>
      </c>
      <c r="AB131" s="487">
        <f>D131*'4C2 Open-burning '!$C$10*'4C2 Open-burning '!$C$11*$C$5*D$15</f>
        <v>1.7876696423465756E-2</v>
      </c>
      <c r="AC131" s="487">
        <f>E131*'4C2 Open-burning '!$C$10*'4C2 Open-burning '!$C$11*$C$5*E$15</f>
        <v>1.0986004098376296E-2</v>
      </c>
      <c r="AD131" s="487">
        <f>F131*'4C2 Open-burning '!$C$10*'4C2 Open-burning '!$C$11*$C$5*F$15</f>
        <v>0</v>
      </c>
      <c r="AE131" s="487">
        <f>G131*'4C2 Open-burning '!$C$10*'4C2 Open-burning '!$C$11*$C$5*G$15</f>
        <v>0</v>
      </c>
      <c r="AF131" s="487">
        <f>H131*'4C2 Open-burning '!$C$10*'4C2 Open-burning '!$C$11*$C$5*H$15</f>
        <v>0</v>
      </c>
      <c r="AG131" s="487">
        <f>I131*'4C2 Open-burning '!$C$10*'4C2 Open-burning '!$C$11*$C$5*I$15</f>
        <v>4.2951501590877732E-2</v>
      </c>
      <c r="AH131" s="488">
        <f t="shared" si="10"/>
        <v>8.8930830749442052E-2</v>
      </c>
      <c r="AI131" s="1389"/>
      <c r="AJ131" s="1388"/>
      <c r="AK131" s="1389"/>
    </row>
    <row r="132" spans="1:37">
      <c r="A132" s="157">
        <f>'Input data'!A127</f>
        <v>2027</v>
      </c>
      <c r="B132" s="417">
        <f>'Recycling - Case 2'!AP107</f>
        <v>7.4490877934688157E-2</v>
      </c>
      <c r="C132" s="527">
        <f>'Recycling - Case 2'!$AK107*'Recycling - Case 2'!BM107*'4C2 Open-burning '!$B132</f>
        <v>442.31360987420572</v>
      </c>
      <c r="D132" s="528">
        <f>'Recycling - Case 2'!$AK107*'Recycling - Case 2'!BN107*'4C2 Open-burning '!$B132</f>
        <v>461.95464629783544</v>
      </c>
      <c r="E132" s="528">
        <f>'Recycling - Case 2'!$AK107*'Recycling - Case 2'!BO107*'4C2 Open-burning '!$B132</f>
        <v>126.17383777240411</v>
      </c>
      <c r="F132" s="528">
        <f>'Recycling - Case 2'!$AK107*'Recycling - Case 2'!BP107*'4C2 Open-burning '!$B132</f>
        <v>0</v>
      </c>
      <c r="G132" s="528">
        <f>'Recycling - Case 2'!$AK107*'Recycling - Case 2'!BQ107*'4C2 Open-burning '!$B132</f>
        <v>0</v>
      </c>
      <c r="H132" s="528">
        <f>'Recycling - Case 2'!$AK107*'Recycling - Case 2'!BR107*'4C2 Open-burning '!$B132</f>
        <v>0</v>
      </c>
      <c r="I132" s="528">
        <f>'Recycling - Case 2'!$AK107*'Recycling - Case 2'!BS107*'4C2 Open-burning '!$B132</f>
        <v>493.29635646226745</v>
      </c>
      <c r="J132" s="744">
        <f t="shared" si="12"/>
        <v>1523.7384504067127</v>
      </c>
      <c r="K132" s="106">
        <f>'4C2 Open-burning '!C$14*'4C2 Open-burning '!$C$5*'4C2 Open-burning '!$C$6*'4C2 Open-burning '!$C$7*C132</f>
        <v>0</v>
      </c>
      <c r="L132" s="106">
        <f>'4C2 Open-burning '!D$14*'4C2 Open-burning '!$C$5*'4C2 Open-burning '!$C$6*'4C2 Open-burning '!$C$7*D132</f>
        <v>0</v>
      </c>
      <c r="M132" s="106">
        <f>'4C2 Open-burning '!E$14*'4C2 Open-burning '!$C$5*'4C2 Open-burning '!$C$6*'4C2 Open-burning '!$C$7*E132</f>
        <v>0.66653096237001286</v>
      </c>
      <c r="N132" s="106">
        <f>'4C2 Open-burning '!F$14*'4C2 Open-burning '!$C$5*'4C2 Open-burning '!$C$6*'4C2 Open-burning '!$C$7*F132</f>
        <v>0</v>
      </c>
      <c r="O132" s="106">
        <f>'4C2 Open-burning '!G$14*'4C2 Open-burning '!$C$5*'4C2 Open-burning '!$C$6*'4C2 Open-burning '!$C$7*G132</f>
        <v>0</v>
      </c>
      <c r="P132" s="106">
        <f>'4C2 Open-burning '!H$14*'4C2 Open-burning '!$C$5*'4C2 Open-burning '!$C$6*'4C2 Open-burning '!$C$7*H132</f>
        <v>0</v>
      </c>
      <c r="Q132" s="106">
        <f>'4C2 Open-burning '!I$14*'4C2 Open-burning '!$C$5*'4C2 Open-burning '!$C$6*'4C2 Open-burning '!$C$7*I132</f>
        <v>16.995046072838036</v>
      </c>
      <c r="R132" s="1384">
        <f t="shared" si="8"/>
        <v>17.661577035208047</v>
      </c>
      <c r="S132" s="485">
        <f>C132*'4C2 Open-burning '!$C$9*'4C2 Open-burning '!$C$11*$C$5</f>
        <v>1.7250230785094021</v>
      </c>
      <c r="T132" s="485">
        <f>D132*'4C2 Open-burning '!$C$9*'4C2 Open-burning '!$C$11*$C$5</f>
        <v>1.801623120561558</v>
      </c>
      <c r="U132" s="485">
        <f>E132*'4C2 Open-burning '!$C$9*'4C2 Open-burning '!$C$11*$C$5</f>
        <v>0.49207796731237596</v>
      </c>
      <c r="V132" s="485">
        <f>F132*'4C2 Open-burning '!$C$9*'4C2 Open-burning '!$C$11*$C$5</f>
        <v>0</v>
      </c>
      <c r="W132" s="485">
        <f>G132*'4C2 Open-burning '!$C$9*'4C2 Open-burning '!$C$11*$C$5</f>
        <v>0</v>
      </c>
      <c r="X132" s="485">
        <f>H132*'4C2 Open-burning '!$C$9*'4C2 Open-burning '!$C$11*$C$5</f>
        <v>0</v>
      </c>
      <c r="Y132" s="485">
        <f>I132*'4C2 Open-burning '!$C$9*'4C2 Open-burning '!$C$11*$C$5</f>
        <v>1.9238557902028428</v>
      </c>
      <c r="Z132" s="486">
        <f t="shared" si="9"/>
        <v>5.9425799565861794</v>
      </c>
      <c r="AA132" s="487">
        <f>C132*'4C2 Open-burning '!$C$10*'4C2 Open-burning '!$C$11*$C$5*C$15</f>
        <v>1.5923289955471404E-2</v>
      </c>
      <c r="AB132" s="487">
        <f>D132*'4C2 Open-burning '!$C$10*'4C2 Open-burning '!$C$11*$C$5*D$15</f>
        <v>1.6630367266722075E-2</v>
      </c>
      <c r="AC132" s="487">
        <f>E132*'4C2 Open-burning '!$C$10*'4C2 Open-burning '!$C$11*$C$5*E$15</f>
        <v>1.0220080859564733E-2</v>
      </c>
      <c r="AD132" s="487">
        <f>F132*'4C2 Open-burning '!$C$10*'4C2 Open-burning '!$C$11*$C$5*F$15</f>
        <v>0</v>
      </c>
      <c r="AE132" s="487">
        <f>G132*'4C2 Open-burning '!$C$10*'4C2 Open-burning '!$C$11*$C$5*G$15</f>
        <v>0</v>
      </c>
      <c r="AF132" s="487">
        <f>H132*'4C2 Open-burning '!$C$10*'4C2 Open-burning '!$C$11*$C$5*H$15</f>
        <v>0</v>
      </c>
      <c r="AG132" s="487">
        <f>I132*'4C2 Open-burning '!$C$10*'4C2 Open-burning '!$C$11*$C$5*I$15</f>
        <v>3.9957004873443669E-2</v>
      </c>
      <c r="AH132" s="488">
        <f t="shared" si="10"/>
        <v>8.2730742955201886E-2</v>
      </c>
      <c r="AI132" s="1389"/>
      <c r="AJ132" s="1388"/>
      <c r="AK132" s="1389"/>
    </row>
    <row r="133" spans="1:37">
      <c r="A133" s="157">
        <f>'Input data'!A128</f>
        <v>2028</v>
      </c>
      <c r="B133" s="417">
        <f>'Recycling - Case 2'!AP108</f>
        <v>6.9650668830486373E-2</v>
      </c>
      <c r="C133" s="527">
        <f>'Recycling - Case 2'!$AK108*'Recycling - Case 2'!BM108*'4C2 Open-burning '!$B133</f>
        <v>408.50849791562155</v>
      </c>
      <c r="D133" s="528">
        <f>'Recycling - Case 2'!$AK108*'Recycling - Case 2'!BN108*'4C2 Open-burning '!$B133</f>
        <v>426.64841065582618</v>
      </c>
      <c r="E133" s="528">
        <f>'Recycling - Case 2'!$AK108*'Recycling - Case 2'!BO108*'4C2 Open-burning '!$B133</f>
        <v>116.53063300338647</v>
      </c>
      <c r="F133" s="528">
        <f>'Recycling - Case 2'!$AK108*'Recycling - Case 2'!BP108*'4C2 Open-burning '!$B133</f>
        <v>0</v>
      </c>
      <c r="G133" s="528">
        <f>'Recycling - Case 2'!$AK108*'Recycling - Case 2'!BQ108*'4C2 Open-burning '!$B133</f>
        <v>0</v>
      </c>
      <c r="H133" s="528">
        <f>'Recycling - Case 2'!$AK108*'Recycling - Case 2'!BR108*'4C2 Open-burning '!$B133</f>
        <v>0</v>
      </c>
      <c r="I133" s="528">
        <f>'Recycling - Case 2'!$AK108*'Recycling - Case 2'!BS108*'4C2 Open-burning '!$B133</f>
        <v>455.59473890699661</v>
      </c>
      <c r="J133" s="744">
        <f t="shared" si="12"/>
        <v>1407.2822804818309</v>
      </c>
      <c r="K133" s="106">
        <f>'4C2 Open-burning '!C$14*'4C2 Open-burning '!$C$5*'4C2 Open-burning '!$C$6*'4C2 Open-burning '!$C$7*C133</f>
        <v>0</v>
      </c>
      <c r="L133" s="106">
        <f>'4C2 Open-burning '!D$14*'4C2 Open-burning '!$C$5*'4C2 Open-burning '!$C$6*'4C2 Open-burning '!$C$7*D133</f>
        <v>0</v>
      </c>
      <c r="M133" s="106">
        <f>'4C2 Open-burning '!E$14*'4C2 Open-burning '!$C$5*'4C2 Open-burning '!$C$6*'4C2 Open-burning '!$C$7*E133</f>
        <v>0.61558938312900946</v>
      </c>
      <c r="N133" s="106">
        <f>'4C2 Open-burning '!F$14*'4C2 Open-burning '!$C$5*'4C2 Open-burning '!$C$6*'4C2 Open-burning '!$C$7*F133</f>
        <v>0</v>
      </c>
      <c r="O133" s="106">
        <f>'4C2 Open-burning '!G$14*'4C2 Open-burning '!$C$5*'4C2 Open-burning '!$C$6*'4C2 Open-burning '!$C$7*G133</f>
        <v>0</v>
      </c>
      <c r="P133" s="106">
        <f>'4C2 Open-burning '!H$14*'4C2 Open-burning '!$C$5*'4C2 Open-burning '!$C$6*'4C2 Open-burning '!$C$7*H133</f>
        <v>0</v>
      </c>
      <c r="Q133" s="106">
        <f>'4C2 Open-burning '!I$14*'4C2 Open-burning '!$C$5*'4C2 Open-burning '!$C$6*'4C2 Open-burning '!$C$7*I133</f>
        <v>15.696149944823846</v>
      </c>
      <c r="R133" s="1384">
        <f t="shared" si="8"/>
        <v>16.311739327952857</v>
      </c>
      <c r="S133" s="485">
        <f>C133*'4C2 Open-burning '!$C$9*'4C2 Open-burning '!$C$11*$C$5</f>
        <v>1.5931831418709239</v>
      </c>
      <c r="T133" s="485">
        <f>D133*'4C2 Open-burning '!$C$9*'4C2 Open-burning '!$C$11*$C$5</f>
        <v>1.663928801557722</v>
      </c>
      <c r="U133" s="485">
        <f>E133*'4C2 Open-burning '!$C$9*'4C2 Open-burning '!$C$11*$C$5</f>
        <v>0.4544694687132072</v>
      </c>
      <c r="V133" s="485">
        <f>F133*'4C2 Open-burning '!$C$9*'4C2 Open-burning '!$C$11*$C$5</f>
        <v>0</v>
      </c>
      <c r="W133" s="485">
        <f>G133*'4C2 Open-burning '!$C$9*'4C2 Open-burning '!$C$11*$C$5</f>
        <v>0</v>
      </c>
      <c r="X133" s="485">
        <f>H133*'4C2 Open-burning '!$C$9*'4C2 Open-burning '!$C$11*$C$5</f>
        <v>0</v>
      </c>
      <c r="Y133" s="485">
        <f>I133*'4C2 Open-burning '!$C$9*'4C2 Open-burning '!$C$11*$C$5</f>
        <v>1.7768194817372867</v>
      </c>
      <c r="Z133" s="486">
        <f t="shared" si="9"/>
        <v>5.48840089387914</v>
      </c>
      <c r="AA133" s="487">
        <f>C133*'4C2 Open-burning '!$C$10*'4C2 Open-burning '!$C$11*$C$5*C$15</f>
        <v>1.4706305924962373E-2</v>
      </c>
      <c r="AB133" s="487">
        <f>D133*'4C2 Open-burning '!$C$10*'4C2 Open-burning '!$C$11*$C$5*D$15</f>
        <v>1.5359342783609745E-2</v>
      </c>
      <c r="AC133" s="487">
        <f>E133*'4C2 Open-burning '!$C$10*'4C2 Open-burning '!$C$11*$C$5*E$15</f>
        <v>9.4389812732743016E-3</v>
      </c>
      <c r="AD133" s="487">
        <f>F133*'4C2 Open-burning '!$C$10*'4C2 Open-burning '!$C$11*$C$5*F$15</f>
        <v>0</v>
      </c>
      <c r="AE133" s="487">
        <f>G133*'4C2 Open-burning '!$C$10*'4C2 Open-burning '!$C$11*$C$5*G$15</f>
        <v>0</v>
      </c>
      <c r="AF133" s="487">
        <f>H133*'4C2 Open-burning '!$C$10*'4C2 Open-burning '!$C$11*$C$5*H$15</f>
        <v>0</v>
      </c>
      <c r="AG133" s="487">
        <f>I133*'4C2 Open-burning '!$C$10*'4C2 Open-burning '!$C$11*$C$5*I$15</f>
        <v>3.6903173851466728E-2</v>
      </c>
      <c r="AH133" s="488">
        <f t="shared" si="10"/>
        <v>7.6407803833313151E-2</v>
      </c>
      <c r="AI133" s="1389"/>
      <c r="AJ133" s="1388"/>
      <c r="AK133" s="1389"/>
    </row>
    <row r="134" spans="1:37">
      <c r="A134" s="157">
        <f>'Input data'!A129</f>
        <v>2029</v>
      </c>
      <c r="B134" s="417">
        <f>'Recycling - Case 2'!AP109</f>
        <v>6.456893299470301E-2</v>
      </c>
      <c r="C134" s="527">
        <f>'Recycling - Case 2'!$AK109*'Recycling - Case 2'!BM109*'4C2 Open-burning '!$B134</f>
        <v>374.02265479868714</v>
      </c>
      <c r="D134" s="528">
        <f>'Recycling - Case 2'!$AK109*'Recycling - Case 2'!BN109*'4C2 Open-burning '!$B134</f>
        <v>390.63121583358947</v>
      </c>
      <c r="E134" s="528">
        <f>'Recycling - Case 2'!$AK109*'Recycling - Case 2'!BO109*'4C2 Open-burning '!$B134</f>
        <v>106.69324369918181</v>
      </c>
      <c r="F134" s="528">
        <f>'Recycling - Case 2'!$AK109*'Recycling - Case 2'!BP109*'4C2 Open-burning '!$B134</f>
        <v>0</v>
      </c>
      <c r="G134" s="528">
        <f>'Recycling - Case 2'!$AK109*'Recycling - Case 2'!BQ109*'4C2 Open-burning '!$B134</f>
        <v>0</v>
      </c>
      <c r="H134" s="528">
        <f>'Recycling - Case 2'!$AK109*'Recycling - Case 2'!BR109*'4C2 Open-burning '!$B134</f>
        <v>0</v>
      </c>
      <c r="I134" s="528">
        <f>'Recycling - Case 2'!$AK109*'Recycling - Case 2'!BS109*'4C2 Open-burning '!$B134</f>
        <v>417.13392653463643</v>
      </c>
      <c r="J134" s="744">
        <f t="shared" si="12"/>
        <v>1288.4810408660949</v>
      </c>
      <c r="K134" s="106">
        <f>'4C2 Open-burning '!C$14*'4C2 Open-burning '!$C$5*'4C2 Open-burning '!$C$6*'4C2 Open-burning '!$C$7*C134</f>
        <v>0</v>
      </c>
      <c r="L134" s="106">
        <f>'4C2 Open-burning '!D$14*'4C2 Open-burning '!$C$5*'4C2 Open-burning '!$C$6*'4C2 Open-burning '!$C$7*D134</f>
        <v>0</v>
      </c>
      <c r="M134" s="106">
        <f>'4C2 Open-burning '!E$14*'4C2 Open-burning '!$C$5*'4C2 Open-burning '!$C$6*'4C2 Open-burning '!$C$7*E134</f>
        <v>0.56362199689504577</v>
      </c>
      <c r="N134" s="106">
        <f>'4C2 Open-burning '!F$14*'4C2 Open-burning '!$C$5*'4C2 Open-burning '!$C$6*'4C2 Open-burning '!$C$7*F134</f>
        <v>0</v>
      </c>
      <c r="O134" s="106">
        <f>'4C2 Open-burning '!G$14*'4C2 Open-burning '!$C$5*'4C2 Open-burning '!$C$6*'4C2 Open-burning '!$C$7*G134</f>
        <v>0</v>
      </c>
      <c r="P134" s="106">
        <f>'4C2 Open-burning '!H$14*'4C2 Open-burning '!$C$5*'4C2 Open-burning '!$C$6*'4C2 Open-burning '!$C$7*H134</f>
        <v>0</v>
      </c>
      <c r="Q134" s="106">
        <f>'4C2 Open-burning '!I$14*'4C2 Open-burning '!$C$5*'4C2 Open-burning '!$C$6*'4C2 Open-burning '!$C$7*I134</f>
        <v>14.371098036971294</v>
      </c>
      <c r="R134" s="1384">
        <f t="shared" si="8"/>
        <v>14.93472003386634</v>
      </c>
      <c r="S134" s="485">
        <f>C134*'4C2 Open-burning '!$C$9*'4C2 Open-burning '!$C$11*$C$5</f>
        <v>1.4586883537148798</v>
      </c>
      <c r="T134" s="485">
        <f>D134*'4C2 Open-burning '!$C$9*'4C2 Open-burning '!$C$11*$C$5</f>
        <v>1.5234617417509988</v>
      </c>
      <c r="U134" s="485">
        <f>E134*'4C2 Open-burning '!$C$9*'4C2 Open-burning '!$C$11*$C$5</f>
        <v>0.41610365042680902</v>
      </c>
      <c r="V134" s="485">
        <f>F134*'4C2 Open-burning '!$C$9*'4C2 Open-burning '!$C$11*$C$5</f>
        <v>0</v>
      </c>
      <c r="W134" s="485">
        <f>G134*'4C2 Open-burning '!$C$9*'4C2 Open-burning '!$C$11*$C$5</f>
        <v>0</v>
      </c>
      <c r="X134" s="485">
        <f>H134*'4C2 Open-burning '!$C$9*'4C2 Open-burning '!$C$11*$C$5</f>
        <v>0</v>
      </c>
      <c r="Y134" s="485">
        <f>I134*'4C2 Open-burning '!$C$9*'4C2 Open-burning '!$C$11*$C$5</f>
        <v>1.6268223134850821</v>
      </c>
      <c r="Z134" s="486">
        <f t="shared" si="9"/>
        <v>5.0250760593777697</v>
      </c>
      <c r="AA134" s="487">
        <f>C134*'4C2 Open-burning '!$C$10*'4C2 Open-burning '!$C$11*$C$5*C$15</f>
        <v>1.3464815572752737E-2</v>
      </c>
      <c r="AB134" s="487">
        <f>D134*'4C2 Open-burning '!$C$10*'4C2 Open-burning '!$C$11*$C$5*D$15</f>
        <v>1.4062723770009221E-2</v>
      </c>
      <c r="AC134" s="487">
        <f>E134*'4C2 Open-burning '!$C$10*'4C2 Open-burning '!$C$11*$C$5*E$15</f>
        <v>8.642152739633726E-3</v>
      </c>
      <c r="AD134" s="487">
        <f>F134*'4C2 Open-burning '!$C$10*'4C2 Open-burning '!$C$11*$C$5*F$15</f>
        <v>0</v>
      </c>
      <c r="AE134" s="487">
        <f>G134*'4C2 Open-burning '!$C$10*'4C2 Open-burning '!$C$11*$C$5*G$15</f>
        <v>0</v>
      </c>
      <c r="AF134" s="487">
        <f>H134*'4C2 Open-burning '!$C$10*'4C2 Open-burning '!$C$11*$C$5*H$15</f>
        <v>0</v>
      </c>
      <c r="AG134" s="487">
        <f>I134*'4C2 Open-burning '!$C$10*'4C2 Open-burning '!$C$11*$C$5*I$15</f>
        <v>3.3787848049305548E-2</v>
      </c>
      <c r="AH134" s="488">
        <f t="shared" si="10"/>
        <v>6.9957540131701232E-2</v>
      </c>
      <c r="AI134" s="1389"/>
      <c r="AJ134" s="1388"/>
      <c r="AK134" s="1389"/>
    </row>
    <row r="135" spans="1:37">
      <c r="A135" s="157">
        <f>'Input data'!A130</f>
        <v>2030</v>
      </c>
      <c r="B135" s="417">
        <f>'Recycling - Case 2'!AP110</f>
        <v>5.9232841965285256E-2</v>
      </c>
      <c r="C135" s="527">
        <f>'Recycling - Case 2'!$AK110*'Recycling - Case 2'!BM110*'4C2 Open-burning '!$B135</f>
        <v>338.8310757638115</v>
      </c>
      <c r="D135" s="528">
        <f>'Recycling - Case 2'!$AK110*'Recycling - Case 2'!BN110*'4C2 Open-burning '!$B135</f>
        <v>353.87694672949891</v>
      </c>
      <c r="E135" s="528">
        <f>'Recycling - Case 2'!$AK110*'Recycling - Case 2'!BO110*'4C2 Open-burning '!$B135</f>
        <v>96.654537032742255</v>
      </c>
      <c r="F135" s="528">
        <f>'Recycling - Case 2'!$AK110*'Recycling - Case 2'!BP110*'4C2 Open-burning '!$B135</f>
        <v>0</v>
      </c>
      <c r="G135" s="528">
        <f>'Recycling - Case 2'!$AK110*'Recycling - Case 2'!BQ110*'4C2 Open-burning '!$B135</f>
        <v>0</v>
      </c>
      <c r="H135" s="528">
        <f>'Recycling - Case 2'!$AK110*'Recycling - Case 2'!BR110*'4C2 Open-burning '!$B135</f>
        <v>0</v>
      </c>
      <c r="I135" s="528">
        <f>'Recycling - Case 2'!$AK110*'Recycling - Case 2'!BS110*'4C2 Open-burning '!$B135</f>
        <v>377.88603244203728</v>
      </c>
      <c r="J135" s="744">
        <f t="shared" si="12"/>
        <v>1167.2485919680898</v>
      </c>
      <c r="K135" s="106">
        <f>'4C2 Open-burning '!C$14*'4C2 Open-burning '!$C$5*'4C2 Open-burning '!$C$6*'4C2 Open-burning '!$C$7*C135</f>
        <v>0</v>
      </c>
      <c r="L135" s="106">
        <f>'4C2 Open-burning '!D$14*'4C2 Open-burning '!$C$5*'4C2 Open-burning '!$C$6*'4C2 Open-burning '!$C$7*D135</f>
        <v>0</v>
      </c>
      <c r="M135" s="106">
        <f>'4C2 Open-burning '!E$14*'4C2 Open-burning '!$C$5*'4C2 Open-burning '!$C$6*'4C2 Open-burning '!$C$7*E135</f>
        <v>0.51059112351064551</v>
      </c>
      <c r="N135" s="106">
        <f>'4C2 Open-burning '!F$14*'4C2 Open-burning '!$C$5*'4C2 Open-burning '!$C$6*'4C2 Open-burning '!$C$7*F135</f>
        <v>0</v>
      </c>
      <c r="O135" s="106">
        <f>'4C2 Open-burning '!G$14*'4C2 Open-burning '!$C$5*'4C2 Open-burning '!$C$6*'4C2 Open-burning '!$C$7*G135</f>
        <v>0</v>
      </c>
      <c r="P135" s="106">
        <f>'4C2 Open-burning '!H$14*'4C2 Open-burning '!$C$5*'4C2 Open-burning '!$C$6*'4C2 Open-burning '!$C$7*H135</f>
        <v>0</v>
      </c>
      <c r="Q135" s="106">
        <f>'4C2 Open-burning '!I$14*'4C2 Open-burning '!$C$5*'4C2 Open-burning '!$C$6*'4C2 Open-burning '!$C$7*I135</f>
        <v>13.018929589693068</v>
      </c>
      <c r="R135" s="1384">
        <f t="shared" si="8"/>
        <v>13.529520713203713</v>
      </c>
      <c r="S135" s="485">
        <f>C135*'4C2 Open-burning '!$C$9*'4C2 Open-burning '!$C$11*$C$5</f>
        <v>1.321441195478865</v>
      </c>
      <c r="T135" s="485">
        <f>D135*'4C2 Open-burning '!$C$9*'4C2 Open-burning '!$C$11*$C$5</f>
        <v>1.3801200922450456</v>
      </c>
      <c r="U135" s="485">
        <f>E135*'4C2 Open-burning '!$C$9*'4C2 Open-burning '!$C$11*$C$5</f>
        <v>0.37695269442769475</v>
      </c>
      <c r="V135" s="485">
        <f>F135*'4C2 Open-burning '!$C$9*'4C2 Open-burning '!$C$11*$C$5</f>
        <v>0</v>
      </c>
      <c r="W135" s="485">
        <f>G135*'4C2 Open-burning '!$C$9*'4C2 Open-burning '!$C$11*$C$5</f>
        <v>0</v>
      </c>
      <c r="X135" s="485">
        <f>H135*'4C2 Open-burning '!$C$9*'4C2 Open-burning '!$C$11*$C$5</f>
        <v>0</v>
      </c>
      <c r="Y135" s="485">
        <f>I135*'4C2 Open-burning '!$C$9*'4C2 Open-burning '!$C$11*$C$5</f>
        <v>1.4737555265239453</v>
      </c>
      <c r="Z135" s="486">
        <f t="shared" si="9"/>
        <v>4.5522695086755505</v>
      </c>
      <c r="AA135" s="487">
        <f>C135*'4C2 Open-burning '!$C$10*'4C2 Open-burning '!$C$11*$C$5*C$15</f>
        <v>1.2197918727497212E-2</v>
      </c>
      <c r="AB135" s="487">
        <f>D135*'4C2 Open-burning '!$C$10*'4C2 Open-burning '!$C$11*$C$5*D$15</f>
        <v>1.2739570082261962E-2</v>
      </c>
      <c r="AC135" s="487">
        <f>E135*'4C2 Open-burning '!$C$10*'4C2 Open-burning '!$C$11*$C$5*E$15</f>
        <v>7.8290174996521224E-3</v>
      </c>
      <c r="AD135" s="487">
        <f>F135*'4C2 Open-burning '!$C$10*'4C2 Open-burning '!$C$11*$C$5*F$15</f>
        <v>0</v>
      </c>
      <c r="AE135" s="487">
        <f>G135*'4C2 Open-burning '!$C$10*'4C2 Open-burning '!$C$11*$C$5*G$15</f>
        <v>0</v>
      </c>
      <c r="AF135" s="487">
        <f>H135*'4C2 Open-burning '!$C$10*'4C2 Open-burning '!$C$11*$C$5*H$15</f>
        <v>0</v>
      </c>
      <c r="AG135" s="487">
        <f>I135*'4C2 Open-burning '!$C$10*'4C2 Open-burning '!$C$11*$C$5*I$15</f>
        <v>3.0608768627805014E-2</v>
      </c>
      <c r="AH135" s="488">
        <f t="shared" si="10"/>
        <v>6.3375274937216314E-2</v>
      </c>
      <c r="AI135" s="1389"/>
      <c r="AJ135" s="1388"/>
      <c r="AK135" s="1389"/>
    </row>
    <row r="136" spans="1:37">
      <c r="A136" s="157">
        <f>'Input data'!A131</f>
        <v>2031</v>
      </c>
      <c r="B136" s="417">
        <f>'Recycling - Case 2'!AP111</f>
        <v>5.3303987081268309E-2</v>
      </c>
      <c r="C136" s="527">
        <f>'Recycling - Case 2'!$AK111*'Recycling - Case 2'!BM111*'4C2 Open-burning '!$B136</f>
        <v>298.82604241262339</v>
      </c>
      <c r="D136" s="528">
        <f>'Recycling - Case 2'!$AK111*'Recycling - Case 2'!BN111*'4C2 Open-burning '!$B136</f>
        <v>312.09548077565421</v>
      </c>
      <c r="E136" s="528">
        <f>'Recycling - Case 2'!$AK111*'Recycling - Case 2'!BO111*'4C2 Open-burning '!$B136</f>
        <v>85.242750292632735</v>
      </c>
      <c r="F136" s="528">
        <f>'Recycling - Case 2'!$AK111*'Recycling - Case 2'!BP111*'4C2 Open-burning '!$B136</f>
        <v>0</v>
      </c>
      <c r="G136" s="528">
        <f>'Recycling - Case 2'!$AK111*'Recycling - Case 2'!BQ111*'4C2 Open-burning '!$B136</f>
        <v>0</v>
      </c>
      <c r="H136" s="528">
        <f>'Recycling - Case 2'!$AK111*'Recycling - Case 2'!BR111*'4C2 Open-burning '!$B136</f>
        <v>0</v>
      </c>
      <c r="I136" s="528">
        <f>'Recycling - Case 2'!$AK111*'Recycling - Case 2'!BS111*'4C2 Open-burning '!$B136</f>
        <v>333.26986700705311</v>
      </c>
      <c r="J136" s="744">
        <f t="shared" si="12"/>
        <v>1029.4341404879635</v>
      </c>
      <c r="K136" s="106">
        <f>'4C2 Open-burning '!C$14*'4C2 Open-burning '!$C$5*'4C2 Open-burning '!$C$6*'4C2 Open-burning '!$C$7*C136</f>
        <v>0</v>
      </c>
      <c r="L136" s="106">
        <f>'4C2 Open-burning '!D$14*'4C2 Open-burning '!$C$5*'4C2 Open-burning '!$C$6*'4C2 Open-burning '!$C$7*D136</f>
        <v>0</v>
      </c>
      <c r="M136" s="106">
        <f>'4C2 Open-burning '!E$14*'4C2 Open-burning '!$C$5*'4C2 Open-burning '!$C$6*'4C2 Open-burning '!$C$7*E136</f>
        <v>0.45030676240587336</v>
      </c>
      <c r="N136" s="106">
        <f>'4C2 Open-burning '!F$14*'4C2 Open-burning '!$C$5*'4C2 Open-burning '!$C$6*'4C2 Open-burning '!$C$7*F136</f>
        <v>0</v>
      </c>
      <c r="O136" s="106">
        <f>'4C2 Open-burning '!G$14*'4C2 Open-burning '!$C$5*'4C2 Open-burning '!$C$6*'4C2 Open-burning '!$C$7*G136</f>
        <v>0</v>
      </c>
      <c r="P136" s="106">
        <f>'4C2 Open-burning '!H$14*'4C2 Open-burning '!$C$5*'4C2 Open-burning '!$C$6*'4C2 Open-burning '!$C$7*H136</f>
        <v>0</v>
      </c>
      <c r="Q136" s="106">
        <f>'4C2 Open-burning '!I$14*'4C2 Open-burning '!$C$5*'4C2 Open-burning '!$C$6*'4C2 Open-burning '!$C$7*I136</f>
        <v>11.481813458126993</v>
      </c>
      <c r="R136" s="1384">
        <f t="shared" si="8"/>
        <v>11.932120220532866</v>
      </c>
      <c r="S136" s="485">
        <f>C136*'4C2 Open-burning '!$C$9*'4C2 Open-burning '!$C$11*$C$5</f>
        <v>1.1654215654092313</v>
      </c>
      <c r="T136" s="485">
        <f>D136*'4C2 Open-burning '!$C$9*'4C2 Open-burning '!$C$11*$C$5</f>
        <v>1.2171723750250514</v>
      </c>
      <c r="U136" s="485">
        <f>E136*'4C2 Open-burning '!$C$9*'4C2 Open-burning '!$C$11*$C$5</f>
        <v>0.33244672614126763</v>
      </c>
      <c r="V136" s="485">
        <f>F136*'4C2 Open-burning '!$C$9*'4C2 Open-burning '!$C$11*$C$5</f>
        <v>0</v>
      </c>
      <c r="W136" s="485">
        <f>G136*'4C2 Open-burning '!$C$9*'4C2 Open-burning '!$C$11*$C$5</f>
        <v>0</v>
      </c>
      <c r="X136" s="485">
        <f>H136*'4C2 Open-burning '!$C$9*'4C2 Open-burning '!$C$11*$C$5</f>
        <v>0</v>
      </c>
      <c r="Y136" s="485">
        <f>I136*'4C2 Open-burning '!$C$9*'4C2 Open-burning '!$C$11*$C$5</f>
        <v>1.299752481327507</v>
      </c>
      <c r="Z136" s="486">
        <f t="shared" si="9"/>
        <v>4.014793147903057</v>
      </c>
      <c r="AA136" s="487">
        <f>C136*'4C2 Open-burning '!$C$10*'4C2 Open-burning '!$C$11*$C$5*C$15</f>
        <v>1.0757737526854444E-2</v>
      </c>
      <c r="AB136" s="487">
        <f>D136*'4C2 Open-burning '!$C$10*'4C2 Open-burning '!$C$11*$C$5*D$15</f>
        <v>1.123543730792355E-2</v>
      </c>
      <c r="AC136" s="487">
        <f>E136*'4C2 Open-burning '!$C$10*'4C2 Open-burning '!$C$11*$C$5*E$15</f>
        <v>6.9046627737032514E-3</v>
      </c>
      <c r="AD136" s="487">
        <f>F136*'4C2 Open-burning '!$C$10*'4C2 Open-burning '!$C$11*$C$5*F$15</f>
        <v>0</v>
      </c>
      <c r="AE136" s="487">
        <f>G136*'4C2 Open-burning '!$C$10*'4C2 Open-burning '!$C$11*$C$5*G$15</f>
        <v>0</v>
      </c>
      <c r="AF136" s="487">
        <f>H136*'4C2 Open-burning '!$C$10*'4C2 Open-burning '!$C$11*$C$5*H$15</f>
        <v>0</v>
      </c>
      <c r="AG136" s="487">
        <f>I136*'4C2 Open-burning '!$C$10*'4C2 Open-burning '!$C$11*$C$5*I$15</f>
        <v>2.6994859227571302E-2</v>
      </c>
      <c r="AH136" s="488">
        <f t="shared" si="10"/>
        <v>5.5892696836052552E-2</v>
      </c>
      <c r="AI136" s="1389"/>
      <c r="AJ136" s="1388"/>
      <c r="AK136" s="1389"/>
    </row>
    <row r="137" spans="1:37">
      <c r="A137" s="157">
        <f>'Input data'!A132</f>
        <v>2032</v>
      </c>
      <c r="B137" s="417">
        <f>'Recycling - Case 2'!AP112</f>
        <v>4.7169902017933425E-2</v>
      </c>
      <c r="C137" s="527">
        <f>'Recycling - Case 2'!$AK112*'Recycling - Case 2'!BM112*'4C2 Open-burning '!$B137</f>
        <v>259.06958659317866</v>
      </c>
      <c r="D137" s="528">
        <f>'Recycling - Case 2'!$AK112*'Recycling - Case 2'!BN112*'4C2 Open-burning '!$B137</f>
        <v>270.57363049537389</v>
      </c>
      <c r="E137" s="528">
        <f>'Recycling - Case 2'!$AK112*'Recycling - Case 2'!BO112*'4C2 Open-burning '!$B137</f>
        <v>73.901872474301555</v>
      </c>
      <c r="F137" s="528">
        <f>'Recycling - Case 2'!$AK112*'Recycling - Case 2'!BP112*'4C2 Open-burning '!$B137</f>
        <v>0</v>
      </c>
      <c r="G137" s="528">
        <f>'Recycling - Case 2'!$AK112*'Recycling - Case 2'!BQ112*'4C2 Open-burning '!$B137</f>
        <v>0</v>
      </c>
      <c r="H137" s="528">
        <f>'Recycling - Case 2'!$AK112*'Recycling - Case 2'!BR112*'4C2 Open-burning '!$B137</f>
        <v>0</v>
      </c>
      <c r="I137" s="528">
        <f>'Recycling - Case 2'!$AK112*'Recycling - Case 2'!BS112*'4C2 Open-burning '!$B137</f>
        <v>288.93093109422244</v>
      </c>
      <c r="J137" s="744">
        <f t="shared" si="12"/>
        <v>892.47602065707656</v>
      </c>
      <c r="K137" s="106">
        <f>'4C2 Open-burning '!C$14*'4C2 Open-burning '!$C$5*'4C2 Open-burning '!$C$6*'4C2 Open-burning '!$C$7*C137</f>
        <v>0</v>
      </c>
      <c r="L137" s="106">
        <f>'4C2 Open-burning '!D$14*'4C2 Open-burning '!$C$5*'4C2 Open-burning '!$C$6*'4C2 Open-burning '!$C$7*D137</f>
        <v>0</v>
      </c>
      <c r="M137" s="106">
        <f>'4C2 Open-burning '!E$14*'4C2 Open-burning '!$C$5*'4C2 Open-burning '!$C$6*'4C2 Open-burning '!$C$7*E137</f>
        <v>0.39039698760764435</v>
      </c>
      <c r="N137" s="106">
        <f>'4C2 Open-burning '!F$14*'4C2 Open-burning '!$C$5*'4C2 Open-burning '!$C$6*'4C2 Open-burning '!$C$7*F137</f>
        <v>0</v>
      </c>
      <c r="O137" s="106">
        <f>'4C2 Open-burning '!G$14*'4C2 Open-burning '!$C$5*'4C2 Open-burning '!$C$6*'4C2 Open-burning '!$C$7*G137</f>
        <v>0</v>
      </c>
      <c r="P137" s="106">
        <f>'4C2 Open-burning '!H$14*'4C2 Open-burning '!$C$5*'4C2 Open-burning '!$C$6*'4C2 Open-burning '!$C$7*H137</f>
        <v>0</v>
      </c>
      <c r="Q137" s="106">
        <f>'4C2 Open-burning '!I$14*'4C2 Open-burning '!$C$5*'4C2 Open-burning '!$C$6*'4C2 Open-burning '!$C$7*I137</f>
        <v>9.9542484380581513</v>
      </c>
      <c r="R137" s="1384">
        <f t="shared" si="8"/>
        <v>10.344645425665796</v>
      </c>
      <c r="S137" s="485">
        <f>C137*'4C2 Open-burning '!$C$9*'4C2 Open-burning '!$C$11*$C$5</f>
        <v>1.0103713877133966</v>
      </c>
      <c r="T137" s="485">
        <f>D137*'4C2 Open-burning '!$C$9*'4C2 Open-burning '!$C$11*$C$5</f>
        <v>1.055237158931958</v>
      </c>
      <c r="U137" s="485">
        <f>E137*'4C2 Open-burning '!$C$9*'4C2 Open-burning '!$C$11*$C$5</f>
        <v>0.28821730264977602</v>
      </c>
      <c r="V137" s="485">
        <f>F137*'4C2 Open-burning '!$C$9*'4C2 Open-burning '!$C$11*$C$5</f>
        <v>0</v>
      </c>
      <c r="W137" s="485">
        <f>G137*'4C2 Open-burning '!$C$9*'4C2 Open-burning '!$C$11*$C$5</f>
        <v>0</v>
      </c>
      <c r="X137" s="485">
        <f>H137*'4C2 Open-burning '!$C$9*'4C2 Open-burning '!$C$11*$C$5</f>
        <v>0</v>
      </c>
      <c r="Y137" s="485">
        <f>I137*'4C2 Open-burning '!$C$9*'4C2 Open-burning '!$C$11*$C$5</f>
        <v>1.1268306312674674</v>
      </c>
      <c r="Z137" s="486">
        <f t="shared" si="9"/>
        <v>3.4806564805625984</v>
      </c>
      <c r="AA137" s="487">
        <f>C137*'4C2 Open-burning '!$C$10*'4C2 Open-burning '!$C$11*$C$5*C$15</f>
        <v>9.3265051173544306E-3</v>
      </c>
      <c r="AB137" s="487">
        <f>D137*'4C2 Open-burning '!$C$10*'4C2 Open-burning '!$C$11*$C$5*D$15</f>
        <v>9.7406506978334612E-3</v>
      </c>
      <c r="AC137" s="487">
        <f>E137*'4C2 Open-burning '!$C$10*'4C2 Open-burning '!$C$11*$C$5*E$15</f>
        <v>5.9860516704184257E-3</v>
      </c>
      <c r="AD137" s="487">
        <f>F137*'4C2 Open-burning '!$C$10*'4C2 Open-burning '!$C$11*$C$5*F$15</f>
        <v>0</v>
      </c>
      <c r="AE137" s="487">
        <f>G137*'4C2 Open-burning '!$C$10*'4C2 Open-burning '!$C$11*$C$5*G$15</f>
        <v>0</v>
      </c>
      <c r="AF137" s="487">
        <f>H137*'4C2 Open-burning '!$C$10*'4C2 Open-burning '!$C$11*$C$5*H$15</f>
        <v>0</v>
      </c>
      <c r="AG137" s="487">
        <f>I137*'4C2 Open-burning '!$C$10*'4C2 Open-burning '!$C$11*$C$5*I$15</f>
        <v>2.3403405418632013E-2</v>
      </c>
      <c r="AH137" s="488">
        <f t="shared" si="10"/>
        <v>4.8456612904238333E-2</v>
      </c>
      <c r="AI137" s="1389"/>
      <c r="AJ137" s="1388"/>
      <c r="AK137" s="1389"/>
    </row>
    <row r="138" spans="1:37">
      <c r="A138" s="157">
        <f>'Input data'!A133</f>
        <v>2033</v>
      </c>
      <c r="B138" s="417">
        <f>'Recycling - Case 2'!AP113</f>
        <v>4.6838844603991521E-2</v>
      </c>
      <c r="C138" s="527">
        <f>'Recycling - Case 2'!$AK113*'Recycling - Case 2'!BM113*'4C2 Open-burning '!$B138</f>
        <v>258.30163348813284</v>
      </c>
      <c r="D138" s="528">
        <f>'Recycling - Case 2'!$AK113*'Recycling - Case 2'!BN113*'4C2 Open-burning '!$B138</f>
        <v>269.77157625807456</v>
      </c>
      <c r="E138" s="528">
        <f>'Recycling - Case 2'!$AK113*'Recycling - Case 2'!BO113*'4C2 Open-burning '!$B138</f>
        <v>73.682807113594208</v>
      </c>
      <c r="F138" s="528">
        <f>'Recycling - Case 2'!$AK113*'Recycling - Case 2'!BP113*'4C2 Open-burning '!$B138</f>
        <v>0</v>
      </c>
      <c r="G138" s="528">
        <f>'Recycling - Case 2'!$AK113*'Recycling - Case 2'!BQ113*'4C2 Open-burning '!$B138</f>
        <v>0</v>
      </c>
      <c r="H138" s="528">
        <f>'Recycling - Case 2'!$AK113*'Recycling - Case 2'!BR113*'4C2 Open-burning '!$B138</f>
        <v>0</v>
      </c>
      <c r="I138" s="528">
        <f>'Recycling - Case 2'!$AK113*'Recycling - Case 2'!BS113*'4C2 Open-burning '!$B138</f>
        <v>288.0744607975912</v>
      </c>
      <c r="J138" s="744">
        <f t="shared" si="12"/>
        <v>889.83047765739275</v>
      </c>
      <c r="K138" s="106">
        <f>'4C2 Open-burning '!C$14*'4C2 Open-burning '!$C$5*'4C2 Open-burning '!$C$6*'4C2 Open-burning '!$C$7*C138</f>
        <v>0</v>
      </c>
      <c r="L138" s="106">
        <f>'4C2 Open-burning '!D$14*'4C2 Open-burning '!$C$5*'4C2 Open-burning '!$C$6*'4C2 Open-burning '!$C$7*D138</f>
        <v>0</v>
      </c>
      <c r="M138" s="106">
        <f>'4C2 Open-burning '!E$14*'4C2 Open-burning '!$C$5*'4C2 Open-burning '!$C$6*'4C2 Open-burning '!$C$7*E138</f>
        <v>0.38923974417055729</v>
      </c>
      <c r="N138" s="106">
        <f>'4C2 Open-burning '!F$14*'4C2 Open-burning '!$C$5*'4C2 Open-burning '!$C$6*'4C2 Open-burning '!$C$7*F138</f>
        <v>0</v>
      </c>
      <c r="O138" s="106">
        <f>'4C2 Open-burning '!G$14*'4C2 Open-burning '!$C$5*'4C2 Open-burning '!$C$6*'4C2 Open-burning '!$C$7*G138</f>
        <v>0</v>
      </c>
      <c r="P138" s="106">
        <f>'4C2 Open-burning '!H$14*'4C2 Open-burning '!$C$5*'4C2 Open-burning '!$C$6*'4C2 Open-burning '!$C$7*H138</f>
        <v>0</v>
      </c>
      <c r="Q138" s="106">
        <f>'4C2 Open-burning '!I$14*'4C2 Open-burning '!$C$5*'4C2 Open-burning '!$C$6*'4C2 Open-burning '!$C$7*I138</f>
        <v>9.9247413233986101</v>
      </c>
      <c r="R138" s="1384">
        <f t="shared" si="8"/>
        <v>10.313981067569168</v>
      </c>
      <c r="S138" s="485">
        <f>C138*'4C2 Open-burning '!$C$9*'4C2 Open-burning '!$C$11*$C$5</f>
        <v>1.007376370603718</v>
      </c>
      <c r="T138" s="485">
        <f>D138*'4C2 Open-burning '!$C$9*'4C2 Open-burning '!$C$11*$C$5</f>
        <v>1.0521091474064908</v>
      </c>
      <c r="U138" s="485">
        <f>E138*'4C2 Open-burning '!$C$9*'4C2 Open-burning '!$C$11*$C$5</f>
        <v>0.28736294774301735</v>
      </c>
      <c r="V138" s="485">
        <f>F138*'4C2 Open-burning '!$C$9*'4C2 Open-burning '!$C$11*$C$5</f>
        <v>0</v>
      </c>
      <c r="W138" s="485">
        <f>G138*'4C2 Open-burning '!$C$9*'4C2 Open-burning '!$C$11*$C$5</f>
        <v>0</v>
      </c>
      <c r="X138" s="485">
        <f>H138*'4C2 Open-burning '!$C$9*'4C2 Open-burning '!$C$11*$C$5</f>
        <v>0</v>
      </c>
      <c r="Y138" s="485">
        <f>I138*'4C2 Open-burning '!$C$9*'4C2 Open-burning '!$C$11*$C$5</f>
        <v>1.1234903971106056</v>
      </c>
      <c r="Z138" s="486">
        <f t="shared" si="9"/>
        <v>3.4703388628638314</v>
      </c>
      <c r="AA138" s="487">
        <f>C138*'4C2 Open-burning '!$C$10*'4C2 Open-burning '!$C$11*$C$5*C$15</f>
        <v>9.2988588055727805E-3</v>
      </c>
      <c r="AB138" s="487">
        <f>D138*'4C2 Open-burning '!$C$10*'4C2 Open-burning '!$C$11*$C$5*D$15</f>
        <v>9.7117767452906834E-3</v>
      </c>
      <c r="AC138" s="487">
        <f>E138*'4C2 Open-burning '!$C$10*'4C2 Open-burning '!$C$11*$C$5*E$15</f>
        <v>5.968307376201131E-3</v>
      </c>
      <c r="AD138" s="487">
        <f>F138*'4C2 Open-burning '!$C$10*'4C2 Open-burning '!$C$11*$C$5*F$15</f>
        <v>0</v>
      </c>
      <c r="AE138" s="487">
        <f>G138*'4C2 Open-burning '!$C$10*'4C2 Open-burning '!$C$11*$C$5*G$15</f>
        <v>0</v>
      </c>
      <c r="AF138" s="487">
        <f>H138*'4C2 Open-burning '!$C$10*'4C2 Open-burning '!$C$11*$C$5*H$15</f>
        <v>0</v>
      </c>
      <c r="AG138" s="487">
        <f>I138*'4C2 Open-burning '!$C$10*'4C2 Open-burning '!$C$11*$C$5*I$15</f>
        <v>2.333403132460489E-2</v>
      </c>
      <c r="AH138" s="488">
        <f t="shared" si="10"/>
        <v>4.8312974251669485E-2</v>
      </c>
      <c r="AI138" s="1389"/>
      <c r="AJ138" s="1388"/>
      <c r="AK138" s="1389"/>
    </row>
    <row r="139" spans="1:37">
      <c r="A139" s="157">
        <f>'Input data'!A134</f>
        <v>2034</v>
      </c>
      <c r="B139" s="417">
        <f>'Recycling - Case 2'!AP114</f>
        <v>4.6510696882263718E-2</v>
      </c>
      <c r="C139" s="527">
        <f>'Recycling - Case 2'!$AK114*'Recycling - Case 2'!BM114*'4C2 Open-burning '!$B139</f>
        <v>257.54466088971469</v>
      </c>
      <c r="D139" s="528">
        <f>'Recycling - Case 2'!$AK114*'Recycling - Case 2'!BN114*'4C2 Open-burning '!$B139</f>
        <v>268.98099011929656</v>
      </c>
      <c r="E139" s="528">
        <f>'Recycling - Case 2'!$AK114*'Recycling - Case 2'!BO114*'4C2 Open-burning '!$B139</f>
        <v>73.466874038737828</v>
      </c>
      <c r="F139" s="528">
        <f>'Recycling - Case 2'!$AK114*'Recycling - Case 2'!BP114*'4C2 Open-burning '!$B139</f>
        <v>0</v>
      </c>
      <c r="G139" s="528">
        <f>'Recycling - Case 2'!$AK114*'Recycling - Case 2'!BQ114*'4C2 Open-burning '!$B139</f>
        <v>0</v>
      </c>
      <c r="H139" s="528">
        <f>'Recycling - Case 2'!$AK114*'Recycling - Case 2'!BR114*'4C2 Open-burning '!$B139</f>
        <v>0</v>
      </c>
      <c r="I139" s="528">
        <f>'Recycling - Case 2'!$AK114*'Recycling - Case 2'!BS114*'4C2 Open-burning '!$B139</f>
        <v>287.23023666248571</v>
      </c>
      <c r="J139" s="744">
        <f t="shared" si="12"/>
        <v>887.22276171023475</v>
      </c>
      <c r="K139" s="106">
        <f>'4C2 Open-burning '!C$14*'4C2 Open-burning '!$C$5*'4C2 Open-burning '!$C$6*'4C2 Open-burning '!$C$7*C139</f>
        <v>0</v>
      </c>
      <c r="L139" s="106">
        <f>'4C2 Open-burning '!D$14*'4C2 Open-burning '!$C$5*'4C2 Open-burning '!$C$6*'4C2 Open-burning '!$C$7*D139</f>
        <v>0</v>
      </c>
      <c r="M139" s="106">
        <f>'4C2 Open-burning '!E$14*'4C2 Open-burning '!$C$5*'4C2 Open-burning '!$C$6*'4C2 Open-burning '!$C$7*E139</f>
        <v>0.38809904747199797</v>
      </c>
      <c r="N139" s="106">
        <f>'4C2 Open-burning '!F$14*'4C2 Open-burning '!$C$5*'4C2 Open-burning '!$C$6*'4C2 Open-burning '!$C$7*F139</f>
        <v>0</v>
      </c>
      <c r="O139" s="106">
        <f>'4C2 Open-burning '!G$14*'4C2 Open-burning '!$C$5*'4C2 Open-burning '!$C$6*'4C2 Open-burning '!$C$7*G139</f>
        <v>0</v>
      </c>
      <c r="P139" s="106">
        <f>'4C2 Open-burning '!H$14*'4C2 Open-burning '!$C$5*'4C2 Open-burning '!$C$6*'4C2 Open-burning '!$C$7*H139</f>
        <v>0</v>
      </c>
      <c r="Q139" s="106">
        <f>'4C2 Open-burning '!I$14*'4C2 Open-burning '!$C$5*'4C2 Open-burning '!$C$6*'4C2 Open-burning '!$C$7*I139</f>
        <v>9.8956561134959564</v>
      </c>
      <c r="R139" s="1384">
        <f t="shared" si="8"/>
        <v>10.283755160967955</v>
      </c>
      <c r="S139" s="485">
        <f>C139*'4C2 Open-burning '!$C$9*'4C2 Open-burning '!$C$11*$C$5</f>
        <v>1.0044241774698872</v>
      </c>
      <c r="T139" s="485">
        <f>D139*'4C2 Open-burning '!$C$9*'4C2 Open-burning '!$C$11*$C$5</f>
        <v>1.0490258614652563</v>
      </c>
      <c r="U139" s="485">
        <f>E139*'4C2 Open-burning '!$C$9*'4C2 Open-burning '!$C$11*$C$5</f>
        <v>0.28652080875107749</v>
      </c>
      <c r="V139" s="485">
        <f>F139*'4C2 Open-burning '!$C$9*'4C2 Open-burning '!$C$11*$C$5</f>
        <v>0</v>
      </c>
      <c r="W139" s="485">
        <f>G139*'4C2 Open-burning '!$C$9*'4C2 Open-burning '!$C$11*$C$5</f>
        <v>0</v>
      </c>
      <c r="X139" s="485">
        <f>H139*'4C2 Open-burning '!$C$9*'4C2 Open-burning '!$C$11*$C$5</f>
        <v>0</v>
      </c>
      <c r="Y139" s="485">
        <f>I139*'4C2 Open-burning '!$C$9*'4C2 Open-burning '!$C$11*$C$5</f>
        <v>1.1201979229836942</v>
      </c>
      <c r="Z139" s="486">
        <f t="shared" si="9"/>
        <v>3.4601687706699158</v>
      </c>
      <c r="AA139" s="487">
        <f>C139*'4C2 Open-burning '!$C$10*'4C2 Open-burning '!$C$11*$C$5*C$15</f>
        <v>9.2716077920297277E-3</v>
      </c>
      <c r="AB139" s="487">
        <f>D139*'4C2 Open-burning '!$C$10*'4C2 Open-burning '!$C$11*$C$5*D$15</f>
        <v>9.6833156442946763E-3</v>
      </c>
      <c r="AC139" s="487">
        <f>E139*'4C2 Open-burning '!$C$10*'4C2 Open-burning '!$C$11*$C$5*E$15</f>
        <v>5.950816797137764E-3</v>
      </c>
      <c r="AD139" s="487">
        <f>F139*'4C2 Open-burning '!$C$10*'4C2 Open-burning '!$C$11*$C$5*F$15</f>
        <v>0</v>
      </c>
      <c r="AE139" s="487">
        <f>G139*'4C2 Open-burning '!$C$10*'4C2 Open-burning '!$C$11*$C$5*G$15</f>
        <v>0</v>
      </c>
      <c r="AF139" s="487">
        <f>H139*'4C2 Open-burning '!$C$10*'4C2 Open-burning '!$C$11*$C$5*H$15</f>
        <v>0</v>
      </c>
      <c r="AG139" s="487">
        <f>I139*'4C2 Open-burning '!$C$10*'4C2 Open-burning '!$C$11*$C$5*I$15</f>
        <v>2.326564916966134E-2</v>
      </c>
      <c r="AH139" s="488">
        <f t="shared" si="10"/>
        <v>4.8171389403123509E-2</v>
      </c>
      <c r="AI139" s="1389"/>
      <c r="AJ139" s="1388"/>
      <c r="AK139" s="1389"/>
    </row>
    <row r="140" spans="1:37">
      <c r="A140" s="157">
        <f>'Input data'!A135</f>
        <v>2035</v>
      </c>
      <c r="B140" s="417">
        <f>'Recycling - Case 2'!AP115</f>
        <v>4.6185410753871683E-2</v>
      </c>
      <c r="C140" s="527">
        <f>'Recycling - Case 2'!$AK115*'Recycling - Case 2'!BM115*'4C2 Open-burning '!$B140</f>
        <v>256.79846171705356</v>
      </c>
      <c r="D140" s="528">
        <f>'Recycling - Case 2'!$AK115*'Recycling - Case 2'!BN115*'4C2 Open-burning '!$B140</f>
        <v>268.20165580269605</v>
      </c>
      <c r="E140" s="528">
        <f>'Recycling - Case 2'!$AK115*'Recycling - Case 2'!BO115*'4C2 Open-burning '!$B140</f>
        <v>73.25401417809725</v>
      </c>
      <c r="F140" s="528">
        <f>'Recycling - Case 2'!$AK115*'Recycling - Case 2'!BP115*'4C2 Open-burning '!$B140</f>
        <v>0</v>
      </c>
      <c r="G140" s="528">
        <f>'Recycling - Case 2'!$AK115*'Recycling - Case 2'!BQ115*'4C2 Open-burning '!$B140</f>
        <v>0</v>
      </c>
      <c r="H140" s="528">
        <f>'Recycling - Case 2'!$AK115*'Recycling - Case 2'!BR115*'4C2 Open-burning '!$B140</f>
        <v>0</v>
      </c>
      <c r="I140" s="528">
        <f>'Recycling - Case 2'!$AK115*'Recycling - Case 2'!BS115*'4C2 Open-burning '!$B140</f>
        <v>286.39802773910759</v>
      </c>
      <c r="J140" s="744">
        <f t="shared" si="12"/>
        <v>884.65215943695443</v>
      </c>
      <c r="K140" s="106">
        <f>'4C2 Open-burning '!C$14*'4C2 Open-burning '!$C$5*'4C2 Open-burning '!$C$6*'4C2 Open-burning '!$C$7*C140</f>
        <v>0</v>
      </c>
      <c r="L140" s="106">
        <f>'4C2 Open-burning '!D$14*'4C2 Open-burning '!$C$5*'4C2 Open-burning '!$C$6*'4C2 Open-burning '!$C$7*D140</f>
        <v>0</v>
      </c>
      <c r="M140" s="106">
        <f>'4C2 Open-burning '!E$14*'4C2 Open-burning '!$C$5*'4C2 Open-burning '!$C$6*'4C2 Open-burning '!$C$7*E140</f>
        <v>0.38697458545778363</v>
      </c>
      <c r="N140" s="106">
        <f>'4C2 Open-burning '!F$14*'4C2 Open-burning '!$C$5*'4C2 Open-burning '!$C$6*'4C2 Open-burning '!$C$7*F140</f>
        <v>0</v>
      </c>
      <c r="O140" s="106">
        <f>'4C2 Open-burning '!G$14*'4C2 Open-burning '!$C$5*'4C2 Open-burning '!$C$6*'4C2 Open-burning '!$C$7*G140</f>
        <v>0</v>
      </c>
      <c r="P140" s="106">
        <f>'4C2 Open-burning '!H$14*'4C2 Open-burning '!$C$5*'4C2 Open-burning '!$C$6*'4C2 Open-burning '!$C$7*H140</f>
        <v>0</v>
      </c>
      <c r="Q140" s="106">
        <f>'4C2 Open-burning '!I$14*'4C2 Open-burning '!$C$5*'4C2 Open-burning '!$C$6*'4C2 Open-burning '!$C$7*I140</f>
        <v>9.8669848516677341</v>
      </c>
      <c r="R140" s="1384">
        <f t="shared" si="8"/>
        <v>10.253959437125518</v>
      </c>
      <c r="S140" s="485">
        <f>C140*'4C2 Open-burning '!$C$9*'4C2 Open-burning '!$C$11*$C$5</f>
        <v>1.0015140006965089</v>
      </c>
      <c r="T140" s="485">
        <f>D140*'4C2 Open-burning '!$C$9*'4C2 Open-burning '!$C$11*$C$5</f>
        <v>1.0459864576305145</v>
      </c>
      <c r="U140" s="485">
        <f>E140*'4C2 Open-burning '!$C$9*'4C2 Open-burning '!$C$11*$C$5</f>
        <v>0.28569065529457921</v>
      </c>
      <c r="V140" s="485">
        <f>F140*'4C2 Open-burning '!$C$9*'4C2 Open-burning '!$C$11*$C$5</f>
        <v>0</v>
      </c>
      <c r="W140" s="485">
        <f>G140*'4C2 Open-burning '!$C$9*'4C2 Open-burning '!$C$11*$C$5</f>
        <v>0</v>
      </c>
      <c r="X140" s="485">
        <f>H140*'4C2 Open-burning '!$C$9*'4C2 Open-burning '!$C$11*$C$5</f>
        <v>0</v>
      </c>
      <c r="Y140" s="485">
        <f>I140*'4C2 Open-burning '!$C$9*'4C2 Open-burning '!$C$11*$C$5</f>
        <v>1.1169523081825194</v>
      </c>
      <c r="Z140" s="486">
        <f t="shared" si="9"/>
        <v>3.450143421804122</v>
      </c>
      <c r="AA140" s="487">
        <f>C140*'4C2 Open-burning '!$C$10*'4C2 Open-burning '!$C$11*$C$5*C$15</f>
        <v>9.2447446218139277E-3</v>
      </c>
      <c r="AB140" s="487">
        <f>D140*'4C2 Open-burning '!$C$10*'4C2 Open-burning '!$C$11*$C$5*D$15</f>
        <v>9.6552596088970571E-3</v>
      </c>
      <c r="AC140" s="487">
        <f>E140*'4C2 Open-burning '!$C$10*'4C2 Open-burning '!$C$11*$C$5*E$15</f>
        <v>5.9335751484258775E-3</v>
      </c>
      <c r="AD140" s="487">
        <f>F140*'4C2 Open-burning '!$C$10*'4C2 Open-burning '!$C$11*$C$5*F$15</f>
        <v>0</v>
      </c>
      <c r="AE140" s="487">
        <f>G140*'4C2 Open-burning '!$C$10*'4C2 Open-burning '!$C$11*$C$5*G$15</f>
        <v>0</v>
      </c>
      <c r="AF140" s="487">
        <f>H140*'4C2 Open-burning '!$C$10*'4C2 Open-burning '!$C$11*$C$5*H$15</f>
        <v>0</v>
      </c>
      <c r="AG140" s="487">
        <f>I140*'4C2 Open-burning '!$C$10*'4C2 Open-burning '!$C$11*$C$5*I$15</f>
        <v>2.3198240246867712E-2</v>
      </c>
      <c r="AH140" s="488">
        <f t="shared" si="10"/>
        <v>4.8031819626004571E-2</v>
      </c>
      <c r="AI140" s="1389"/>
      <c r="AJ140" s="1388"/>
      <c r="AK140" s="1389"/>
    </row>
    <row r="141" spans="1:37">
      <c r="A141" s="157">
        <f>'Input data'!A136</f>
        <v>2036</v>
      </c>
      <c r="B141" s="417">
        <f>'Recycling - Case 2'!AP116</f>
        <v>4.5908441368712229E-2</v>
      </c>
      <c r="C141" s="527">
        <f>'Recycling - Case 2'!$AK116*'Recycling - Case 2'!BM116*'4C2 Open-burning '!$B141</f>
        <v>256.16638525188546</v>
      </c>
      <c r="D141" s="528">
        <f>'Recycling - Case 2'!$AK116*'Recycling - Case 2'!BN116*'4C2 Open-burning '!$B141</f>
        <v>267.54151183836512</v>
      </c>
      <c r="E141" s="528">
        <f>'Recycling - Case 2'!$AK116*'Recycling - Case 2'!BO116*'4C2 Open-burning '!$B141</f>
        <v>73.073708821003336</v>
      </c>
      <c r="F141" s="528">
        <f>'Recycling - Case 2'!$AK116*'Recycling - Case 2'!BP116*'4C2 Open-burning '!$B141</f>
        <v>0</v>
      </c>
      <c r="G141" s="528">
        <f>'Recycling - Case 2'!$AK116*'Recycling - Case 2'!BQ116*'4C2 Open-burning '!$B141</f>
        <v>0</v>
      </c>
      <c r="H141" s="528">
        <f>'Recycling - Case 2'!$AK116*'Recycling - Case 2'!BR116*'4C2 Open-burning '!$B141</f>
        <v>0</v>
      </c>
      <c r="I141" s="528">
        <f>'Recycling - Case 2'!$AK116*'Recycling - Case 2'!BS116*'4C2 Open-burning '!$B141</f>
        <v>285.69309573992803</v>
      </c>
      <c r="J141" s="744">
        <f t="shared" si="12"/>
        <v>882.47470165118193</v>
      </c>
      <c r="K141" s="106">
        <f>'4C2 Open-burning '!C$14*'4C2 Open-burning '!$C$5*'4C2 Open-burning '!$C$6*'4C2 Open-burning '!$C$7*C141</f>
        <v>0</v>
      </c>
      <c r="L141" s="106">
        <f>'4C2 Open-burning '!D$14*'4C2 Open-burning '!$C$5*'4C2 Open-burning '!$C$6*'4C2 Open-burning '!$C$7*D141</f>
        <v>0</v>
      </c>
      <c r="M141" s="106">
        <f>'4C2 Open-burning '!E$14*'4C2 Open-burning '!$C$5*'4C2 Open-burning '!$C$6*'4C2 Open-burning '!$C$7*E141</f>
        <v>0.38602209716618507</v>
      </c>
      <c r="N141" s="106">
        <f>'4C2 Open-burning '!F$14*'4C2 Open-burning '!$C$5*'4C2 Open-burning '!$C$6*'4C2 Open-burning '!$C$7*F141</f>
        <v>0</v>
      </c>
      <c r="O141" s="106">
        <f>'4C2 Open-burning '!G$14*'4C2 Open-burning '!$C$5*'4C2 Open-burning '!$C$6*'4C2 Open-burning '!$C$7*G141</f>
        <v>0</v>
      </c>
      <c r="P141" s="106">
        <f>'4C2 Open-burning '!H$14*'4C2 Open-burning '!$C$5*'4C2 Open-burning '!$C$6*'4C2 Open-burning '!$C$7*H141</f>
        <v>0</v>
      </c>
      <c r="Q141" s="106">
        <f>'4C2 Open-burning '!I$14*'4C2 Open-burning '!$C$5*'4C2 Open-burning '!$C$6*'4C2 Open-burning '!$C$7*I141</f>
        <v>9.8426985344319995</v>
      </c>
      <c r="R141" s="1384">
        <f t="shared" si="8"/>
        <v>10.228720631598184</v>
      </c>
      <c r="S141" s="485">
        <f>C141*'4C2 Open-burning '!$C$9*'4C2 Open-burning '!$C$11*$C$5</f>
        <v>0.99904890248235312</v>
      </c>
      <c r="T141" s="485">
        <f>D141*'4C2 Open-burning '!$C$9*'4C2 Open-burning '!$C$11*$C$5</f>
        <v>1.0434118961696239</v>
      </c>
      <c r="U141" s="485">
        <f>E141*'4C2 Open-burning '!$C$9*'4C2 Open-burning '!$C$11*$C$5</f>
        <v>0.28498746440191297</v>
      </c>
      <c r="V141" s="485">
        <f>F141*'4C2 Open-burning '!$C$9*'4C2 Open-burning '!$C$11*$C$5</f>
        <v>0</v>
      </c>
      <c r="W141" s="485">
        <f>G141*'4C2 Open-burning '!$C$9*'4C2 Open-burning '!$C$11*$C$5</f>
        <v>0</v>
      </c>
      <c r="X141" s="485">
        <f>H141*'4C2 Open-burning '!$C$9*'4C2 Open-burning '!$C$11*$C$5</f>
        <v>0</v>
      </c>
      <c r="Y141" s="485">
        <f>I141*'4C2 Open-burning '!$C$9*'4C2 Open-burning '!$C$11*$C$5</f>
        <v>1.1142030733857191</v>
      </c>
      <c r="Z141" s="486">
        <f t="shared" si="9"/>
        <v>3.4416513364396093</v>
      </c>
      <c r="AA141" s="487">
        <f>C141*'4C2 Open-burning '!$C$10*'4C2 Open-burning '!$C$11*$C$5*C$15</f>
        <v>9.2219898690678783E-3</v>
      </c>
      <c r="AB141" s="487">
        <f>D141*'4C2 Open-burning '!$C$10*'4C2 Open-burning '!$C$11*$C$5*D$15</f>
        <v>9.6314944261811433E-3</v>
      </c>
      <c r="AC141" s="487">
        <f>E141*'4C2 Open-burning '!$C$10*'4C2 Open-burning '!$C$11*$C$5*E$15</f>
        <v>5.9189704145012701E-3</v>
      </c>
      <c r="AD141" s="487">
        <f>F141*'4C2 Open-burning '!$C$10*'4C2 Open-burning '!$C$11*$C$5*F$15</f>
        <v>0</v>
      </c>
      <c r="AE141" s="487">
        <f>G141*'4C2 Open-burning '!$C$10*'4C2 Open-burning '!$C$11*$C$5*G$15</f>
        <v>0</v>
      </c>
      <c r="AF141" s="487">
        <f>H141*'4C2 Open-burning '!$C$10*'4C2 Open-burning '!$C$11*$C$5*H$15</f>
        <v>0</v>
      </c>
      <c r="AG141" s="487">
        <f>I141*'4C2 Open-burning '!$C$10*'4C2 Open-burning '!$C$11*$C$5*I$15</f>
        <v>2.3141140754934165E-2</v>
      </c>
      <c r="AH141" s="488">
        <f t="shared" si="10"/>
        <v>4.7913595464684461E-2</v>
      </c>
      <c r="AI141" s="1389"/>
      <c r="AJ141" s="1388"/>
      <c r="AK141" s="1389"/>
    </row>
    <row r="142" spans="1:37">
      <c r="A142" s="157">
        <f>'Input data'!A137</f>
        <v>2037</v>
      </c>
      <c r="B142" s="417">
        <f>'Recycling - Case 2'!AP117</f>
        <v>4.5633516922949667E-2</v>
      </c>
      <c r="C142" s="527">
        <f>'Recycling - Case 2'!$AK117*'Recycling - Case 2'!BM117*'4C2 Open-burning '!$B142</f>
        <v>255.5419728933048</v>
      </c>
      <c r="D142" s="528">
        <f>'Recycling - Case 2'!$AK117*'Recycling - Case 2'!BN117*'4C2 Open-burning '!$B142</f>
        <v>266.88937230701725</v>
      </c>
      <c r="E142" s="528">
        <f>'Recycling - Case 2'!$AK117*'Recycling - Case 2'!BO117*'4C2 Open-burning '!$B142</f>
        <v>72.895589717553079</v>
      </c>
      <c r="F142" s="528">
        <f>'Recycling - Case 2'!$AK117*'Recycling - Case 2'!BP117*'4C2 Open-burning '!$B142</f>
        <v>0</v>
      </c>
      <c r="G142" s="528">
        <f>'Recycling - Case 2'!$AK117*'Recycling - Case 2'!BQ117*'4C2 Open-burning '!$B142</f>
        <v>0</v>
      </c>
      <c r="H142" s="528">
        <f>'Recycling - Case 2'!$AK117*'Recycling - Case 2'!BR117*'4C2 Open-burning '!$B142</f>
        <v>0</v>
      </c>
      <c r="I142" s="528">
        <f>'Recycling - Case 2'!$AK117*'Recycling - Case 2'!BS117*'4C2 Open-burning '!$B142</f>
        <v>284.99671124136955</v>
      </c>
      <c r="J142" s="744">
        <f t="shared" si="12"/>
        <v>880.32364615924473</v>
      </c>
      <c r="K142" s="106">
        <f>'4C2 Open-burning '!C$14*'4C2 Open-burning '!$C$5*'4C2 Open-burning '!$C$6*'4C2 Open-burning '!$C$7*C142</f>
        <v>0</v>
      </c>
      <c r="L142" s="106">
        <f>'4C2 Open-burning '!D$14*'4C2 Open-burning '!$C$5*'4C2 Open-burning '!$C$6*'4C2 Open-burning '!$C$7*D142</f>
        <v>0</v>
      </c>
      <c r="M142" s="106">
        <f>'4C2 Open-burning '!E$14*'4C2 Open-burning '!$C$5*'4C2 Open-burning '!$C$6*'4C2 Open-burning '!$C$7*E142</f>
        <v>0.38508115806553461</v>
      </c>
      <c r="N142" s="106">
        <f>'4C2 Open-burning '!F$14*'4C2 Open-burning '!$C$5*'4C2 Open-burning '!$C$6*'4C2 Open-burning '!$C$7*F142</f>
        <v>0</v>
      </c>
      <c r="O142" s="106">
        <f>'4C2 Open-burning '!G$14*'4C2 Open-burning '!$C$5*'4C2 Open-burning '!$C$6*'4C2 Open-burning '!$C$7*G142</f>
        <v>0</v>
      </c>
      <c r="P142" s="106">
        <f>'4C2 Open-burning '!H$14*'4C2 Open-burning '!$C$5*'4C2 Open-burning '!$C$6*'4C2 Open-burning '!$C$7*H142</f>
        <v>0</v>
      </c>
      <c r="Q142" s="106">
        <f>'4C2 Open-burning '!I$14*'4C2 Open-burning '!$C$5*'4C2 Open-burning '!$C$6*'4C2 Open-burning '!$C$7*I142</f>
        <v>9.8187066956876627</v>
      </c>
      <c r="R142" s="1384">
        <f t="shared" si="8"/>
        <v>10.203787853753198</v>
      </c>
      <c r="S142" s="485">
        <f>C142*'4C2 Open-burning '!$C$9*'4C2 Open-burning '!$C$11*$C$5</f>
        <v>0.99661369428388857</v>
      </c>
      <c r="T142" s="485">
        <f>D142*'4C2 Open-burning '!$C$9*'4C2 Open-burning '!$C$11*$C$5</f>
        <v>1.0408685519973673</v>
      </c>
      <c r="U142" s="485">
        <f>E142*'4C2 Open-burning '!$C$9*'4C2 Open-burning '!$C$11*$C$5</f>
        <v>0.28429279989845696</v>
      </c>
      <c r="V142" s="485">
        <f>F142*'4C2 Open-burning '!$C$9*'4C2 Open-burning '!$C$11*$C$5</f>
        <v>0</v>
      </c>
      <c r="W142" s="485">
        <f>G142*'4C2 Open-burning '!$C$9*'4C2 Open-burning '!$C$11*$C$5</f>
        <v>0</v>
      </c>
      <c r="X142" s="485">
        <f>H142*'4C2 Open-burning '!$C$9*'4C2 Open-burning '!$C$11*$C$5</f>
        <v>0</v>
      </c>
      <c r="Y142" s="485">
        <f>I142*'4C2 Open-burning '!$C$9*'4C2 Open-burning '!$C$11*$C$5</f>
        <v>1.1114871738413412</v>
      </c>
      <c r="Z142" s="486">
        <f t="shared" si="9"/>
        <v>3.4332622200210539</v>
      </c>
      <c r="AA142" s="487">
        <f>C142*'4C2 Open-burning '!$C$10*'4C2 Open-burning '!$C$11*$C$5*C$15</f>
        <v>9.1995110241589722E-3</v>
      </c>
      <c r="AB142" s="487">
        <f>D142*'4C2 Open-burning '!$C$10*'4C2 Open-burning '!$C$11*$C$5*D$15</f>
        <v>9.6080174030526207E-3</v>
      </c>
      <c r="AC142" s="487">
        <f>E142*'4C2 Open-burning '!$C$10*'4C2 Open-burning '!$C$11*$C$5*E$15</f>
        <v>5.9045427671217997E-3</v>
      </c>
      <c r="AD142" s="487">
        <f>F142*'4C2 Open-burning '!$C$10*'4C2 Open-burning '!$C$11*$C$5*F$15</f>
        <v>0</v>
      </c>
      <c r="AE142" s="487">
        <f>G142*'4C2 Open-burning '!$C$10*'4C2 Open-burning '!$C$11*$C$5*G$15</f>
        <v>0</v>
      </c>
      <c r="AF142" s="487">
        <f>H142*'4C2 Open-burning '!$C$10*'4C2 Open-burning '!$C$11*$C$5*H$15</f>
        <v>0</v>
      </c>
      <c r="AG142" s="487">
        <f>I142*'4C2 Open-burning '!$C$10*'4C2 Open-burning '!$C$11*$C$5*I$15</f>
        <v>2.3084733610550929E-2</v>
      </c>
      <c r="AH142" s="488">
        <f t="shared" si="10"/>
        <v>4.7796804804884324E-2</v>
      </c>
      <c r="AI142" s="1389"/>
      <c r="AJ142" s="1388"/>
      <c r="AK142" s="1389"/>
    </row>
    <row r="143" spans="1:37">
      <c r="A143" s="157">
        <f>'Input data'!A138</f>
        <v>2038</v>
      </c>
      <c r="B143" s="417">
        <f>'Recycling - Case 2'!AP118</f>
        <v>4.5360609115513109E-2</v>
      </c>
      <c r="C143" s="527">
        <f>'Recycling - Case 2'!$AK118*'Recycling - Case 2'!BM118*'4C2 Open-burning '!$B143</f>
        <v>254.9251023999845</v>
      </c>
      <c r="D143" s="528">
        <f>'Recycling - Case 2'!$AK118*'Recycling - Case 2'!BN118*'4C2 Open-burning '!$B143</f>
        <v>266.24510953917166</v>
      </c>
      <c r="E143" s="528">
        <f>'Recycling - Case 2'!$AK118*'Recycling - Case 2'!BO118*'4C2 Open-burning '!$B143</f>
        <v>72.719621997335494</v>
      </c>
      <c r="F143" s="528">
        <f>'Recycling - Case 2'!$AK118*'Recycling - Case 2'!BP118*'4C2 Open-burning '!$B143</f>
        <v>0</v>
      </c>
      <c r="G143" s="528">
        <f>'Recycling - Case 2'!$AK118*'Recycling - Case 2'!BQ118*'4C2 Open-burning '!$B143</f>
        <v>0</v>
      </c>
      <c r="H143" s="528">
        <f>'Recycling - Case 2'!$AK118*'Recycling - Case 2'!BR118*'4C2 Open-burning '!$B143</f>
        <v>0</v>
      </c>
      <c r="I143" s="528">
        <f>'Recycling - Case 2'!$AK118*'Recycling - Case 2'!BS118*'4C2 Open-burning '!$B143</f>
        <v>284.30873791210541</v>
      </c>
      <c r="J143" s="744">
        <f t="shared" si="12"/>
        <v>878.19857184859711</v>
      </c>
      <c r="K143" s="106">
        <f>'4C2 Open-burning '!C$14*'4C2 Open-burning '!$C$5*'4C2 Open-burning '!$C$6*'4C2 Open-burning '!$C$7*C143</f>
        <v>0</v>
      </c>
      <c r="L143" s="106">
        <f>'4C2 Open-burning '!D$14*'4C2 Open-burning '!$C$5*'4C2 Open-burning '!$C$6*'4C2 Open-burning '!$C$7*D143</f>
        <v>0</v>
      </c>
      <c r="M143" s="106">
        <f>'4C2 Open-burning '!E$14*'4C2 Open-burning '!$C$5*'4C2 Open-burning '!$C$6*'4C2 Open-burning '!$C$7*E143</f>
        <v>0.38415158394800436</v>
      </c>
      <c r="N143" s="106">
        <f>'4C2 Open-burning '!F$14*'4C2 Open-burning '!$C$5*'4C2 Open-burning '!$C$6*'4C2 Open-burning '!$C$7*F143</f>
        <v>0</v>
      </c>
      <c r="O143" s="106">
        <f>'4C2 Open-burning '!G$14*'4C2 Open-burning '!$C$5*'4C2 Open-burning '!$C$6*'4C2 Open-burning '!$C$7*G143</f>
        <v>0</v>
      </c>
      <c r="P143" s="106">
        <f>'4C2 Open-burning '!H$14*'4C2 Open-burning '!$C$5*'4C2 Open-burning '!$C$6*'4C2 Open-burning '!$C$7*H143</f>
        <v>0</v>
      </c>
      <c r="Q143" s="106">
        <f>'4C2 Open-burning '!I$14*'4C2 Open-burning '!$C$5*'4C2 Open-burning '!$C$6*'4C2 Open-burning '!$C$7*I143</f>
        <v>9.7950046385478551</v>
      </c>
      <c r="R143" s="1384">
        <f t="shared" si="8"/>
        <v>10.179156222495859</v>
      </c>
      <c r="S143" s="485">
        <f>C143*'4C2 Open-burning '!$C$9*'4C2 Open-burning '!$C$11*$C$5</f>
        <v>0.99420789935993936</v>
      </c>
      <c r="T143" s="485">
        <f>D143*'4C2 Open-burning '!$C$9*'4C2 Open-burning '!$C$11*$C$5</f>
        <v>1.0383559272027696</v>
      </c>
      <c r="U143" s="485">
        <f>E143*'4C2 Open-burning '!$C$9*'4C2 Open-burning '!$C$11*$C$5</f>
        <v>0.28360652578960843</v>
      </c>
      <c r="V143" s="485">
        <f>F143*'4C2 Open-burning '!$C$9*'4C2 Open-burning '!$C$11*$C$5</f>
        <v>0</v>
      </c>
      <c r="W143" s="485">
        <f>G143*'4C2 Open-burning '!$C$9*'4C2 Open-burning '!$C$11*$C$5</f>
        <v>0</v>
      </c>
      <c r="X143" s="485">
        <f>H143*'4C2 Open-burning '!$C$9*'4C2 Open-burning '!$C$11*$C$5</f>
        <v>0</v>
      </c>
      <c r="Y143" s="485">
        <f>I143*'4C2 Open-burning '!$C$9*'4C2 Open-burning '!$C$11*$C$5</f>
        <v>1.108804077857211</v>
      </c>
      <c r="Z143" s="486">
        <f t="shared" si="9"/>
        <v>3.4249744302095286</v>
      </c>
      <c r="AA143" s="487">
        <f>C143*'4C2 Open-burning '!$C$10*'4C2 Open-burning '!$C$11*$C$5*C$15</f>
        <v>9.1773036863994403E-3</v>
      </c>
      <c r="AB143" s="487">
        <f>D143*'4C2 Open-burning '!$C$10*'4C2 Open-burning '!$C$11*$C$5*D$15</f>
        <v>9.5848239434101808E-3</v>
      </c>
      <c r="AC143" s="487">
        <f>E143*'4C2 Open-burning '!$C$10*'4C2 Open-burning '!$C$11*$C$5*E$15</f>
        <v>5.8902893817841745E-3</v>
      </c>
      <c r="AD143" s="487">
        <f>F143*'4C2 Open-burning '!$C$10*'4C2 Open-burning '!$C$11*$C$5*F$15</f>
        <v>0</v>
      </c>
      <c r="AE143" s="487">
        <f>G143*'4C2 Open-burning '!$C$10*'4C2 Open-burning '!$C$11*$C$5*G$15</f>
        <v>0</v>
      </c>
      <c r="AF143" s="487">
        <f>H143*'4C2 Open-burning '!$C$10*'4C2 Open-burning '!$C$11*$C$5*H$15</f>
        <v>0</v>
      </c>
      <c r="AG143" s="487">
        <f>I143*'4C2 Open-burning '!$C$10*'4C2 Open-burning '!$C$11*$C$5*I$15</f>
        <v>2.3029007770880537E-2</v>
      </c>
      <c r="AH143" s="488">
        <f t="shared" si="10"/>
        <v>4.7681424782474335E-2</v>
      </c>
      <c r="AI143" s="1389"/>
      <c r="AJ143" s="1388"/>
      <c r="AK143" s="1389"/>
    </row>
    <row r="144" spans="1:37">
      <c r="A144" s="157">
        <f>'Input data'!A139</f>
        <v>2039</v>
      </c>
      <c r="B144" s="417">
        <f>'Recycling - Case 2'!AP119</f>
        <v>4.5089690262495104E-2</v>
      </c>
      <c r="C144" s="527">
        <f>'Recycling - Case 2'!$AK119*'Recycling - Case 2'!BM119*'4C2 Open-burning '!$B144</f>
        <v>254.31565406930503</v>
      </c>
      <c r="D144" s="528">
        <f>'Recycling - Case 2'!$AK119*'Recycling - Case 2'!BN119*'4C2 Open-burning '!$B144</f>
        <v>265.60859851678663</v>
      </c>
      <c r="E144" s="528">
        <f>'Recycling - Case 2'!$AK119*'Recycling - Case 2'!BO119*'4C2 Open-burning '!$B144</f>
        <v>72.545771514128134</v>
      </c>
      <c r="F144" s="528">
        <f>'Recycling - Case 2'!$AK119*'Recycling - Case 2'!BP119*'4C2 Open-burning '!$B144</f>
        <v>0</v>
      </c>
      <c r="G144" s="528">
        <f>'Recycling - Case 2'!$AK119*'Recycling - Case 2'!BQ119*'4C2 Open-burning '!$B144</f>
        <v>0</v>
      </c>
      <c r="H144" s="528">
        <f>'Recycling - Case 2'!$AK119*'Recycling - Case 2'!BR119*'4C2 Open-burning '!$B144</f>
        <v>0</v>
      </c>
      <c r="I144" s="528">
        <f>'Recycling - Case 2'!$AK119*'Recycling - Case 2'!BS119*'4C2 Open-burning '!$B144</f>
        <v>283.62904225213759</v>
      </c>
      <c r="J144" s="744">
        <f t="shared" si="12"/>
        <v>876.09906635235734</v>
      </c>
      <c r="K144" s="106">
        <f>'4C2 Open-burning '!C$14*'4C2 Open-burning '!$C$5*'4C2 Open-burning '!$C$6*'4C2 Open-burning '!$C$7*C144</f>
        <v>0</v>
      </c>
      <c r="L144" s="106">
        <f>'4C2 Open-burning '!D$14*'4C2 Open-burning '!$C$5*'4C2 Open-burning '!$C$6*'4C2 Open-burning '!$C$7*D144</f>
        <v>0</v>
      </c>
      <c r="M144" s="106">
        <f>'4C2 Open-burning '!E$14*'4C2 Open-burning '!$C$5*'4C2 Open-burning '!$C$6*'4C2 Open-burning '!$C$7*E144</f>
        <v>0.38323319443139386</v>
      </c>
      <c r="N144" s="106">
        <f>'4C2 Open-burning '!F$14*'4C2 Open-burning '!$C$5*'4C2 Open-burning '!$C$6*'4C2 Open-burning '!$C$7*F144</f>
        <v>0</v>
      </c>
      <c r="O144" s="106">
        <f>'4C2 Open-burning '!G$14*'4C2 Open-burning '!$C$5*'4C2 Open-burning '!$C$6*'4C2 Open-burning '!$C$7*G144</f>
        <v>0</v>
      </c>
      <c r="P144" s="106">
        <f>'4C2 Open-burning '!H$14*'4C2 Open-burning '!$C$5*'4C2 Open-burning '!$C$6*'4C2 Open-burning '!$C$7*H144</f>
        <v>0</v>
      </c>
      <c r="Q144" s="106">
        <f>'4C2 Open-burning '!I$14*'4C2 Open-burning '!$C$5*'4C2 Open-burning '!$C$6*'4C2 Open-burning '!$C$7*I144</f>
        <v>9.7715877636706434</v>
      </c>
      <c r="R144" s="1384">
        <f t="shared" si="8"/>
        <v>10.154820958102038</v>
      </c>
      <c r="S144" s="485">
        <f>C144*'4C2 Open-burning '!$C$9*'4C2 Open-burning '!$C$11*$C$5</f>
        <v>0.99183105087028967</v>
      </c>
      <c r="T144" s="485">
        <f>D144*'4C2 Open-burning '!$C$9*'4C2 Open-burning '!$C$11*$C$5</f>
        <v>1.0358735342154677</v>
      </c>
      <c r="U144" s="485">
        <f>E144*'4C2 Open-burning '!$C$9*'4C2 Open-burning '!$C$11*$C$5</f>
        <v>0.28292850890509968</v>
      </c>
      <c r="V144" s="485">
        <f>F144*'4C2 Open-burning '!$C$9*'4C2 Open-burning '!$C$11*$C$5</f>
        <v>0</v>
      </c>
      <c r="W144" s="485">
        <f>G144*'4C2 Open-burning '!$C$9*'4C2 Open-burning '!$C$11*$C$5</f>
        <v>0</v>
      </c>
      <c r="X144" s="485">
        <f>H144*'4C2 Open-burning '!$C$9*'4C2 Open-burning '!$C$11*$C$5</f>
        <v>0</v>
      </c>
      <c r="Y144" s="485">
        <f>I144*'4C2 Open-burning '!$C$9*'4C2 Open-burning '!$C$11*$C$5</f>
        <v>1.1061532647833365</v>
      </c>
      <c r="Z144" s="486">
        <f t="shared" si="9"/>
        <v>3.4167863587741936</v>
      </c>
      <c r="AA144" s="487">
        <f>C144*'4C2 Open-burning '!$C$10*'4C2 Open-burning '!$C$11*$C$5*C$15</f>
        <v>9.1553635464949809E-3</v>
      </c>
      <c r="AB144" s="487">
        <f>D144*'4C2 Open-burning '!$C$10*'4C2 Open-burning '!$C$11*$C$5*D$15</f>
        <v>9.5619095466043195E-3</v>
      </c>
      <c r="AC144" s="487">
        <f>E144*'4C2 Open-burning '!$C$10*'4C2 Open-burning '!$C$11*$C$5*E$15</f>
        <v>5.8762074926443789E-3</v>
      </c>
      <c r="AD144" s="487">
        <f>F144*'4C2 Open-burning '!$C$10*'4C2 Open-burning '!$C$11*$C$5*F$15</f>
        <v>0</v>
      </c>
      <c r="AE144" s="487">
        <f>G144*'4C2 Open-burning '!$C$10*'4C2 Open-burning '!$C$11*$C$5*G$15</f>
        <v>0</v>
      </c>
      <c r="AF144" s="487">
        <f>H144*'4C2 Open-burning '!$C$10*'4C2 Open-burning '!$C$11*$C$5*H$15</f>
        <v>0</v>
      </c>
      <c r="AG144" s="487">
        <f>I144*'4C2 Open-burning '!$C$10*'4C2 Open-burning '!$C$11*$C$5*I$15</f>
        <v>2.2973952422423144E-2</v>
      </c>
      <c r="AH144" s="488">
        <f t="shared" si="10"/>
        <v>4.7567433008166821E-2</v>
      </c>
      <c r="AI144" s="1389"/>
      <c r="AJ144" s="1388"/>
      <c r="AK144" s="1389"/>
    </row>
    <row r="145" spans="1:39">
      <c r="A145" s="157">
        <f>'Input data'!A140</f>
        <v>2040</v>
      </c>
      <c r="B145" s="417">
        <f>'Recycling - Case 2'!AP120</f>
        <v>4.4820733281477031E-2</v>
      </c>
      <c r="C145" s="527">
        <f>'Recycling - Case 2'!$AK120*'Recycling - Case 2'!BM120*'4C2 Open-burning '!$B145</f>
        <v>253.71351067170062</v>
      </c>
      <c r="D145" s="528">
        <f>'Recycling - Case 2'!$AK120*'Recycling - Case 2'!BN120*'4C2 Open-burning '!$B145</f>
        <v>264.97971680469095</v>
      </c>
      <c r="E145" s="528">
        <f>'Recycling - Case 2'!$AK120*'Recycling - Case 2'!BO120*'4C2 Open-burning '!$B145</f>
        <v>72.374004827168932</v>
      </c>
      <c r="F145" s="528">
        <f>'Recycling - Case 2'!$AK120*'Recycling - Case 2'!BP120*'4C2 Open-burning '!$B145</f>
        <v>0</v>
      </c>
      <c r="G145" s="528">
        <f>'Recycling - Case 2'!$AK120*'Recycling - Case 2'!BQ120*'4C2 Open-burning '!$B145</f>
        <v>0</v>
      </c>
      <c r="H145" s="528">
        <f>'Recycling - Case 2'!$AK120*'Recycling - Case 2'!BR120*'4C2 Open-burning '!$B145</f>
        <v>0</v>
      </c>
      <c r="I145" s="528">
        <f>'Recycling - Case 2'!$AK120*'Recycling - Case 2'!BS120*'4C2 Open-burning '!$B145</f>
        <v>282.95749351957534</v>
      </c>
      <c r="J145" s="744">
        <f t="shared" si="12"/>
        <v>874.0247258231359</v>
      </c>
      <c r="K145" s="106">
        <f>'4C2 Open-burning '!C$14*'4C2 Open-burning '!$C$5*'4C2 Open-burning '!$C$6*'4C2 Open-burning '!$C$7*C145</f>
        <v>0</v>
      </c>
      <c r="L145" s="106">
        <f>'4C2 Open-burning '!D$14*'4C2 Open-burning '!$C$5*'4C2 Open-burning '!$C$6*'4C2 Open-burning '!$C$7*D145</f>
        <v>0</v>
      </c>
      <c r="M145" s="106">
        <f>'4C2 Open-burning '!E$14*'4C2 Open-burning '!$C$5*'4C2 Open-burning '!$C$6*'4C2 Open-burning '!$C$7*E145</f>
        <v>0.38232581286019568</v>
      </c>
      <c r="N145" s="106">
        <f>'4C2 Open-burning '!F$14*'4C2 Open-burning '!$C$5*'4C2 Open-burning '!$C$6*'4C2 Open-burning '!$C$7*F145</f>
        <v>0</v>
      </c>
      <c r="O145" s="106">
        <f>'4C2 Open-burning '!G$14*'4C2 Open-burning '!$C$5*'4C2 Open-burning '!$C$6*'4C2 Open-burning '!$C$7*G145</f>
        <v>0</v>
      </c>
      <c r="P145" s="106">
        <f>'4C2 Open-burning '!H$14*'4C2 Open-burning '!$C$5*'4C2 Open-burning '!$C$6*'4C2 Open-burning '!$C$7*H145</f>
        <v>0</v>
      </c>
      <c r="Q145" s="106">
        <f>'4C2 Open-burning '!I$14*'4C2 Open-burning '!$C$5*'4C2 Open-burning '!$C$6*'4C2 Open-burning '!$C$7*I145</f>
        <v>9.7484515667364082</v>
      </c>
      <c r="R145" s="1384">
        <f t="shared" si="8"/>
        <v>10.130777379596603</v>
      </c>
      <c r="S145" s="485">
        <f>C145*'4C2 Open-burning '!$C$9*'4C2 Open-burning '!$C$11*$C$5</f>
        <v>0.9894826916196322</v>
      </c>
      <c r="T145" s="485">
        <f>D145*'4C2 Open-burning '!$C$9*'4C2 Open-burning '!$C$11*$C$5</f>
        <v>1.0334208955382946</v>
      </c>
      <c r="U145" s="485">
        <f>E145*'4C2 Open-burning '!$C$9*'4C2 Open-burning '!$C$11*$C$5</f>
        <v>0.28225861882595882</v>
      </c>
      <c r="V145" s="485">
        <f>F145*'4C2 Open-burning '!$C$9*'4C2 Open-burning '!$C$11*$C$5</f>
        <v>0</v>
      </c>
      <c r="W145" s="485">
        <f>G145*'4C2 Open-burning '!$C$9*'4C2 Open-burning '!$C$11*$C$5</f>
        <v>0</v>
      </c>
      <c r="X145" s="485">
        <f>H145*'4C2 Open-burning '!$C$9*'4C2 Open-burning '!$C$11*$C$5</f>
        <v>0</v>
      </c>
      <c r="Y145" s="485">
        <f>I145*'4C2 Open-burning '!$C$9*'4C2 Open-burning '!$C$11*$C$5</f>
        <v>1.1035342247263438</v>
      </c>
      <c r="Z145" s="486">
        <f t="shared" si="9"/>
        <v>3.4086964307102301</v>
      </c>
      <c r="AA145" s="487">
        <f>C145*'4C2 Open-burning '!$C$10*'4C2 Open-burning '!$C$11*$C$5*C$15</f>
        <v>9.1336863841812218E-3</v>
      </c>
      <c r="AB145" s="487">
        <f>D145*'4C2 Open-burning '!$C$10*'4C2 Open-burning '!$C$11*$C$5*D$15</f>
        <v>9.5392698049688741E-3</v>
      </c>
      <c r="AC145" s="487">
        <f>E145*'4C2 Open-burning '!$C$10*'4C2 Open-burning '!$C$11*$C$5*E$15</f>
        <v>5.8622943910006838E-3</v>
      </c>
      <c r="AD145" s="487">
        <f>F145*'4C2 Open-burning '!$C$10*'4C2 Open-burning '!$C$11*$C$5*F$15</f>
        <v>0</v>
      </c>
      <c r="AE145" s="487">
        <f>G145*'4C2 Open-burning '!$C$10*'4C2 Open-burning '!$C$11*$C$5*G$15</f>
        <v>0</v>
      </c>
      <c r="AF145" s="487">
        <f>H145*'4C2 Open-burning '!$C$10*'4C2 Open-burning '!$C$11*$C$5*H$15</f>
        <v>0</v>
      </c>
      <c r="AG145" s="487">
        <f>I145*'4C2 Open-burning '!$C$10*'4C2 Open-burning '!$C$11*$C$5*I$15</f>
        <v>2.2919556975085603E-2</v>
      </c>
      <c r="AH145" s="488">
        <f t="shared" si="10"/>
        <v>4.7454807555236386E-2</v>
      </c>
      <c r="AI145" s="1389"/>
      <c r="AJ145" s="1388"/>
      <c r="AK145" s="1389"/>
    </row>
    <row r="146" spans="1:39">
      <c r="A146" s="157">
        <f>'Input data'!A141</f>
        <v>2041</v>
      </c>
      <c r="B146" s="417">
        <f>'Recycling - Case 2'!AP121</f>
        <v>4.4593956313696254E-2</v>
      </c>
      <c r="C146" s="527">
        <f>'Recycling - Case 2'!$AK121*'Recycling - Case 2'!BM121*'4C2 Open-burning '!$B146</f>
        <v>253.20804435794963</v>
      </c>
      <c r="D146" s="528">
        <f>'Recycling - Case 2'!$AK121*'Recycling - Case 2'!BN121*'4C2 Open-burning '!$B146</f>
        <v>264.45180514434043</v>
      </c>
      <c r="E146" s="528">
        <f>'Recycling - Case 2'!$AK121*'Recycling - Case 2'!BO121*'4C2 Open-burning '!$B146</f>
        <v>72.229816126557225</v>
      </c>
      <c r="F146" s="528">
        <f>'Recycling - Case 2'!$AK121*'Recycling - Case 2'!BP121*'4C2 Open-burning '!$B146</f>
        <v>0</v>
      </c>
      <c r="G146" s="528">
        <f>'Recycling - Case 2'!$AK121*'Recycling - Case 2'!BQ121*'4C2 Open-burning '!$B146</f>
        <v>0</v>
      </c>
      <c r="H146" s="528">
        <f>'Recycling - Case 2'!$AK121*'Recycling - Case 2'!BR121*'4C2 Open-burning '!$B146</f>
        <v>0</v>
      </c>
      <c r="I146" s="528">
        <f>'Recycling - Case 2'!$AK121*'Recycling - Case 2'!BS121*'4C2 Open-burning '!$B146</f>
        <v>282.3937652387325</v>
      </c>
      <c r="J146" s="744">
        <f t="shared" si="12"/>
        <v>872.2834308675798</v>
      </c>
      <c r="K146" s="106">
        <f>'4C2 Open-burning '!C$14*'4C2 Open-burning '!$C$5*'4C2 Open-burning '!$C$6*'4C2 Open-burning '!$C$7*C146</f>
        <v>0</v>
      </c>
      <c r="L146" s="106">
        <f>'4C2 Open-burning '!D$14*'4C2 Open-burning '!$C$5*'4C2 Open-burning '!$C$6*'4C2 Open-burning '!$C$7*D146</f>
        <v>0</v>
      </c>
      <c r="M146" s="106">
        <f>'4C2 Open-burning '!E$14*'4C2 Open-burning '!$C$5*'4C2 Open-burning '!$C$6*'4C2 Open-burning '!$C$7*E146</f>
        <v>0.38156411586279626</v>
      </c>
      <c r="N146" s="106">
        <f>'4C2 Open-burning '!F$14*'4C2 Open-burning '!$C$5*'4C2 Open-burning '!$C$6*'4C2 Open-burning '!$C$7*F146</f>
        <v>0</v>
      </c>
      <c r="O146" s="106">
        <f>'4C2 Open-burning '!G$14*'4C2 Open-burning '!$C$5*'4C2 Open-burning '!$C$6*'4C2 Open-burning '!$C$7*G146</f>
        <v>0</v>
      </c>
      <c r="P146" s="106">
        <f>'4C2 Open-burning '!H$14*'4C2 Open-burning '!$C$5*'4C2 Open-burning '!$C$6*'4C2 Open-burning '!$C$7*H146</f>
        <v>0</v>
      </c>
      <c r="Q146" s="106">
        <f>'4C2 Open-burning '!I$14*'4C2 Open-burning '!$C$5*'4C2 Open-burning '!$C$6*'4C2 Open-burning '!$C$7*I146</f>
        <v>9.7290300000048102</v>
      </c>
      <c r="R146" s="1384">
        <f t="shared" si="8"/>
        <v>10.110594115867606</v>
      </c>
      <c r="S146" s="485">
        <f>C146*'4C2 Open-burning '!$C$9*'4C2 Open-burning '!$C$11*$C$5</f>
        <v>0.98751137299600344</v>
      </c>
      <c r="T146" s="485">
        <f>D146*'4C2 Open-burning '!$C$9*'4C2 Open-burning '!$C$11*$C$5</f>
        <v>1.0313620400629275</v>
      </c>
      <c r="U146" s="485">
        <f>E146*'4C2 Open-burning '!$C$9*'4C2 Open-burning '!$C$11*$C$5</f>
        <v>0.28169628289357318</v>
      </c>
      <c r="V146" s="485">
        <f>F146*'4C2 Open-burning '!$C$9*'4C2 Open-burning '!$C$11*$C$5</f>
        <v>0</v>
      </c>
      <c r="W146" s="485">
        <f>G146*'4C2 Open-burning '!$C$9*'4C2 Open-burning '!$C$11*$C$5</f>
        <v>0</v>
      </c>
      <c r="X146" s="485">
        <f>H146*'4C2 Open-burning '!$C$9*'4C2 Open-burning '!$C$11*$C$5</f>
        <v>0</v>
      </c>
      <c r="Y146" s="485">
        <f>I146*'4C2 Open-burning '!$C$9*'4C2 Open-burning '!$C$11*$C$5</f>
        <v>1.1013356844310567</v>
      </c>
      <c r="Z146" s="486">
        <f t="shared" si="9"/>
        <v>3.4019053803835613</v>
      </c>
      <c r="AA146" s="487">
        <f>C146*'4C2 Open-burning '!$C$10*'4C2 Open-burning '!$C$11*$C$5*C$15</f>
        <v>9.1154895968861872E-3</v>
      </c>
      <c r="AB146" s="487">
        <f>D146*'4C2 Open-burning '!$C$10*'4C2 Open-burning '!$C$11*$C$5*D$15</f>
        <v>9.5202649851962549E-3</v>
      </c>
      <c r="AC146" s="487">
        <f>E146*'4C2 Open-burning '!$C$10*'4C2 Open-burning '!$C$11*$C$5*E$15</f>
        <v>5.8506151062511355E-3</v>
      </c>
      <c r="AD146" s="487">
        <f>F146*'4C2 Open-burning '!$C$10*'4C2 Open-burning '!$C$11*$C$5*F$15</f>
        <v>0</v>
      </c>
      <c r="AE146" s="487">
        <f>G146*'4C2 Open-burning '!$C$10*'4C2 Open-burning '!$C$11*$C$5*G$15</f>
        <v>0</v>
      </c>
      <c r="AF146" s="487">
        <f>H146*'4C2 Open-burning '!$C$10*'4C2 Open-burning '!$C$11*$C$5*H$15</f>
        <v>0</v>
      </c>
      <c r="AG146" s="487">
        <f>I146*'4C2 Open-burning '!$C$10*'4C2 Open-burning '!$C$11*$C$5*I$15</f>
        <v>2.2873894984337329E-2</v>
      </c>
      <c r="AH146" s="488">
        <f t="shared" si="10"/>
        <v>4.7360264672670904E-2</v>
      </c>
      <c r="AI146" s="1389"/>
      <c r="AJ146" s="1388"/>
      <c r="AK146" s="1389"/>
    </row>
    <row r="147" spans="1:39">
      <c r="A147" s="157">
        <f>'Input data'!A142</f>
        <v>2042</v>
      </c>
      <c r="B147" s="417">
        <f>'Recycling - Case 2'!AP122</f>
        <v>4.4368557891718778E-2</v>
      </c>
      <c r="C147" s="527">
        <f>'Recycling - Case 2'!$AK122*'Recycling - Case 2'!BM122*'4C2 Open-burning '!$B147</f>
        <v>252.70768958160568</v>
      </c>
      <c r="D147" s="528">
        <f>'Recycling - Case 2'!$AK122*'Recycling - Case 2'!BN122*'4C2 Open-burning '!$B147</f>
        <v>263.92923200037785</v>
      </c>
      <c r="E147" s="528">
        <f>'Recycling - Case 2'!$AK122*'Recycling - Case 2'!BO122*'4C2 Open-burning '!$B147</f>
        <v>72.087085536836</v>
      </c>
      <c r="F147" s="528">
        <f>'Recycling - Case 2'!$AK122*'Recycling - Case 2'!BP122*'4C2 Open-burning '!$B147</f>
        <v>0</v>
      </c>
      <c r="G147" s="528">
        <f>'Recycling - Case 2'!$AK122*'Recycling - Case 2'!BQ122*'4C2 Open-burning '!$B147</f>
        <v>0</v>
      </c>
      <c r="H147" s="528">
        <f>'Recycling - Case 2'!$AK122*'Recycling - Case 2'!BR122*'4C2 Open-burning '!$B147</f>
        <v>0</v>
      </c>
      <c r="I147" s="528">
        <f>'Recycling - Case 2'!$AK122*'Recycling - Case 2'!BS122*'4C2 Open-burning '!$B147</f>
        <v>281.83573767051189</v>
      </c>
      <c r="J147" s="744">
        <f t="shared" si="12"/>
        <v>870.55974478933138</v>
      </c>
      <c r="K147" s="106">
        <f>'4C2 Open-burning '!C$14*'4C2 Open-burning '!$C$5*'4C2 Open-burning '!$C$6*'4C2 Open-burning '!$C$7*C147</f>
        <v>0</v>
      </c>
      <c r="L147" s="106">
        <f>'4C2 Open-burning '!D$14*'4C2 Open-burning '!$C$5*'4C2 Open-burning '!$C$6*'4C2 Open-burning '!$C$7*D147</f>
        <v>0</v>
      </c>
      <c r="M147" s="106">
        <f>'4C2 Open-burning '!E$14*'4C2 Open-burning '!$C$5*'4C2 Open-burning '!$C$6*'4C2 Open-burning '!$C$7*E147</f>
        <v>0.3808101215403113</v>
      </c>
      <c r="N147" s="106">
        <f>'4C2 Open-burning '!F$14*'4C2 Open-burning '!$C$5*'4C2 Open-burning '!$C$6*'4C2 Open-burning '!$C$7*F147</f>
        <v>0</v>
      </c>
      <c r="O147" s="106">
        <f>'4C2 Open-burning '!G$14*'4C2 Open-burning '!$C$5*'4C2 Open-burning '!$C$6*'4C2 Open-burning '!$C$7*G147</f>
        <v>0</v>
      </c>
      <c r="P147" s="106">
        <f>'4C2 Open-burning '!H$14*'4C2 Open-burning '!$C$5*'4C2 Open-burning '!$C$6*'4C2 Open-burning '!$C$7*H147</f>
        <v>0</v>
      </c>
      <c r="Q147" s="106">
        <f>'4C2 Open-burning '!I$14*'4C2 Open-burning '!$C$5*'4C2 Open-burning '!$C$6*'4C2 Open-burning '!$C$7*I147</f>
        <v>9.7098048342244745</v>
      </c>
      <c r="R147" s="1384">
        <f t="shared" si="8"/>
        <v>10.090614955764785</v>
      </c>
      <c r="S147" s="485">
        <f>C147*'4C2 Open-burning '!$C$9*'4C2 Open-burning '!$C$11*$C$5</f>
        <v>0.98555998936826206</v>
      </c>
      <c r="T147" s="485">
        <f>D147*'4C2 Open-burning '!$C$9*'4C2 Open-burning '!$C$11*$C$5</f>
        <v>1.0293240048014736</v>
      </c>
      <c r="U147" s="485">
        <f>E147*'4C2 Open-burning '!$C$9*'4C2 Open-burning '!$C$11*$C$5</f>
        <v>0.2811396335936604</v>
      </c>
      <c r="V147" s="485">
        <f>F147*'4C2 Open-burning '!$C$9*'4C2 Open-burning '!$C$11*$C$5</f>
        <v>0</v>
      </c>
      <c r="W147" s="485">
        <f>G147*'4C2 Open-burning '!$C$9*'4C2 Open-burning '!$C$11*$C$5</f>
        <v>0</v>
      </c>
      <c r="X147" s="485">
        <f>H147*'4C2 Open-burning '!$C$9*'4C2 Open-burning '!$C$11*$C$5</f>
        <v>0</v>
      </c>
      <c r="Y147" s="485">
        <f>I147*'4C2 Open-burning '!$C$9*'4C2 Open-burning '!$C$11*$C$5</f>
        <v>1.0991593769149963</v>
      </c>
      <c r="Z147" s="486">
        <f t="shared" si="9"/>
        <v>3.3951830046783922</v>
      </c>
      <c r="AA147" s="487">
        <f>C147*'4C2 Open-burning '!$C$10*'4C2 Open-burning '!$C$11*$C$5*C$15</f>
        <v>9.097476824937804E-3</v>
      </c>
      <c r="AB147" s="487">
        <f>D147*'4C2 Open-burning '!$C$10*'4C2 Open-burning '!$C$11*$C$5*D$15</f>
        <v>9.5014523520136028E-3</v>
      </c>
      <c r="AC147" s="487">
        <f>E147*'4C2 Open-burning '!$C$10*'4C2 Open-burning '!$C$11*$C$5*E$15</f>
        <v>5.8390539284837147E-3</v>
      </c>
      <c r="AD147" s="487">
        <f>F147*'4C2 Open-burning '!$C$10*'4C2 Open-burning '!$C$11*$C$5*F$15</f>
        <v>0</v>
      </c>
      <c r="AE147" s="487">
        <f>G147*'4C2 Open-burning '!$C$10*'4C2 Open-burning '!$C$11*$C$5*G$15</f>
        <v>0</v>
      </c>
      <c r="AF147" s="487">
        <f>H147*'4C2 Open-burning '!$C$10*'4C2 Open-burning '!$C$11*$C$5*H$15</f>
        <v>0</v>
      </c>
      <c r="AG147" s="487">
        <f>I147*'4C2 Open-burning '!$C$10*'4C2 Open-burning '!$C$11*$C$5*I$15</f>
        <v>2.2828694751311461E-2</v>
      </c>
      <c r="AH147" s="488">
        <f t="shared" si="10"/>
        <v>4.7266677856746583E-2</v>
      </c>
      <c r="AI147" s="1389"/>
      <c r="AJ147" s="1388"/>
      <c r="AK147" s="1389"/>
    </row>
    <row r="148" spans="1:39">
      <c r="A148" s="157">
        <f>'Input data'!A143</f>
        <v>2043</v>
      </c>
      <c r="B148" s="417">
        <f>'Recycling - Case 2'!AP123</f>
        <v>4.414452242519154E-2</v>
      </c>
      <c r="C148" s="527">
        <f>'Recycling - Case 2'!$AK123*'Recycling - Case 2'!BM123*'4C2 Open-burning '!$B148</f>
        <v>252.21237864369809</v>
      </c>
      <c r="D148" s="528">
        <f>'Recycling - Case 2'!$AK123*'Recycling - Case 2'!BN123*'4C2 Open-burning '!$B148</f>
        <v>263.41192666764431</v>
      </c>
      <c r="E148" s="528">
        <f>'Recycling - Case 2'!$AK123*'Recycling - Case 2'!BO123*'4C2 Open-burning '!$B148</f>
        <v>71.945793746279918</v>
      </c>
      <c r="F148" s="528">
        <f>'Recycling - Case 2'!$AK123*'Recycling - Case 2'!BP123*'4C2 Open-burning '!$B148</f>
        <v>0</v>
      </c>
      <c r="G148" s="528">
        <f>'Recycling - Case 2'!$AK123*'Recycling - Case 2'!BQ123*'4C2 Open-burning '!$B148</f>
        <v>0</v>
      </c>
      <c r="H148" s="528">
        <f>'Recycling - Case 2'!$AK123*'Recycling - Case 2'!BR123*'4C2 Open-burning '!$B148</f>
        <v>0</v>
      </c>
      <c r="I148" s="528">
        <f>'Recycling - Case 2'!$AK123*'Recycling - Case 2'!BS123*'4C2 Open-burning '!$B148</f>
        <v>281.28333531270243</v>
      </c>
      <c r="J148" s="744">
        <f t="shared" si="12"/>
        <v>868.85343437032475</v>
      </c>
      <c r="K148" s="106">
        <f>'4C2 Open-burning '!C$14*'4C2 Open-burning '!$C$5*'4C2 Open-burning '!$C$6*'4C2 Open-burning '!$C$7*C148</f>
        <v>0</v>
      </c>
      <c r="L148" s="106">
        <f>'4C2 Open-burning '!D$14*'4C2 Open-burning '!$C$5*'4C2 Open-burning '!$C$6*'4C2 Open-burning '!$C$7*D148</f>
        <v>0</v>
      </c>
      <c r="M148" s="106">
        <f>'4C2 Open-burning '!E$14*'4C2 Open-burning '!$C$5*'4C2 Open-burning '!$C$6*'4C2 Open-burning '!$C$7*E148</f>
        <v>0.38006372787584813</v>
      </c>
      <c r="N148" s="106">
        <f>'4C2 Open-burning '!F$14*'4C2 Open-burning '!$C$5*'4C2 Open-burning '!$C$6*'4C2 Open-burning '!$C$7*F148</f>
        <v>0</v>
      </c>
      <c r="O148" s="106">
        <f>'4C2 Open-burning '!G$14*'4C2 Open-burning '!$C$5*'4C2 Open-burning '!$C$6*'4C2 Open-burning '!$C$7*G148</f>
        <v>0</v>
      </c>
      <c r="P148" s="106">
        <f>'4C2 Open-burning '!H$14*'4C2 Open-burning '!$C$5*'4C2 Open-burning '!$C$6*'4C2 Open-burning '!$C$7*H148</f>
        <v>0</v>
      </c>
      <c r="Q148" s="106">
        <f>'4C2 Open-burning '!I$14*'4C2 Open-burning '!$C$5*'4C2 Open-burning '!$C$6*'4C2 Open-burning '!$C$7*I148</f>
        <v>9.6907734681932229</v>
      </c>
      <c r="R148" s="1384">
        <f t="shared" si="8"/>
        <v>10.070837196069071</v>
      </c>
      <c r="S148" s="485">
        <f>C148*'4C2 Open-burning '!$C$9*'4C2 Open-burning '!$C$11*$C$5</f>
        <v>0.98362827671042241</v>
      </c>
      <c r="T148" s="485">
        <f>D148*'4C2 Open-burning '!$C$9*'4C2 Open-burning '!$C$11*$C$5</f>
        <v>1.0273065140038129</v>
      </c>
      <c r="U148" s="485">
        <f>E148*'4C2 Open-burning '!$C$9*'4C2 Open-burning '!$C$11*$C$5</f>
        <v>0.28058859561049165</v>
      </c>
      <c r="V148" s="485">
        <f>F148*'4C2 Open-burning '!$C$9*'4C2 Open-burning '!$C$11*$C$5</f>
        <v>0</v>
      </c>
      <c r="W148" s="485">
        <f>G148*'4C2 Open-burning '!$C$9*'4C2 Open-burning '!$C$11*$C$5</f>
        <v>0</v>
      </c>
      <c r="X148" s="485">
        <f>H148*'4C2 Open-burning '!$C$9*'4C2 Open-burning '!$C$11*$C$5</f>
        <v>0</v>
      </c>
      <c r="Y148" s="485">
        <f>I148*'4C2 Open-burning '!$C$9*'4C2 Open-burning '!$C$11*$C$5</f>
        <v>1.0970050077195395</v>
      </c>
      <c r="Z148" s="486">
        <f t="shared" si="9"/>
        <v>3.3885283940442661</v>
      </c>
      <c r="AA148" s="487">
        <f>C148*'4C2 Open-burning '!$C$10*'4C2 Open-burning '!$C$11*$C$5*C$15</f>
        <v>9.0796456311731302E-3</v>
      </c>
      <c r="AB148" s="487">
        <f>D148*'4C2 Open-burning '!$C$10*'4C2 Open-burning '!$C$11*$C$5*D$15</f>
        <v>9.4828293600351943E-3</v>
      </c>
      <c r="AC148" s="487">
        <f>E148*'4C2 Open-burning '!$C$10*'4C2 Open-burning '!$C$11*$C$5*E$15</f>
        <v>5.8276092934486743E-3</v>
      </c>
      <c r="AD148" s="487">
        <f>F148*'4C2 Open-burning '!$C$10*'4C2 Open-burning '!$C$11*$C$5*F$15</f>
        <v>0</v>
      </c>
      <c r="AE148" s="487">
        <f>G148*'4C2 Open-burning '!$C$10*'4C2 Open-burning '!$C$11*$C$5*G$15</f>
        <v>0</v>
      </c>
      <c r="AF148" s="487">
        <f>H148*'4C2 Open-burning '!$C$10*'4C2 Open-burning '!$C$11*$C$5*H$15</f>
        <v>0</v>
      </c>
      <c r="AG148" s="487">
        <f>I148*'4C2 Open-burning '!$C$10*'4C2 Open-burning '!$C$11*$C$5*I$15</f>
        <v>2.2783950160328897E-2</v>
      </c>
      <c r="AH148" s="488">
        <f t="shared" si="10"/>
        <v>4.7174034444985899E-2</v>
      </c>
      <c r="AI148" s="1389"/>
      <c r="AJ148" s="1388"/>
      <c r="AK148" s="1389"/>
    </row>
    <row r="149" spans="1:39">
      <c r="A149" s="157">
        <f>'Input data'!A144</f>
        <v>2044</v>
      </c>
      <c r="B149" s="417">
        <f>'Recycling - Case 2'!AP124</f>
        <v>4.3921834607905885E-2</v>
      </c>
      <c r="C149" s="527">
        <f>'Recycling - Case 2'!$AK124*'Recycling - Case 2'!BM124*'4C2 Open-burning '!$B149</f>
        <v>251.7220450118551</v>
      </c>
      <c r="D149" s="528">
        <f>'Recycling - Case 2'!$AK124*'Recycling - Case 2'!BN124*'4C2 Open-burning '!$B149</f>
        <v>262.8998196593829</v>
      </c>
      <c r="E149" s="528">
        <f>'Recycling - Case 2'!$AK124*'Recycling - Case 2'!BO124*'4C2 Open-burning '!$B149</f>
        <v>71.805921775946217</v>
      </c>
      <c r="F149" s="528">
        <f>'Recycling - Case 2'!$AK124*'Recycling - Case 2'!BP124*'4C2 Open-burning '!$B149</f>
        <v>0</v>
      </c>
      <c r="G149" s="528">
        <f>'Recycling - Case 2'!$AK124*'Recycling - Case 2'!BQ124*'4C2 Open-burning '!$B149</f>
        <v>0</v>
      </c>
      <c r="H149" s="528">
        <f>'Recycling - Case 2'!$AK124*'Recycling - Case 2'!BR124*'4C2 Open-burning '!$B149</f>
        <v>0</v>
      </c>
      <c r="I149" s="528">
        <f>'Recycling - Case 2'!$AK124*'Recycling - Case 2'!BS124*'4C2 Open-burning '!$B149</f>
        <v>280.73648396415848</v>
      </c>
      <c r="J149" s="744">
        <f t="shared" si="12"/>
        <v>867.16427041134261</v>
      </c>
      <c r="K149" s="106">
        <f>'4C2 Open-burning '!C$14*'4C2 Open-burning '!$C$5*'4C2 Open-burning '!$C$6*'4C2 Open-burning '!$C$7*C149</f>
        <v>0</v>
      </c>
      <c r="L149" s="106">
        <f>'4C2 Open-burning '!D$14*'4C2 Open-burning '!$C$5*'4C2 Open-burning '!$C$6*'4C2 Open-burning '!$C$7*D149</f>
        <v>0</v>
      </c>
      <c r="M149" s="106">
        <f>'4C2 Open-burning '!E$14*'4C2 Open-burning '!$C$5*'4C2 Open-burning '!$C$6*'4C2 Open-burning '!$C$7*E149</f>
        <v>0.3793248346104845</v>
      </c>
      <c r="N149" s="106">
        <f>'4C2 Open-burning '!F$14*'4C2 Open-burning '!$C$5*'4C2 Open-burning '!$C$6*'4C2 Open-burning '!$C$7*F149</f>
        <v>0</v>
      </c>
      <c r="O149" s="106">
        <f>'4C2 Open-burning '!G$14*'4C2 Open-burning '!$C$5*'4C2 Open-burning '!$C$6*'4C2 Open-burning '!$C$7*G149</f>
        <v>0</v>
      </c>
      <c r="P149" s="106">
        <f>'4C2 Open-burning '!H$14*'4C2 Open-burning '!$C$5*'4C2 Open-burning '!$C$6*'4C2 Open-burning '!$C$7*H149</f>
        <v>0</v>
      </c>
      <c r="Q149" s="106">
        <f>'4C2 Open-burning '!I$14*'4C2 Open-burning '!$C$5*'4C2 Open-burning '!$C$6*'4C2 Open-burning '!$C$7*I149</f>
        <v>9.6719333455331871</v>
      </c>
      <c r="R149" s="1384">
        <f t="shared" si="8"/>
        <v>10.051258180143671</v>
      </c>
      <c r="S149" s="485">
        <f>C149*'4C2 Open-burning '!$C$9*'4C2 Open-burning '!$C$11*$C$5</f>
        <v>0.98171597554623469</v>
      </c>
      <c r="T149" s="485">
        <f>D149*'4C2 Open-burning '!$C$9*'4C2 Open-burning '!$C$11*$C$5</f>
        <v>1.0253092966715933</v>
      </c>
      <c r="U149" s="485">
        <f>E149*'4C2 Open-burning '!$C$9*'4C2 Open-burning '!$C$11*$C$5</f>
        <v>0.28004309492619023</v>
      </c>
      <c r="V149" s="485">
        <f>F149*'4C2 Open-burning '!$C$9*'4C2 Open-burning '!$C$11*$C$5</f>
        <v>0</v>
      </c>
      <c r="W149" s="485">
        <f>G149*'4C2 Open-burning '!$C$9*'4C2 Open-burning '!$C$11*$C$5</f>
        <v>0</v>
      </c>
      <c r="X149" s="485">
        <f>H149*'4C2 Open-burning '!$C$9*'4C2 Open-burning '!$C$11*$C$5</f>
        <v>0</v>
      </c>
      <c r="Y149" s="485">
        <f>I149*'4C2 Open-burning '!$C$9*'4C2 Open-burning '!$C$11*$C$5</f>
        <v>1.0948722874602179</v>
      </c>
      <c r="Z149" s="486">
        <f t="shared" si="9"/>
        <v>3.3819406546042359</v>
      </c>
      <c r="AA149" s="487">
        <f>C149*'4C2 Open-burning '!$C$10*'4C2 Open-burning '!$C$11*$C$5*C$15</f>
        <v>9.061993620426782E-3</v>
      </c>
      <c r="AB149" s="487">
        <f>D149*'4C2 Open-burning '!$C$10*'4C2 Open-burning '!$C$11*$C$5*D$15</f>
        <v>9.4643935077377856E-3</v>
      </c>
      <c r="AC149" s="487">
        <f>E149*'4C2 Open-burning '!$C$10*'4C2 Open-burning '!$C$11*$C$5*E$15</f>
        <v>5.8162796638516435E-3</v>
      </c>
      <c r="AD149" s="487">
        <f>F149*'4C2 Open-burning '!$C$10*'4C2 Open-burning '!$C$11*$C$5*F$15</f>
        <v>0</v>
      </c>
      <c r="AE149" s="487">
        <f>G149*'4C2 Open-burning '!$C$10*'4C2 Open-burning '!$C$11*$C$5*G$15</f>
        <v>0</v>
      </c>
      <c r="AF149" s="487">
        <f>H149*'4C2 Open-burning '!$C$10*'4C2 Open-burning '!$C$11*$C$5*H$15</f>
        <v>0</v>
      </c>
      <c r="AG149" s="487">
        <f>I149*'4C2 Open-burning '!$C$10*'4C2 Open-burning '!$C$11*$C$5*I$15</f>
        <v>2.2739655201096838E-2</v>
      </c>
      <c r="AH149" s="488">
        <f t="shared" si="10"/>
        <v>4.7082321993113047E-2</v>
      </c>
      <c r="AI149" s="1389"/>
      <c r="AJ149" s="1388"/>
      <c r="AK149" s="1389"/>
    </row>
    <row r="150" spans="1:39">
      <c r="A150" s="157">
        <f>'Input data'!A145</f>
        <v>2045</v>
      </c>
      <c r="B150" s="417">
        <f>'Recycling - Case 2'!AP125</f>
        <v>4.3700479411766198E-2</v>
      </c>
      <c r="C150" s="527">
        <f>'Recycling - Case 2'!$AK125*'Recycling - Case 2'!BM125*'4C2 Open-burning '!$B150</f>
        <v>251.2366232952497</v>
      </c>
      <c r="D150" s="528">
        <f>'Recycling - Case 2'!$AK125*'Recycling - Case 2'!BN125*'4C2 Open-burning '!$B150</f>
        <v>262.39284268107218</v>
      </c>
      <c r="E150" s="528">
        <f>'Recycling - Case 2'!$AK125*'Recycling - Case 2'!BO125*'4C2 Open-burning '!$B150</f>
        <v>71.667450972527831</v>
      </c>
      <c r="F150" s="528">
        <f>'Recycling - Case 2'!$AK125*'Recycling - Case 2'!BP125*'4C2 Open-burning '!$B150</f>
        <v>0</v>
      </c>
      <c r="G150" s="528">
        <f>'Recycling - Case 2'!$AK125*'Recycling - Case 2'!BQ125*'4C2 Open-burning '!$B150</f>
        <v>0</v>
      </c>
      <c r="H150" s="528">
        <f>'Recycling - Case 2'!$AK125*'Recycling - Case 2'!BR125*'4C2 Open-burning '!$B150</f>
        <v>0</v>
      </c>
      <c r="I150" s="528">
        <f>'Recycling - Case 2'!$AK125*'Recycling - Case 2'!BS125*'4C2 Open-burning '!$B150</f>
        <v>280.19511069685791</v>
      </c>
      <c r="J150" s="744">
        <f t="shared" si="12"/>
        <v>865.49202764570759</v>
      </c>
      <c r="K150" s="106">
        <f>'4C2 Open-burning '!C$14*'4C2 Open-burning '!$C$5*'4C2 Open-burning '!$C$6*'4C2 Open-burning '!$C$7*C150</f>
        <v>0</v>
      </c>
      <c r="L150" s="106">
        <f>'4C2 Open-burning '!D$14*'4C2 Open-burning '!$C$5*'4C2 Open-burning '!$C$6*'4C2 Open-burning '!$C$7*D150</f>
        <v>0</v>
      </c>
      <c r="M150" s="106">
        <f>'4C2 Open-burning '!E$14*'4C2 Open-burning '!$C$5*'4C2 Open-burning '!$C$6*'4C2 Open-burning '!$C$7*E150</f>
        <v>0.37859334320551441</v>
      </c>
      <c r="N150" s="106">
        <f>'4C2 Open-burning '!F$14*'4C2 Open-burning '!$C$5*'4C2 Open-burning '!$C$6*'4C2 Open-burning '!$C$7*F150</f>
        <v>0</v>
      </c>
      <c r="O150" s="106">
        <f>'4C2 Open-burning '!G$14*'4C2 Open-burning '!$C$5*'4C2 Open-burning '!$C$6*'4C2 Open-burning '!$C$7*G150</f>
        <v>0</v>
      </c>
      <c r="P150" s="106">
        <f>'4C2 Open-burning '!H$14*'4C2 Open-burning '!$C$5*'4C2 Open-burning '!$C$6*'4C2 Open-burning '!$C$7*H150</f>
        <v>0</v>
      </c>
      <c r="Q150" s="106">
        <f>'4C2 Open-burning '!I$14*'4C2 Open-burning '!$C$5*'4C2 Open-burning '!$C$6*'4C2 Open-burning '!$C$7*I150</f>
        <v>9.6532819537281469</v>
      </c>
      <c r="R150" s="1384">
        <f t="shared" si="8"/>
        <v>10.031875296933661</v>
      </c>
      <c r="S150" s="485">
        <f>C150*'4C2 Open-burning '!$C$9*'4C2 Open-burning '!$C$11*$C$5</f>
        <v>0.9798228308514737</v>
      </c>
      <c r="T150" s="485">
        <f>D150*'4C2 Open-burning '!$C$9*'4C2 Open-burning '!$C$11*$C$5</f>
        <v>1.0233320864561815</v>
      </c>
      <c r="U150" s="485">
        <f>E150*'4C2 Open-burning '!$C$9*'4C2 Open-burning '!$C$11*$C$5</f>
        <v>0.27950305879285853</v>
      </c>
      <c r="V150" s="485">
        <f>F150*'4C2 Open-burning '!$C$9*'4C2 Open-burning '!$C$11*$C$5</f>
        <v>0</v>
      </c>
      <c r="W150" s="485">
        <f>G150*'4C2 Open-burning '!$C$9*'4C2 Open-burning '!$C$11*$C$5</f>
        <v>0</v>
      </c>
      <c r="X150" s="485">
        <f>H150*'4C2 Open-burning '!$C$9*'4C2 Open-burning '!$C$11*$C$5</f>
        <v>0</v>
      </c>
      <c r="Y150" s="485">
        <f>I150*'4C2 Open-burning '!$C$9*'4C2 Open-burning '!$C$11*$C$5</f>
        <v>1.0927609317177456</v>
      </c>
      <c r="Z150" s="486">
        <f t="shared" si="9"/>
        <v>3.3754189078182595</v>
      </c>
      <c r="AA150" s="487">
        <f>C150*'4C2 Open-burning '!$C$10*'4C2 Open-burning '!$C$11*$C$5*C$15</f>
        <v>9.0445184386289887E-3</v>
      </c>
      <c r="AB150" s="487">
        <f>D150*'4C2 Open-burning '!$C$10*'4C2 Open-burning '!$C$11*$C$5*D$15</f>
        <v>9.4461423365185971E-3</v>
      </c>
      <c r="AC150" s="487">
        <f>E150*'4C2 Open-burning '!$C$10*'4C2 Open-burning '!$C$11*$C$5*E$15</f>
        <v>5.8050635287747532E-3</v>
      </c>
      <c r="AD150" s="487">
        <f>F150*'4C2 Open-burning '!$C$10*'4C2 Open-burning '!$C$11*$C$5*F$15</f>
        <v>0</v>
      </c>
      <c r="AE150" s="487">
        <f>G150*'4C2 Open-burning '!$C$10*'4C2 Open-burning '!$C$11*$C$5*G$15</f>
        <v>0</v>
      </c>
      <c r="AF150" s="487">
        <f>H150*'4C2 Open-burning '!$C$10*'4C2 Open-burning '!$C$11*$C$5*H$15</f>
        <v>0</v>
      </c>
      <c r="AG150" s="487">
        <f>I150*'4C2 Open-burning '!$C$10*'4C2 Open-burning '!$C$11*$C$5*I$15</f>
        <v>2.269580396644549E-2</v>
      </c>
      <c r="AH150" s="488">
        <f t="shared" si="10"/>
        <v>4.699152827036783E-2</v>
      </c>
      <c r="AI150" s="1389"/>
      <c r="AJ150" s="1388"/>
      <c r="AK150" s="1389"/>
    </row>
    <row r="151" spans="1:39">
      <c r="A151" s="157">
        <f>'Input data'!A146</f>
        <v>2046</v>
      </c>
      <c r="B151" s="417">
        <f>'Recycling - Case 2'!AP126</f>
        <v>4.3519432813026476E-2</v>
      </c>
      <c r="C151" s="527">
        <f>'Recycling - Case 2'!$AK126*'Recycling - Case 2'!BM126*'4C2 Open-burning '!$B151</f>
        <v>250.84106476572728</v>
      </c>
      <c r="D151" s="528">
        <f>'Recycling - Case 2'!$AK126*'Recycling - Case 2'!BN126*'4C2 Open-burning '!$B151</f>
        <v>261.97971928510077</v>
      </c>
      <c r="E151" s="528">
        <f>'Recycling - Case 2'!$AK126*'Recycling - Case 2'!BO126*'4C2 Open-burning '!$B151</f>
        <v>71.554614431622738</v>
      </c>
      <c r="F151" s="528">
        <f>'Recycling - Case 2'!$AK126*'Recycling - Case 2'!BP126*'4C2 Open-burning '!$B151</f>
        <v>0</v>
      </c>
      <c r="G151" s="528">
        <f>'Recycling - Case 2'!$AK126*'Recycling - Case 2'!BQ126*'4C2 Open-burning '!$B151</f>
        <v>0</v>
      </c>
      <c r="H151" s="528">
        <f>'Recycling - Case 2'!$AK126*'Recycling - Case 2'!BR126*'4C2 Open-burning '!$B151</f>
        <v>0</v>
      </c>
      <c r="I151" s="528">
        <f>'Recycling - Case 2'!$AK126*'Recycling - Case 2'!BS126*'4C2 Open-burning '!$B151</f>
        <v>279.75395858888533</v>
      </c>
      <c r="J151" s="744">
        <f t="shared" si="12"/>
        <v>864.12935707133613</v>
      </c>
      <c r="K151" s="106">
        <f>'4C2 Open-burning '!C$14*'4C2 Open-burning '!$C$5*'4C2 Open-burning '!$C$6*'4C2 Open-burning '!$C$7*C151</f>
        <v>0</v>
      </c>
      <c r="L151" s="106">
        <f>'4C2 Open-burning '!D$14*'4C2 Open-burning '!$C$5*'4C2 Open-burning '!$C$6*'4C2 Open-burning '!$C$7*D151</f>
        <v>0</v>
      </c>
      <c r="M151" s="106">
        <f>'4C2 Open-burning '!E$14*'4C2 Open-burning '!$C$5*'4C2 Open-burning '!$C$6*'4C2 Open-burning '!$C$7*E151</f>
        <v>0.37799726838106751</v>
      </c>
      <c r="N151" s="106">
        <f>'4C2 Open-burning '!F$14*'4C2 Open-burning '!$C$5*'4C2 Open-burning '!$C$6*'4C2 Open-burning '!$C$7*F151</f>
        <v>0</v>
      </c>
      <c r="O151" s="106">
        <f>'4C2 Open-burning '!G$14*'4C2 Open-burning '!$C$5*'4C2 Open-burning '!$C$6*'4C2 Open-burning '!$C$7*G151</f>
        <v>0</v>
      </c>
      <c r="P151" s="106">
        <f>'4C2 Open-burning '!H$14*'4C2 Open-burning '!$C$5*'4C2 Open-burning '!$C$6*'4C2 Open-burning '!$C$7*H151</f>
        <v>0</v>
      </c>
      <c r="Q151" s="106">
        <f>'4C2 Open-burning '!I$14*'4C2 Open-burning '!$C$5*'4C2 Open-burning '!$C$6*'4C2 Open-burning '!$C$7*I151</f>
        <v>9.638083381304277</v>
      </c>
      <c r="R151" s="1384">
        <f t="shared" si="8"/>
        <v>10.016080649685344</v>
      </c>
      <c r="S151" s="485">
        <f>C151*'4C2 Open-burning '!$C$9*'4C2 Open-burning '!$C$11*$C$5</f>
        <v>0.97828015258633638</v>
      </c>
      <c r="T151" s="485">
        <f>D151*'4C2 Open-burning '!$C$9*'4C2 Open-burning '!$C$11*$C$5</f>
        <v>1.021720905211893</v>
      </c>
      <c r="U151" s="485">
        <f>E151*'4C2 Open-burning '!$C$9*'4C2 Open-burning '!$C$11*$C$5</f>
        <v>0.2790629962833287</v>
      </c>
      <c r="V151" s="485">
        <f>F151*'4C2 Open-burning '!$C$9*'4C2 Open-burning '!$C$11*$C$5</f>
        <v>0</v>
      </c>
      <c r="W151" s="485">
        <f>G151*'4C2 Open-burning '!$C$9*'4C2 Open-burning '!$C$11*$C$5</f>
        <v>0</v>
      </c>
      <c r="X151" s="485">
        <f>H151*'4C2 Open-burning '!$C$9*'4C2 Open-burning '!$C$11*$C$5</f>
        <v>0</v>
      </c>
      <c r="Y151" s="485">
        <f>I151*'4C2 Open-burning '!$C$9*'4C2 Open-burning '!$C$11*$C$5</f>
        <v>1.0910404384966528</v>
      </c>
      <c r="Z151" s="486">
        <f t="shared" si="9"/>
        <v>3.3701044925782111</v>
      </c>
      <c r="AA151" s="487">
        <f>C151*'4C2 Open-burning '!$C$10*'4C2 Open-burning '!$C$11*$C$5*C$15</f>
        <v>9.0302783315661835E-3</v>
      </c>
      <c r="AB151" s="487">
        <f>D151*'4C2 Open-burning '!$C$10*'4C2 Open-burning '!$C$11*$C$5*D$15</f>
        <v>9.4312698942636275E-3</v>
      </c>
      <c r="AC151" s="487">
        <f>E151*'4C2 Open-burning '!$C$10*'4C2 Open-burning '!$C$11*$C$5*E$15</f>
        <v>5.7959237689614411E-3</v>
      </c>
      <c r="AD151" s="487">
        <f>F151*'4C2 Open-burning '!$C$10*'4C2 Open-burning '!$C$11*$C$5*F$15</f>
        <v>0</v>
      </c>
      <c r="AE151" s="487">
        <f>G151*'4C2 Open-burning '!$C$10*'4C2 Open-burning '!$C$11*$C$5*G$15</f>
        <v>0</v>
      </c>
      <c r="AF151" s="487">
        <f>H151*'4C2 Open-burning '!$C$10*'4C2 Open-burning '!$C$11*$C$5*H$15</f>
        <v>0</v>
      </c>
      <c r="AG151" s="487">
        <f>I151*'4C2 Open-burning '!$C$10*'4C2 Open-burning '!$C$11*$C$5*I$15</f>
        <v>2.2660070645699713E-2</v>
      </c>
      <c r="AH151" s="488">
        <f t="shared" si="10"/>
        <v>4.6917542640490965E-2</v>
      </c>
      <c r="AI151" s="1389"/>
      <c r="AJ151" s="1388"/>
      <c r="AK151" s="1389"/>
    </row>
    <row r="152" spans="1:39">
      <c r="A152" s="157">
        <f>'Input data'!A147</f>
        <v>2047</v>
      </c>
      <c r="B152" s="417">
        <f>'Recycling - Case 2'!AP127</f>
        <v>4.3339269389548955E-2</v>
      </c>
      <c r="C152" s="527">
        <f>'Recycling - Case 2'!$AK127*'Recycling - Case 2'!BM127*'4C2 Open-burning '!$B152</f>
        <v>250.44874940831929</v>
      </c>
      <c r="D152" s="528">
        <f>'Recycling - Case 2'!$AK127*'Recycling - Case 2'!BN127*'4C2 Open-burning '!$B152</f>
        <v>261.56998307503892</v>
      </c>
      <c r="E152" s="528">
        <f>'Recycling - Case 2'!$AK127*'Recycling - Case 2'!BO127*'4C2 Open-burning '!$B152</f>
        <v>71.442703034016645</v>
      </c>
      <c r="F152" s="528">
        <f>'Recycling - Case 2'!$AK127*'Recycling - Case 2'!BP127*'4C2 Open-burning '!$B152</f>
        <v>0</v>
      </c>
      <c r="G152" s="528">
        <f>'Recycling - Case 2'!$AK127*'Recycling - Case 2'!BQ127*'4C2 Open-burning '!$B152</f>
        <v>0</v>
      </c>
      <c r="H152" s="528">
        <f>'Recycling - Case 2'!$AK127*'Recycling - Case 2'!BR127*'4C2 Open-burning '!$B152</f>
        <v>0</v>
      </c>
      <c r="I152" s="528">
        <f>'Recycling - Case 2'!$AK127*'Recycling - Case 2'!BS127*'4C2 Open-burning '!$B152</f>
        <v>279.31642347336265</v>
      </c>
      <c r="J152" s="744">
        <f t="shared" si="12"/>
        <v>862.77785899073751</v>
      </c>
      <c r="K152" s="106">
        <f>'4C2 Open-burning '!C$14*'4C2 Open-burning '!$C$5*'4C2 Open-burning '!$C$6*'4C2 Open-burning '!$C$7*C152</f>
        <v>0</v>
      </c>
      <c r="L152" s="106">
        <f>'4C2 Open-burning '!D$14*'4C2 Open-burning '!$C$5*'4C2 Open-burning '!$C$6*'4C2 Open-burning '!$C$7*D152</f>
        <v>0</v>
      </c>
      <c r="M152" s="106">
        <f>'4C2 Open-burning '!E$14*'4C2 Open-burning '!$C$5*'4C2 Open-burning '!$C$6*'4C2 Open-burning '!$C$7*E152</f>
        <v>0.37740608075561771</v>
      </c>
      <c r="N152" s="106">
        <f>'4C2 Open-burning '!F$14*'4C2 Open-burning '!$C$5*'4C2 Open-burning '!$C$6*'4C2 Open-burning '!$C$7*F152</f>
        <v>0</v>
      </c>
      <c r="O152" s="106">
        <f>'4C2 Open-burning '!G$14*'4C2 Open-burning '!$C$5*'4C2 Open-burning '!$C$6*'4C2 Open-burning '!$C$7*G152</f>
        <v>0</v>
      </c>
      <c r="P152" s="106">
        <f>'4C2 Open-burning '!H$14*'4C2 Open-burning '!$C$5*'4C2 Open-burning '!$C$6*'4C2 Open-burning '!$C$7*H152</f>
        <v>0</v>
      </c>
      <c r="Q152" s="106">
        <f>'4C2 Open-burning '!I$14*'4C2 Open-burning '!$C$5*'4C2 Open-burning '!$C$6*'4C2 Open-burning '!$C$7*I152</f>
        <v>9.623009421504289</v>
      </c>
      <c r="R152" s="1384">
        <f t="shared" si="8"/>
        <v>10.000415502259907</v>
      </c>
      <c r="S152" s="485">
        <f>C152*'4C2 Open-burning '!$C$9*'4C2 Open-burning '!$C$11*$C$5</f>
        <v>0.9767501226924451</v>
      </c>
      <c r="T152" s="485">
        <f>D152*'4C2 Open-burning '!$C$9*'4C2 Open-burning '!$C$11*$C$5</f>
        <v>1.0201229339926516</v>
      </c>
      <c r="U152" s="485">
        <f>E152*'4C2 Open-burning '!$C$9*'4C2 Open-burning '!$C$11*$C$5</f>
        <v>0.27862654183266489</v>
      </c>
      <c r="V152" s="485">
        <f>F152*'4C2 Open-burning '!$C$9*'4C2 Open-burning '!$C$11*$C$5</f>
        <v>0</v>
      </c>
      <c r="W152" s="485">
        <f>G152*'4C2 Open-burning '!$C$9*'4C2 Open-burning '!$C$11*$C$5</f>
        <v>0</v>
      </c>
      <c r="X152" s="485">
        <f>H152*'4C2 Open-burning '!$C$9*'4C2 Open-burning '!$C$11*$C$5</f>
        <v>0</v>
      </c>
      <c r="Y152" s="485">
        <f>I152*'4C2 Open-burning '!$C$9*'4C2 Open-burning '!$C$11*$C$5</f>
        <v>1.0893340515461141</v>
      </c>
      <c r="Z152" s="486">
        <f t="shared" si="9"/>
        <v>3.3648336500638756</v>
      </c>
      <c r="AA152" s="487">
        <f>C152*'4C2 Open-burning '!$C$10*'4C2 Open-burning '!$C$11*$C$5*C$15</f>
        <v>9.0161549786994932E-3</v>
      </c>
      <c r="AB152" s="487">
        <f>D152*'4C2 Open-burning '!$C$10*'4C2 Open-burning '!$C$11*$C$5*D$15</f>
        <v>9.4165193907014E-3</v>
      </c>
      <c r="AC152" s="487">
        <f>E152*'4C2 Open-burning '!$C$10*'4C2 Open-burning '!$C$11*$C$5*E$15</f>
        <v>5.7868589457553479E-3</v>
      </c>
      <c r="AD152" s="487">
        <f>F152*'4C2 Open-burning '!$C$10*'4C2 Open-burning '!$C$11*$C$5*F$15</f>
        <v>0</v>
      </c>
      <c r="AE152" s="487">
        <f>G152*'4C2 Open-burning '!$C$10*'4C2 Open-burning '!$C$11*$C$5*G$15</f>
        <v>0</v>
      </c>
      <c r="AF152" s="487">
        <f>H152*'4C2 Open-burning '!$C$10*'4C2 Open-burning '!$C$11*$C$5*H$15</f>
        <v>0</v>
      </c>
      <c r="AG152" s="487">
        <f>I152*'4C2 Open-burning '!$C$10*'4C2 Open-burning '!$C$11*$C$5*I$15</f>
        <v>2.2624630301342374E-2</v>
      </c>
      <c r="AH152" s="488">
        <f t="shared" si="10"/>
        <v>4.6844163616498617E-2</v>
      </c>
      <c r="AI152" s="1389"/>
      <c r="AJ152" s="1388"/>
      <c r="AK152" s="1389"/>
    </row>
    <row r="153" spans="1:39">
      <c r="A153" s="157">
        <f>'Input data'!A148</f>
        <v>2048</v>
      </c>
      <c r="B153" s="417">
        <f>'Recycling - Case 2'!AP128</f>
        <v>4.3159981189882027E-2</v>
      </c>
      <c r="C153" s="527">
        <f>'Recycling - Case 2'!$AK128*'Recycling - Case 2'!BM128*'4C2 Open-burning '!$B153</f>
        <v>250.05964252346925</v>
      </c>
      <c r="D153" s="528">
        <f>'Recycling - Case 2'!$AK128*'Recycling - Case 2'!BN128*'4C2 Open-burning '!$B153</f>
        <v>261.16359781048862</v>
      </c>
      <c r="E153" s="528">
        <f>'Recycling - Case 2'!$AK128*'Recycling - Case 2'!BO128*'4C2 Open-burning '!$B153</f>
        <v>71.331706881356652</v>
      </c>
      <c r="F153" s="528">
        <f>'Recycling - Case 2'!$AK128*'Recycling - Case 2'!BP128*'4C2 Open-burning '!$B153</f>
        <v>0</v>
      </c>
      <c r="G153" s="528">
        <f>'Recycling - Case 2'!$AK128*'Recycling - Case 2'!BQ128*'4C2 Open-burning '!$B153</f>
        <v>0</v>
      </c>
      <c r="H153" s="528">
        <f>'Recycling - Case 2'!$AK128*'Recycling - Case 2'!BR128*'4C2 Open-burning '!$B153</f>
        <v>0</v>
      </c>
      <c r="I153" s="528">
        <f>'Recycling - Case 2'!$AK128*'Recycling - Case 2'!BS128*'4C2 Open-burning '!$B153</f>
        <v>278.88246665113081</v>
      </c>
      <c r="J153" s="744">
        <f t="shared" si="12"/>
        <v>861.43741386644535</v>
      </c>
      <c r="K153" s="106">
        <f>'4C2 Open-burning '!C$14*'4C2 Open-burning '!$C$5*'4C2 Open-burning '!$C$6*'4C2 Open-burning '!$C$7*C153</f>
        <v>0</v>
      </c>
      <c r="L153" s="106">
        <f>'4C2 Open-burning '!D$14*'4C2 Open-burning '!$C$5*'4C2 Open-burning '!$C$6*'4C2 Open-burning '!$C$7*D153</f>
        <v>0</v>
      </c>
      <c r="M153" s="106">
        <f>'4C2 Open-burning '!E$14*'4C2 Open-burning '!$C$5*'4C2 Open-burning '!$C$6*'4C2 Open-burning '!$C$7*E153</f>
        <v>0.37681972803972991</v>
      </c>
      <c r="N153" s="106">
        <f>'4C2 Open-burning '!F$14*'4C2 Open-burning '!$C$5*'4C2 Open-burning '!$C$6*'4C2 Open-burning '!$C$7*F153</f>
        <v>0</v>
      </c>
      <c r="O153" s="106">
        <f>'4C2 Open-burning '!G$14*'4C2 Open-burning '!$C$5*'4C2 Open-burning '!$C$6*'4C2 Open-burning '!$C$7*G153</f>
        <v>0</v>
      </c>
      <c r="P153" s="106">
        <f>'4C2 Open-burning '!H$14*'4C2 Open-burning '!$C$5*'4C2 Open-burning '!$C$6*'4C2 Open-burning '!$C$7*H153</f>
        <v>0</v>
      </c>
      <c r="Q153" s="106">
        <f>'4C2 Open-burning '!I$14*'4C2 Open-burning '!$C$5*'4C2 Open-burning '!$C$6*'4C2 Open-burning '!$C$7*I153</f>
        <v>9.6080587410647578</v>
      </c>
      <c r="R153" s="1384">
        <f t="shared" ref="R153:R155" si="13">SUM(K153:Q153)</f>
        <v>9.984878469104487</v>
      </c>
      <c r="S153" s="485">
        <f>C153*'4C2 Open-burning '!$C$9*'4C2 Open-burning '!$C$11*$C$5</f>
        <v>0.97523260584153004</v>
      </c>
      <c r="T153" s="485">
        <f>D153*'4C2 Open-burning '!$C$9*'4C2 Open-burning '!$C$11*$C$5</f>
        <v>1.0185380314609056</v>
      </c>
      <c r="U153" s="485">
        <f>E153*'4C2 Open-burning '!$C$9*'4C2 Open-burning '!$C$11*$C$5</f>
        <v>0.27819365683729091</v>
      </c>
      <c r="V153" s="485">
        <f>F153*'4C2 Open-burning '!$C$9*'4C2 Open-burning '!$C$11*$C$5</f>
        <v>0</v>
      </c>
      <c r="W153" s="485">
        <f>G153*'4C2 Open-burning '!$C$9*'4C2 Open-burning '!$C$11*$C$5</f>
        <v>0</v>
      </c>
      <c r="X153" s="485">
        <f>H153*'4C2 Open-burning '!$C$9*'4C2 Open-burning '!$C$11*$C$5</f>
        <v>0</v>
      </c>
      <c r="Y153" s="485">
        <f>I153*'4C2 Open-burning '!$C$9*'4C2 Open-burning '!$C$11*$C$5</f>
        <v>1.0876416199394101</v>
      </c>
      <c r="Z153" s="486">
        <f t="shared" ref="Z153:Z155" si="14">SUM(S153:Y153)</f>
        <v>3.3596059140791366</v>
      </c>
      <c r="AA153" s="487">
        <f>C153*'4C2 Open-burning '!$C$10*'4C2 Open-burning '!$C$11*$C$5*C$15</f>
        <v>9.0021471308448908E-3</v>
      </c>
      <c r="AB153" s="487">
        <f>D153*'4C2 Open-burning '!$C$10*'4C2 Open-burning '!$C$11*$C$5*D$15</f>
        <v>9.4018895211775907E-3</v>
      </c>
      <c r="AC153" s="487">
        <f>E153*'4C2 Open-burning '!$C$10*'4C2 Open-burning '!$C$11*$C$5*E$15</f>
        <v>5.7778682573898883E-3</v>
      </c>
      <c r="AD153" s="487">
        <f>F153*'4C2 Open-burning '!$C$10*'4C2 Open-burning '!$C$11*$C$5*F$15</f>
        <v>0</v>
      </c>
      <c r="AE153" s="487">
        <f>G153*'4C2 Open-burning '!$C$10*'4C2 Open-burning '!$C$11*$C$5*G$15</f>
        <v>0</v>
      </c>
      <c r="AF153" s="487">
        <f>H153*'4C2 Open-burning '!$C$10*'4C2 Open-burning '!$C$11*$C$5*H$15</f>
        <v>0</v>
      </c>
      <c r="AG153" s="487">
        <f>I153*'4C2 Open-burning '!$C$10*'4C2 Open-burning '!$C$11*$C$5*I$15</f>
        <v>2.2589479798741593E-2</v>
      </c>
      <c r="AH153" s="488">
        <f t="shared" ref="AH153:AH155" si="15">SUM(AA153:AG153)</f>
        <v>4.6771384708153965E-2</v>
      </c>
      <c r="AI153" s="1389"/>
      <c r="AJ153" s="1388"/>
      <c r="AK153" s="1389"/>
    </row>
    <row r="154" spans="1:39">
      <c r="A154" s="157">
        <f>'Input data'!A149</f>
        <v>2049</v>
      </c>
      <c r="B154" s="417">
        <f>'Recycling - Case 2'!AP129</f>
        <v>4.2981560380265717E-2</v>
      </c>
      <c r="C154" s="527">
        <f>'Recycling - Case 2'!$AK129*'Recycling - Case 2'!BM129*'4C2 Open-burning '!$B154</f>
        <v>249.67370989436483</v>
      </c>
      <c r="D154" s="528">
        <f>'Recycling - Case 2'!$AK129*'Recycling - Case 2'!BN129*'4C2 Open-burning '!$B154</f>
        <v>260.76052775523203</v>
      </c>
      <c r="E154" s="528">
        <f>'Recycling - Case 2'!$AK129*'Recycling - Case 2'!BO129*'4C2 Open-burning '!$B154</f>
        <v>71.221616212996821</v>
      </c>
      <c r="F154" s="528">
        <f>'Recycling - Case 2'!$AK129*'Recycling - Case 2'!BP129*'4C2 Open-burning '!$B154</f>
        <v>0</v>
      </c>
      <c r="G154" s="528">
        <f>'Recycling - Case 2'!$AK129*'Recycling - Case 2'!BQ129*'4C2 Open-burning '!$B154</f>
        <v>0</v>
      </c>
      <c r="H154" s="528">
        <f>'Recycling - Case 2'!$AK129*'Recycling - Case 2'!BR129*'4C2 Open-burning '!$B154</f>
        <v>0</v>
      </c>
      <c r="I154" s="528">
        <f>'Recycling - Case 2'!$AK129*'Recycling - Case 2'!BS129*'4C2 Open-burning '!$B154</f>
        <v>278.45204996141769</v>
      </c>
      <c r="J154" s="744">
        <f t="shared" si="12"/>
        <v>860.10790382401137</v>
      </c>
      <c r="K154" s="106">
        <f>'4C2 Open-burning '!C$14*'4C2 Open-burning '!$C$5*'4C2 Open-burning '!$C$6*'4C2 Open-burning '!$C$7*C154</f>
        <v>0</v>
      </c>
      <c r="L154" s="106">
        <f>'4C2 Open-burning '!D$14*'4C2 Open-burning '!$C$5*'4C2 Open-burning '!$C$6*'4C2 Open-burning '!$C$7*D154</f>
        <v>0</v>
      </c>
      <c r="M154" s="106">
        <f>'4C2 Open-burning '!E$14*'4C2 Open-burning '!$C$5*'4C2 Open-burning '!$C$6*'4C2 Open-burning '!$C$7*E154</f>
        <v>0.37623815867142552</v>
      </c>
      <c r="N154" s="106">
        <f>'4C2 Open-burning '!F$14*'4C2 Open-burning '!$C$5*'4C2 Open-burning '!$C$6*'4C2 Open-burning '!$C$7*F154</f>
        <v>0</v>
      </c>
      <c r="O154" s="106">
        <f>'4C2 Open-burning '!G$14*'4C2 Open-burning '!$C$5*'4C2 Open-burning '!$C$6*'4C2 Open-burning '!$C$7*G154</f>
        <v>0</v>
      </c>
      <c r="P154" s="106">
        <f>'4C2 Open-burning '!H$14*'4C2 Open-burning '!$C$5*'4C2 Open-burning '!$C$6*'4C2 Open-burning '!$C$7*H154</f>
        <v>0</v>
      </c>
      <c r="Q154" s="106">
        <f>'4C2 Open-burning '!I$14*'4C2 Open-burning '!$C$5*'4C2 Open-burning '!$C$6*'4C2 Open-burning '!$C$7*I154</f>
        <v>9.5932300252707616</v>
      </c>
      <c r="R154" s="1384">
        <f t="shared" si="13"/>
        <v>9.9694681839421868</v>
      </c>
      <c r="S154" s="485">
        <f>C154*'4C2 Open-burning '!$C$9*'4C2 Open-burning '!$C$11*$C$5</f>
        <v>0.97372746858802284</v>
      </c>
      <c r="T154" s="485">
        <f>D154*'4C2 Open-burning '!$C$9*'4C2 Open-burning '!$C$11*$C$5</f>
        <v>1.0169660582454048</v>
      </c>
      <c r="U154" s="485">
        <f>E154*'4C2 Open-burning '!$C$9*'4C2 Open-burning '!$C$11*$C$5</f>
        <v>0.27776430323068757</v>
      </c>
      <c r="V154" s="485">
        <f>F154*'4C2 Open-burning '!$C$9*'4C2 Open-burning '!$C$11*$C$5</f>
        <v>0</v>
      </c>
      <c r="W154" s="485">
        <f>G154*'4C2 Open-burning '!$C$9*'4C2 Open-burning '!$C$11*$C$5</f>
        <v>0</v>
      </c>
      <c r="X154" s="485">
        <f>H154*'4C2 Open-burning '!$C$9*'4C2 Open-burning '!$C$11*$C$5</f>
        <v>0</v>
      </c>
      <c r="Y154" s="485">
        <f>I154*'4C2 Open-burning '!$C$9*'4C2 Open-burning '!$C$11*$C$5</f>
        <v>1.0859629948495289</v>
      </c>
      <c r="Z154" s="486">
        <f t="shared" si="14"/>
        <v>3.3544208249136438</v>
      </c>
      <c r="AA154" s="487">
        <f>C154*'4C2 Open-burning '!$C$10*'4C2 Open-burning '!$C$11*$C$5*C$15</f>
        <v>8.9882535561971334E-3</v>
      </c>
      <c r="AB154" s="487">
        <f>D154*'4C2 Open-burning '!$C$10*'4C2 Open-burning '!$C$11*$C$5*D$15</f>
        <v>9.3873789991883536E-3</v>
      </c>
      <c r="AC154" s="487">
        <f>E154*'4C2 Open-burning '!$C$10*'4C2 Open-burning '!$C$11*$C$5*E$15</f>
        <v>5.7689509132527426E-3</v>
      </c>
      <c r="AD154" s="487">
        <f>F154*'4C2 Open-burning '!$C$10*'4C2 Open-burning '!$C$11*$C$5*F$15</f>
        <v>0</v>
      </c>
      <c r="AE154" s="487">
        <f>G154*'4C2 Open-burning '!$C$10*'4C2 Open-burning '!$C$11*$C$5*G$15</f>
        <v>0</v>
      </c>
      <c r="AF154" s="487">
        <f>H154*'4C2 Open-burning '!$C$10*'4C2 Open-burning '!$C$11*$C$5*H$15</f>
        <v>0</v>
      </c>
      <c r="AG154" s="487">
        <f>I154*'4C2 Open-burning '!$C$10*'4C2 Open-burning '!$C$11*$C$5*I$15</f>
        <v>2.2554616046874833E-2</v>
      </c>
      <c r="AH154" s="488">
        <f t="shared" si="15"/>
        <v>4.669919951551306E-2</v>
      </c>
      <c r="AI154" s="1389"/>
      <c r="AJ154" s="1388"/>
      <c r="AK154" s="1389"/>
    </row>
    <row r="155" spans="1:39" ht="15.75" thickBot="1">
      <c r="A155" s="157">
        <f>'Input data'!A150</f>
        <v>2050</v>
      </c>
      <c r="B155" s="417">
        <f>'Recycling - Case 2'!AP130</f>
        <v>4.2803999242601289E-2</v>
      </c>
      <c r="C155" s="670">
        <f>'Recycling - Case 2'!$AK130*'Recycling - Case 2'!BM130*'4C2 Open-burning '!$B155</f>
        <v>249.29091777856027</v>
      </c>
      <c r="D155" s="667">
        <f>'Recycling - Case 2'!$AK130*'Recycling - Case 2'!BN130*'4C2 Open-burning '!$B155</f>
        <v>260.3607376684825</v>
      </c>
      <c r="E155" s="667">
        <f>'Recycling - Case 2'!$AK130*'Recycling - Case 2'!BO130*'4C2 Open-burning '!$B155</f>
        <v>71.112421403608479</v>
      </c>
      <c r="F155" s="667">
        <f>'Recycling - Case 2'!$AK130*'Recycling - Case 2'!BP130*'4C2 Open-burning '!$B155</f>
        <v>0</v>
      </c>
      <c r="G155" s="667">
        <f>'Recycling - Case 2'!$AK130*'Recycling - Case 2'!BQ130*'4C2 Open-burning '!$B155</f>
        <v>0</v>
      </c>
      <c r="H155" s="667">
        <f>'Recycling - Case 2'!$AK130*'Recycling - Case 2'!BR130*'4C2 Open-burning '!$B155</f>
        <v>0</v>
      </c>
      <c r="I155" s="667">
        <f>'Recycling - Case 2'!$AK130*'Recycling - Case 2'!BS130*'4C2 Open-burning '!$B155</f>
        <v>278.0251357724951</v>
      </c>
      <c r="J155" s="936">
        <f t="shared" si="12"/>
        <v>858.78921262314634</v>
      </c>
      <c r="K155" s="1385">
        <f>'4C2 Open-burning '!C$14*'4C2 Open-burning '!$C$5*'4C2 Open-burning '!$C$6*'4C2 Open-burning '!$C$7*C155</f>
        <v>0</v>
      </c>
      <c r="L155" s="1385">
        <f>'4C2 Open-burning '!D$14*'4C2 Open-burning '!$C$5*'4C2 Open-burning '!$C$6*'4C2 Open-burning '!$C$7*D155</f>
        <v>0</v>
      </c>
      <c r="M155" s="1385">
        <f>'4C2 Open-burning '!E$14*'4C2 Open-burning '!$C$5*'4C2 Open-burning '!$C$6*'4C2 Open-burning '!$C$7*E155</f>
        <v>0.37566132180355827</v>
      </c>
      <c r="N155" s="1385">
        <f>'4C2 Open-burning '!F$14*'4C2 Open-burning '!$C$5*'4C2 Open-burning '!$C$6*'4C2 Open-burning '!$C$7*F155</f>
        <v>0</v>
      </c>
      <c r="O155" s="1385">
        <f>'4C2 Open-burning '!G$14*'4C2 Open-burning '!$C$5*'4C2 Open-burning '!$C$6*'4C2 Open-burning '!$C$7*G155</f>
        <v>0</v>
      </c>
      <c r="P155" s="1385">
        <f>'4C2 Open-burning '!H$14*'4C2 Open-burning '!$C$5*'4C2 Open-burning '!$C$6*'4C2 Open-burning '!$C$7*H155</f>
        <v>0</v>
      </c>
      <c r="Q155" s="1385">
        <f>'4C2 Open-burning '!I$14*'4C2 Open-burning '!$C$5*'4C2 Open-burning '!$C$6*'4C2 Open-burning '!$C$7*I155</f>
        <v>9.5785219776340007</v>
      </c>
      <c r="R155" s="1386">
        <f t="shared" si="13"/>
        <v>9.9541832994375596</v>
      </c>
      <c r="S155" s="485">
        <f>C155*'4C2 Open-burning '!$C$9*'4C2 Open-burning '!$C$11*$C$5</f>
        <v>0.97223457933638491</v>
      </c>
      <c r="T155" s="485">
        <f>D155*'4C2 Open-burning '!$C$9*'4C2 Open-burning '!$C$11*$C$5</f>
        <v>1.0154068769070816</v>
      </c>
      <c r="U155" s="485">
        <f>E155*'4C2 Open-burning '!$C$9*'4C2 Open-burning '!$C$11*$C$5</f>
        <v>0.27733844347407305</v>
      </c>
      <c r="V155" s="485">
        <f>F155*'4C2 Open-burning '!$C$9*'4C2 Open-burning '!$C$11*$C$5</f>
        <v>0</v>
      </c>
      <c r="W155" s="485">
        <f>G155*'4C2 Open-burning '!$C$9*'4C2 Open-burning '!$C$11*$C$5</f>
        <v>0</v>
      </c>
      <c r="X155" s="485">
        <f>H155*'4C2 Open-burning '!$C$9*'4C2 Open-burning '!$C$11*$C$5</f>
        <v>0</v>
      </c>
      <c r="Y155" s="485">
        <f>I155*'4C2 Open-burning '!$C$9*'4C2 Open-burning '!$C$11*$C$5</f>
        <v>1.0842980295127309</v>
      </c>
      <c r="Z155" s="486">
        <f t="shared" si="14"/>
        <v>3.3492779292302703</v>
      </c>
      <c r="AA155" s="487">
        <f>C155*'4C2 Open-burning '!$C$10*'4C2 Open-burning '!$C$11*$C$5*C$15</f>
        <v>8.9744730400281702E-3</v>
      </c>
      <c r="AB155" s="487">
        <f>D155*'4C2 Open-burning '!$C$10*'4C2 Open-burning '!$C$11*$C$5*D$15</f>
        <v>9.3729865560653707E-3</v>
      </c>
      <c r="AC155" s="487">
        <f>E155*'4C2 Open-burning '!$C$10*'4C2 Open-burning '!$C$11*$C$5*E$15</f>
        <v>5.7601061336922865E-3</v>
      </c>
      <c r="AD155" s="487">
        <f>F155*'4C2 Open-burning '!$C$10*'4C2 Open-burning '!$C$11*$C$5*F$15</f>
        <v>0</v>
      </c>
      <c r="AE155" s="487">
        <f>G155*'4C2 Open-burning '!$C$10*'4C2 Open-burning '!$C$11*$C$5*G$15</f>
        <v>0</v>
      </c>
      <c r="AF155" s="487">
        <f>H155*'4C2 Open-burning '!$C$10*'4C2 Open-burning '!$C$11*$C$5*H$15</f>
        <v>0</v>
      </c>
      <c r="AG155" s="487">
        <f>I155*'4C2 Open-burning '!$C$10*'4C2 Open-burning '!$C$11*$C$5*I$15</f>
        <v>2.2520035997572106E-2</v>
      </c>
      <c r="AH155" s="488">
        <f t="shared" si="15"/>
        <v>4.6627601727357929E-2</v>
      </c>
      <c r="AI155" s="1389"/>
      <c r="AJ155" s="1388"/>
      <c r="AK155" s="1389"/>
    </row>
    <row r="156" spans="1:39" ht="21.75" thickBot="1">
      <c r="A156" s="950" t="s">
        <v>620</v>
      </c>
      <c r="B156" s="943"/>
      <c r="C156" s="938"/>
      <c r="D156" s="938"/>
      <c r="E156" s="938"/>
      <c r="F156" s="938"/>
      <c r="G156" s="938"/>
      <c r="H156" s="938"/>
      <c r="I156" s="938"/>
      <c r="J156" s="939"/>
      <c r="K156" s="944"/>
      <c r="L156" s="944"/>
      <c r="M156" s="944"/>
      <c r="N156" s="944"/>
      <c r="O156" s="944"/>
      <c r="P156" s="944"/>
      <c r="Q156" s="944"/>
      <c r="R156" s="945"/>
      <c r="S156" s="944"/>
      <c r="T156" s="944"/>
      <c r="U156" s="944"/>
      <c r="V156" s="944"/>
      <c r="W156" s="944"/>
      <c r="X156" s="944"/>
      <c r="Y156" s="944"/>
      <c r="Z156" s="945"/>
      <c r="AA156" s="946"/>
      <c r="AB156" s="946"/>
      <c r="AC156" s="946"/>
      <c r="AD156" s="946"/>
      <c r="AE156" s="946"/>
      <c r="AF156" s="946"/>
      <c r="AG156" s="946"/>
      <c r="AH156" s="947"/>
      <c r="AI156" s="1388"/>
      <c r="AJ156" s="1388"/>
      <c r="AK156" s="1388"/>
      <c r="AL156" s="4"/>
      <c r="AM156" s="4"/>
    </row>
    <row r="157" spans="1:39">
      <c r="A157" s="955">
        <f>'Input data'!A118</f>
        <v>2018</v>
      </c>
      <c r="B157" s="814">
        <f>'Recycling - Case 3'!AP98</f>
        <v>0.11929747585785701</v>
      </c>
      <c r="C157" s="956">
        <f>$B157*'Recycling - Case 3'!$AK98*'Recycling - Case 3'!BM98</f>
        <v>824.36909931569255</v>
      </c>
      <c r="D157" s="957">
        <f>$B157*'Recycling - Case 3'!$AK98*'Recycling - Case 3'!BN98</f>
        <v>860.97539662311476</v>
      </c>
      <c r="E157" s="957">
        <f>$B157*'Recycling - Case 3'!$AK98*'Recycling - Case 3'!BO98</f>
        <v>235.15851802801791</v>
      </c>
      <c r="F157" s="957">
        <f>$B157*'Recycling - Case 3'!$AK98*'Recycling - Case 3'!BP98</f>
        <v>0</v>
      </c>
      <c r="G157" s="957">
        <f>$B157*'Recycling - Case 3'!$AK98*'Recycling - Case 3'!BQ98</f>
        <v>0</v>
      </c>
      <c r="H157" s="957">
        <f>$B157*'Recycling - Case 3'!$AK98*'Recycling - Case 3'!BR98</f>
        <v>0</v>
      </c>
      <c r="I157" s="957">
        <f>$B157*'Recycling - Case 3'!$AK98*'Recycling - Case 3'!BS98</f>
        <v>919.38901266946334</v>
      </c>
      <c r="J157" s="958">
        <f>SUM(C157:I157)</f>
        <v>2839.8920266362884</v>
      </c>
      <c r="K157" s="1382">
        <f>'4C2 Open-burning '!C$14*'4C2 Open-burning '!$C$5*'4C2 Open-burning '!$C$6*'4C2 Open-burning '!$C$7*C157</f>
        <v>0</v>
      </c>
      <c r="L157" s="1382">
        <f>'4C2 Open-burning '!D$14*'4C2 Open-burning '!$C$5*'4C2 Open-burning '!$C$6*'4C2 Open-burning '!$C$7*D157</f>
        <v>0</v>
      </c>
      <c r="M157" s="1382">
        <f>'4C2 Open-burning '!E$14*'4C2 Open-burning '!$C$5*'4C2 Open-burning '!$C$6*'4C2 Open-burning '!$C$7*E157</f>
        <v>1.2422577936755286</v>
      </c>
      <c r="N157" s="1382">
        <f>'4C2 Open-burning '!F$14*'4C2 Open-burning '!$C$5*'4C2 Open-burning '!$C$6*'4C2 Open-burning '!$C$7*F157</f>
        <v>0</v>
      </c>
      <c r="O157" s="1382">
        <f>'4C2 Open-burning '!G$14*'4C2 Open-burning '!$C$5*'4C2 Open-burning '!$C$6*'4C2 Open-burning '!$C$7*G157</f>
        <v>0</v>
      </c>
      <c r="P157" s="1382">
        <f>'4C2 Open-burning '!H$14*'4C2 Open-burning '!$C$5*'4C2 Open-burning '!$C$6*'4C2 Open-burning '!$C$7*H157</f>
        <v>0</v>
      </c>
      <c r="Q157" s="1382">
        <f>'4C2 Open-burning '!I$14*'4C2 Open-burning '!$C$5*'4C2 Open-burning '!$C$6*'4C2 Open-burning '!$C$7*I157</f>
        <v>31.674790264488347</v>
      </c>
      <c r="R157" s="1383">
        <f t="shared" ref="R157:R189" si="16">SUM(K157:Q157)</f>
        <v>32.917048058163878</v>
      </c>
      <c r="S157" s="932">
        <f>C157*'4C2 Open-burning '!$C$9*'4C2 Open-burning '!$C$11*$C$5</f>
        <v>3.2150394873312012</v>
      </c>
      <c r="T157" s="933">
        <f>D157*'4C2 Open-burning '!$C$9*'4C2 Open-burning '!$C$11*$C$5</f>
        <v>3.3578040468301471</v>
      </c>
      <c r="U157" s="933">
        <f>E157*'4C2 Open-burning '!$C$9*'4C2 Open-burning '!$C$11*$C$5</f>
        <v>0.91711822030926982</v>
      </c>
      <c r="V157" s="933">
        <f>F157*'4C2 Open-burning '!$C$9*'4C2 Open-burning '!$C$11*$C$5</f>
        <v>0</v>
      </c>
      <c r="W157" s="933">
        <f>G157*'4C2 Open-burning '!$C$9*'4C2 Open-burning '!$C$11*$C$5</f>
        <v>0</v>
      </c>
      <c r="X157" s="933">
        <f>H157*'4C2 Open-burning '!$C$9*'4C2 Open-burning '!$C$11*$C$5</f>
        <v>0</v>
      </c>
      <c r="Y157" s="933">
        <f>I157*'4C2 Open-burning '!$C$9*'4C2 Open-burning '!$C$11*$C$5</f>
        <v>3.5856171494109068</v>
      </c>
      <c r="Z157" s="934">
        <f t="shared" ref="Z157:Z189" si="17">SUM(S157:Y157)</f>
        <v>11.075578903881524</v>
      </c>
      <c r="AA157" s="1628">
        <f>C157*'4C2 Open-burning '!$C$10*'4C2 Open-burning '!$C$11*$C$5*C$15</f>
        <v>2.9677287575364933E-2</v>
      </c>
      <c r="AB157" s="1629">
        <f>D157*'4C2 Open-burning '!$C$10*'4C2 Open-burning '!$C$11*$C$5*D$15</f>
        <v>3.0995114278432129E-2</v>
      </c>
      <c r="AC157" s="1629">
        <f>E157*'4C2 Open-burning '!$C$10*'4C2 Open-burning '!$C$11*$C$5*E$15</f>
        <v>1.9047839960269448E-2</v>
      </c>
      <c r="AD157" s="1629">
        <f>F157*'4C2 Open-burning '!$C$10*'4C2 Open-burning '!$C$11*$C$5*F$15</f>
        <v>0</v>
      </c>
      <c r="AE157" s="1629">
        <f>G157*'4C2 Open-burning '!$C$10*'4C2 Open-burning '!$C$11*$C$5*G$15</f>
        <v>0</v>
      </c>
      <c r="AF157" s="1629">
        <f>H157*'4C2 Open-burning '!$C$10*'4C2 Open-burning '!$C$11*$C$5*H$15</f>
        <v>0</v>
      </c>
      <c r="AG157" s="1629">
        <f>I157*'4C2 Open-burning '!$C$10*'4C2 Open-burning '!$C$11*$C$5*I$15</f>
        <v>7.4470510026226525E-2</v>
      </c>
      <c r="AH157" s="937">
        <f t="shared" ref="AH157:AH189" si="18">SUM(AA157:AG157)</f>
        <v>0.15419075184029302</v>
      </c>
      <c r="AI157" s="1388"/>
      <c r="AJ157" s="1388"/>
      <c r="AK157" s="1388"/>
      <c r="AL157" s="4"/>
      <c r="AM157" s="4"/>
    </row>
    <row r="158" spans="1:39">
      <c r="A158" s="959">
        <f>'Input data'!A119</f>
        <v>2019</v>
      </c>
      <c r="B158" s="560">
        <f>'Recycling - Case 3'!AP99</f>
        <v>0.11764988013805638</v>
      </c>
      <c r="C158" s="527">
        <f>$B158*'Recycling - Case 3'!$AK99*'Recycling - Case 3'!BM99</f>
        <v>809.92524865024029</v>
      </c>
      <c r="D158" s="528">
        <f>$B158*'Recycling - Case 3'!$AK99*'Recycling - Case 3'!BN99</f>
        <v>845.8901634844932</v>
      </c>
      <c r="E158" s="528">
        <f>$B158*'Recycling - Case 3'!$AK99*'Recycling - Case 3'!BO99</f>
        <v>231.03828290527346</v>
      </c>
      <c r="F158" s="528">
        <f>$B158*'Recycling - Case 3'!$AK99*'Recycling - Case 3'!BP99</f>
        <v>0</v>
      </c>
      <c r="G158" s="528">
        <f>$B158*'Recycling - Case 3'!$AK99*'Recycling - Case 3'!BQ99</f>
        <v>0</v>
      </c>
      <c r="H158" s="528">
        <f>$B158*'Recycling - Case 3'!$AK99*'Recycling - Case 3'!BR99</f>
        <v>0</v>
      </c>
      <c r="I158" s="528">
        <f>$B158*'Recycling - Case 3'!$AK99*'Recycling - Case 3'!BS99</f>
        <v>903.28030891834203</v>
      </c>
      <c r="J158" s="744">
        <f t="shared" ref="J158:J189" si="19">SUM(C158:I158)</f>
        <v>2790.1340039583488</v>
      </c>
      <c r="K158" s="106">
        <f>'4C2 Open-burning '!C$14*'4C2 Open-burning '!$C$5*'4C2 Open-burning '!$C$6*'4C2 Open-burning '!$C$7*C158</f>
        <v>0</v>
      </c>
      <c r="L158" s="106">
        <f>'4C2 Open-burning '!D$14*'4C2 Open-burning '!$C$5*'4C2 Open-burning '!$C$6*'4C2 Open-burning '!$C$7*D158</f>
        <v>0</v>
      </c>
      <c r="M158" s="106">
        <f>'4C2 Open-burning '!E$14*'4C2 Open-burning '!$C$5*'4C2 Open-burning '!$C$6*'4C2 Open-burning '!$C$7*E158</f>
        <v>1.2204920748067138</v>
      </c>
      <c r="N158" s="106">
        <f>'4C2 Open-burning '!F$14*'4C2 Open-burning '!$C$5*'4C2 Open-burning '!$C$6*'4C2 Open-burning '!$C$7*F158</f>
        <v>0</v>
      </c>
      <c r="O158" s="106">
        <f>'4C2 Open-burning '!G$14*'4C2 Open-burning '!$C$5*'4C2 Open-burning '!$C$6*'4C2 Open-burning '!$C$7*G158</f>
        <v>0</v>
      </c>
      <c r="P158" s="106">
        <f>'4C2 Open-burning '!H$14*'4C2 Open-burning '!$C$5*'4C2 Open-burning '!$C$6*'4C2 Open-burning '!$C$7*H158</f>
        <v>0</v>
      </c>
      <c r="Q158" s="106">
        <f>'4C2 Open-burning '!I$14*'4C2 Open-burning '!$C$5*'4C2 Open-burning '!$C$6*'4C2 Open-burning '!$C$7*I158</f>
        <v>31.119813202854715</v>
      </c>
      <c r="R158" s="1384">
        <f t="shared" si="16"/>
        <v>32.340305277661429</v>
      </c>
      <c r="S158" s="484">
        <f>C158*'4C2 Open-burning '!$C$9*'4C2 Open-burning '!$C$11*$C$5</f>
        <v>3.1587084697359371</v>
      </c>
      <c r="T158" s="485">
        <f>D158*'4C2 Open-burning '!$C$9*'4C2 Open-burning '!$C$11*$C$5</f>
        <v>3.2989716375895237</v>
      </c>
      <c r="U158" s="485">
        <f>E158*'4C2 Open-burning '!$C$9*'4C2 Open-burning '!$C$11*$C$5</f>
        <v>0.90104930333056643</v>
      </c>
      <c r="V158" s="485">
        <f>F158*'4C2 Open-burning '!$C$9*'4C2 Open-burning '!$C$11*$C$5</f>
        <v>0</v>
      </c>
      <c r="W158" s="485">
        <f>G158*'4C2 Open-burning '!$C$9*'4C2 Open-burning '!$C$11*$C$5</f>
        <v>0</v>
      </c>
      <c r="X158" s="485">
        <f>H158*'4C2 Open-burning '!$C$9*'4C2 Open-burning '!$C$11*$C$5</f>
        <v>0</v>
      </c>
      <c r="Y158" s="485">
        <f>I158*'4C2 Open-burning '!$C$9*'4C2 Open-burning '!$C$11*$C$5</f>
        <v>3.5227932047815336</v>
      </c>
      <c r="Z158" s="486">
        <f t="shared" si="17"/>
        <v>10.881522615437561</v>
      </c>
      <c r="AA158" s="1630">
        <f>C158*'4C2 Open-burning '!$C$10*'4C2 Open-burning '!$C$11*$C$5*C$15</f>
        <v>2.9157308951408653E-2</v>
      </c>
      <c r="AB158" s="487">
        <f>D158*'4C2 Open-burning '!$C$10*'4C2 Open-burning '!$C$11*$C$5*D$15</f>
        <v>3.0452045885441755E-2</v>
      </c>
      <c r="AC158" s="487">
        <f>E158*'4C2 Open-burning '!$C$10*'4C2 Open-burning '!$C$11*$C$5*E$15</f>
        <v>1.8714100915327148E-2</v>
      </c>
      <c r="AD158" s="487">
        <f>F158*'4C2 Open-burning '!$C$10*'4C2 Open-burning '!$C$11*$C$5*F$15</f>
        <v>0</v>
      </c>
      <c r="AE158" s="487">
        <f>G158*'4C2 Open-burning '!$C$10*'4C2 Open-burning '!$C$11*$C$5*G$15</f>
        <v>0</v>
      </c>
      <c r="AF158" s="487">
        <f>H158*'4C2 Open-burning '!$C$10*'4C2 Open-burning '!$C$11*$C$5*H$15</f>
        <v>0</v>
      </c>
      <c r="AG158" s="487">
        <f>I158*'4C2 Open-burning '!$C$10*'4C2 Open-burning '!$C$11*$C$5*I$15</f>
        <v>7.3165705022385688E-2</v>
      </c>
      <c r="AH158" s="488">
        <f t="shared" si="18"/>
        <v>0.15148916077456326</v>
      </c>
      <c r="AI158" s="1388"/>
      <c r="AJ158" s="1388"/>
      <c r="AK158" s="1388"/>
      <c r="AL158" s="4"/>
      <c r="AM158" s="4"/>
    </row>
    <row r="159" spans="1:39">
      <c r="A159" s="959">
        <f>'Input data'!A120</f>
        <v>2020</v>
      </c>
      <c r="B159" s="560">
        <f>'Recycling - Case 3'!AP100</f>
        <v>0.11516499941226198</v>
      </c>
      <c r="C159" s="527">
        <f>$B159*'Recycling - Case 3'!$AK100*'Recycling - Case 3'!BM100</f>
        <v>788.11293543078432</v>
      </c>
      <c r="D159" s="528">
        <f>$B159*'Recycling - Case 3'!$AK100*'Recycling - Case 3'!BN100</f>
        <v>823.10926953665137</v>
      </c>
      <c r="E159" s="528">
        <f>$B159*'Recycling - Case 3'!$AK100*'Recycling - Case 3'!BO100</f>
        <v>224.81612919317038</v>
      </c>
      <c r="F159" s="528">
        <f>$B159*'Recycling - Case 3'!$AK100*'Recycling - Case 3'!BP100</f>
        <v>0</v>
      </c>
      <c r="G159" s="528">
        <f>$B159*'Recycling - Case 3'!$AK100*'Recycling - Case 3'!BQ100</f>
        <v>0</v>
      </c>
      <c r="H159" s="528">
        <f>$B159*'Recycling - Case 3'!$AK100*'Recycling - Case 3'!BR100</f>
        <v>0</v>
      </c>
      <c r="I159" s="528">
        <f>$B159*'Recycling - Case 3'!$AK100*'Recycling - Case 3'!BS100</f>
        <v>878.95382563370708</v>
      </c>
      <c r="J159" s="744">
        <f t="shared" si="19"/>
        <v>2714.992159794313</v>
      </c>
      <c r="K159" s="106">
        <f>'4C2 Open-burning '!C$14*'4C2 Open-burning '!$C$5*'4C2 Open-burning '!$C$6*'4C2 Open-burning '!$C$7*C159</f>
        <v>0</v>
      </c>
      <c r="L159" s="106">
        <f>'4C2 Open-burning '!D$14*'4C2 Open-burning '!$C$5*'4C2 Open-burning '!$C$6*'4C2 Open-burning '!$C$7*D159</f>
        <v>0</v>
      </c>
      <c r="M159" s="106">
        <f>'4C2 Open-burning '!E$14*'4C2 Open-burning '!$C$5*'4C2 Open-burning '!$C$6*'4C2 Open-burning '!$C$7*E159</f>
        <v>1.1876226767210096</v>
      </c>
      <c r="N159" s="106">
        <f>'4C2 Open-burning '!F$14*'4C2 Open-burning '!$C$5*'4C2 Open-burning '!$C$6*'4C2 Open-burning '!$C$7*F159</f>
        <v>0</v>
      </c>
      <c r="O159" s="106">
        <f>'4C2 Open-burning '!G$14*'4C2 Open-burning '!$C$5*'4C2 Open-burning '!$C$6*'4C2 Open-burning '!$C$7*G159</f>
        <v>0</v>
      </c>
      <c r="P159" s="106">
        <f>'4C2 Open-burning '!H$14*'4C2 Open-burning '!$C$5*'4C2 Open-burning '!$C$6*'4C2 Open-burning '!$C$7*H159</f>
        <v>0</v>
      </c>
      <c r="Q159" s="106">
        <f>'4C2 Open-burning '!I$14*'4C2 Open-burning '!$C$5*'4C2 Open-burning '!$C$6*'4C2 Open-burning '!$C$7*I159</f>
        <v>30.281717200732473</v>
      </c>
      <c r="R159" s="1384">
        <f t="shared" si="16"/>
        <v>31.469339877453482</v>
      </c>
      <c r="S159" s="484">
        <f>C159*'4C2 Open-burning '!$C$9*'4C2 Open-burning '!$C$11*$C$5</f>
        <v>3.073640448180059</v>
      </c>
      <c r="T159" s="485">
        <f>D159*'4C2 Open-burning '!$C$9*'4C2 Open-burning '!$C$11*$C$5</f>
        <v>3.2101261511929402</v>
      </c>
      <c r="U159" s="485">
        <f>E159*'4C2 Open-burning '!$C$9*'4C2 Open-burning '!$C$11*$C$5</f>
        <v>0.87678290385336444</v>
      </c>
      <c r="V159" s="485">
        <f>F159*'4C2 Open-burning '!$C$9*'4C2 Open-burning '!$C$11*$C$5</f>
        <v>0</v>
      </c>
      <c r="W159" s="485">
        <f>G159*'4C2 Open-burning '!$C$9*'4C2 Open-burning '!$C$11*$C$5</f>
        <v>0</v>
      </c>
      <c r="X159" s="485">
        <f>H159*'4C2 Open-burning '!$C$9*'4C2 Open-burning '!$C$11*$C$5</f>
        <v>0</v>
      </c>
      <c r="Y159" s="485">
        <f>I159*'4C2 Open-burning '!$C$9*'4C2 Open-burning '!$C$11*$C$5</f>
        <v>3.4279199199714574</v>
      </c>
      <c r="Z159" s="486">
        <f t="shared" si="17"/>
        <v>10.588469423197822</v>
      </c>
      <c r="AA159" s="1630">
        <f>C159*'4C2 Open-burning '!$C$10*'4C2 Open-burning '!$C$11*$C$5*C$15</f>
        <v>2.8372065675508235E-2</v>
      </c>
      <c r="AB159" s="487">
        <f>D159*'4C2 Open-burning '!$C$10*'4C2 Open-burning '!$C$11*$C$5*D$15</f>
        <v>2.9631933703319447E-2</v>
      </c>
      <c r="AC159" s="487">
        <f>E159*'4C2 Open-burning '!$C$10*'4C2 Open-burning '!$C$11*$C$5*E$15</f>
        <v>1.82101064646468E-2</v>
      </c>
      <c r="AD159" s="487">
        <f>F159*'4C2 Open-burning '!$C$10*'4C2 Open-burning '!$C$11*$C$5*F$15</f>
        <v>0</v>
      </c>
      <c r="AE159" s="487">
        <f>G159*'4C2 Open-burning '!$C$10*'4C2 Open-burning '!$C$11*$C$5*G$15</f>
        <v>0</v>
      </c>
      <c r="AF159" s="487">
        <f>H159*'4C2 Open-burning '!$C$10*'4C2 Open-burning '!$C$11*$C$5*H$15</f>
        <v>0</v>
      </c>
      <c r="AG159" s="487">
        <f>I159*'4C2 Open-burning '!$C$10*'4C2 Open-burning '!$C$11*$C$5*I$15</f>
        <v>7.1195259876330269E-2</v>
      </c>
      <c r="AH159" s="488">
        <f t="shared" si="18"/>
        <v>0.14740936571980473</v>
      </c>
      <c r="AI159" s="1388"/>
      <c r="AJ159" s="1388"/>
      <c r="AK159" s="1388"/>
      <c r="AL159" s="4"/>
      <c r="AM159" s="4"/>
    </row>
    <row r="160" spans="1:39">
      <c r="A160" s="959">
        <f>'Input data'!A121</f>
        <v>2021</v>
      </c>
      <c r="B160" s="560">
        <f>'Recycling - Case 3'!AP101</f>
        <v>0.108632640688443</v>
      </c>
      <c r="C160" s="527">
        <f>$B160*'Recycling - Case 3'!$AK101*'Recycling - Case 3'!BM101</f>
        <v>724.54347859846757</v>
      </c>
      <c r="D160" s="528">
        <f>$B160*'Recycling - Case 3'!$AK101*'Recycling - Case 3'!BN101</f>
        <v>756.71699651871234</v>
      </c>
      <c r="E160" s="528">
        <f>$B160*'Recycling - Case 3'!$AK101*'Recycling - Case 3'!BO101</f>
        <v>206.68238391700376</v>
      </c>
      <c r="F160" s="528">
        <f>$B160*'Recycling - Case 3'!$AK101*'Recycling - Case 3'!BP101</f>
        <v>0</v>
      </c>
      <c r="G160" s="528">
        <f>$B160*'Recycling - Case 3'!$AK101*'Recycling - Case 3'!BQ101</f>
        <v>0</v>
      </c>
      <c r="H160" s="528">
        <f>$B160*'Recycling - Case 3'!$AK101*'Recycling - Case 3'!BR101</f>
        <v>0</v>
      </c>
      <c r="I160" s="528">
        <f>$B160*'Recycling - Case 3'!$AK101*'Recycling - Case 3'!BS101</f>
        <v>808.05711176911302</v>
      </c>
      <c r="J160" s="744">
        <f t="shared" si="19"/>
        <v>2495.9999708032965</v>
      </c>
      <c r="K160" s="106">
        <f>'4C2 Open-burning '!C$14*'4C2 Open-burning '!$C$5*'4C2 Open-burning '!$C$6*'4C2 Open-burning '!$C$7*C160</f>
        <v>0</v>
      </c>
      <c r="L160" s="106">
        <f>'4C2 Open-burning '!D$14*'4C2 Open-burning '!$C$5*'4C2 Open-burning '!$C$6*'4C2 Open-burning '!$C$7*D160</f>
        <v>0</v>
      </c>
      <c r="M160" s="106">
        <f>'4C2 Open-burning '!E$14*'4C2 Open-burning '!$C$5*'4C2 Open-burning '!$C$6*'4C2 Open-burning '!$C$7*E160</f>
        <v>1.0918286285753207</v>
      </c>
      <c r="N160" s="106">
        <f>'4C2 Open-burning '!F$14*'4C2 Open-burning '!$C$5*'4C2 Open-burning '!$C$6*'4C2 Open-burning '!$C$7*F160</f>
        <v>0</v>
      </c>
      <c r="O160" s="106">
        <f>'4C2 Open-burning '!G$14*'4C2 Open-burning '!$C$5*'4C2 Open-burning '!$C$6*'4C2 Open-burning '!$C$7*G160</f>
        <v>0</v>
      </c>
      <c r="P160" s="106">
        <f>'4C2 Open-burning '!H$14*'4C2 Open-burning '!$C$5*'4C2 Open-burning '!$C$6*'4C2 Open-burning '!$C$7*H160</f>
        <v>0</v>
      </c>
      <c r="Q160" s="106">
        <f>'4C2 Open-burning '!I$14*'4C2 Open-burning '!$C$5*'4C2 Open-burning '!$C$6*'4C2 Open-burning '!$C$7*I160</f>
        <v>27.83918361466948</v>
      </c>
      <c r="R160" s="1384">
        <f t="shared" si="16"/>
        <v>28.931012243244801</v>
      </c>
      <c r="S160" s="484">
        <f>C160*'4C2 Open-burning '!$C$9*'4C2 Open-burning '!$C$11*$C$5</f>
        <v>2.8257195665340236</v>
      </c>
      <c r="T160" s="485">
        <f>D160*'4C2 Open-burning '!$C$9*'4C2 Open-burning '!$C$11*$C$5</f>
        <v>2.9511962864229782</v>
      </c>
      <c r="U160" s="485">
        <f>E160*'4C2 Open-burning '!$C$9*'4C2 Open-burning '!$C$11*$C$5</f>
        <v>0.80606129727631459</v>
      </c>
      <c r="V160" s="485">
        <f>F160*'4C2 Open-burning '!$C$9*'4C2 Open-burning '!$C$11*$C$5</f>
        <v>0</v>
      </c>
      <c r="W160" s="485">
        <f>G160*'4C2 Open-burning '!$C$9*'4C2 Open-burning '!$C$11*$C$5</f>
        <v>0</v>
      </c>
      <c r="X160" s="485">
        <f>H160*'4C2 Open-burning '!$C$9*'4C2 Open-burning '!$C$11*$C$5</f>
        <v>0</v>
      </c>
      <c r="Y160" s="485">
        <f>I160*'4C2 Open-burning '!$C$9*'4C2 Open-burning '!$C$11*$C$5</f>
        <v>3.1514227358995401</v>
      </c>
      <c r="Z160" s="486">
        <f t="shared" si="17"/>
        <v>9.7343998861328558</v>
      </c>
      <c r="AA160" s="1630">
        <f>C160*'4C2 Open-burning '!$C$10*'4C2 Open-burning '!$C$11*$C$5*C$15</f>
        <v>2.6083565229544831E-2</v>
      </c>
      <c r="AB160" s="487">
        <f>D160*'4C2 Open-burning '!$C$10*'4C2 Open-burning '!$C$11*$C$5*D$15</f>
        <v>2.7241811874673644E-2</v>
      </c>
      <c r="AC160" s="487">
        <f>E160*'4C2 Open-burning '!$C$10*'4C2 Open-burning '!$C$11*$C$5*E$15</f>
        <v>1.6741273097277305E-2</v>
      </c>
      <c r="AD160" s="487">
        <f>F160*'4C2 Open-burning '!$C$10*'4C2 Open-burning '!$C$11*$C$5*F$15</f>
        <v>0</v>
      </c>
      <c r="AE160" s="487">
        <f>G160*'4C2 Open-burning '!$C$10*'4C2 Open-burning '!$C$11*$C$5*G$15</f>
        <v>0</v>
      </c>
      <c r="AF160" s="487">
        <f>H160*'4C2 Open-burning '!$C$10*'4C2 Open-burning '!$C$11*$C$5*H$15</f>
        <v>0</v>
      </c>
      <c r="AG160" s="487">
        <f>I160*'4C2 Open-burning '!$C$10*'4C2 Open-burning '!$C$11*$C$5*I$15</f>
        <v>6.5452626053298144E-2</v>
      </c>
      <c r="AH160" s="488">
        <f t="shared" si="18"/>
        <v>0.13551927625479393</v>
      </c>
      <c r="AI160" s="1388"/>
      <c r="AJ160" s="1388"/>
      <c r="AK160" s="1388"/>
      <c r="AL160" s="4"/>
      <c r="AM160" s="4"/>
    </row>
    <row r="161" spans="1:39">
      <c r="A161" s="959">
        <f>'Input data'!A122</f>
        <v>2022</v>
      </c>
      <c r="B161" s="560">
        <f>'Recycling - Case 3'!AP102</f>
        <v>9.5787234273176591E-2</v>
      </c>
      <c r="C161" s="527">
        <f>$B161*'Recycling - Case 3'!$AK102*'Recycling - Case 3'!BM102</f>
        <v>603.00531989916851</v>
      </c>
      <c r="D161" s="528">
        <f>$B161*'Recycling - Case 3'!$AK102*'Recycling - Case 3'!BN102</f>
        <v>629.78190824595356</v>
      </c>
      <c r="E161" s="528">
        <f>$B161*'Recycling - Case 3'!$AK102*'Recycling - Case 3'!BO102</f>
        <v>172.01255785570908</v>
      </c>
      <c r="F161" s="528">
        <f>$B161*'Recycling - Case 3'!$AK102*'Recycling - Case 3'!BP102</f>
        <v>0</v>
      </c>
      <c r="G161" s="528">
        <f>$B161*'Recycling - Case 3'!$AK102*'Recycling - Case 3'!BQ102</f>
        <v>0</v>
      </c>
      <c r="H161" s="528">
        <f>$B161*'Recycling - Case 3'!$AK102*'Recycling - Case 3'!BR102</f>
        <v>0</v>
      </c>
      <c r="I161" s="528">
        <f>$B161*'Recycling - Case 3'!$AK102*'Recycling - Case 3'!BS102</f>
        <v>672.51000329431815</v>
      </c>
      <c r="J161" s="744">
        <f t="shared" si="19"/>
        <v>2077.3097892951491</v>
      </c>
      <c r="K161" s="106">
        <f>'4C2 Open-burning '!C$14*'4C2 Open-burning '!$C$5*'4C2 Open-burning '!$C$6*'4C2 Open-burning '!$C$7*C161</f>
        <v>0</v>
      </c>
      <c r="L161" s="106">
        <f>'4C2 Open-burning '!D$14*'4C2 Open-burning '!$C$5*'4C2 Open-burning '!$C$6*'4C2 Open-burning '!$C$7*D161</f>
        <v>0</v>
      </c>
      <c r="M161" s="106">
        <f>'4C2 Open-burning '!E$14*'4C2 Open-burning '!$C$5*'4C2 Open-burning '!$C$6*'4C2 Open-burning '!$C$7*E161</f>
        <v>0.908680418630883</v>
      </c>
      <c r="N161" s="106">
        <f>'4C2 Open-burning '!F$14*'4C2 Open-burning '!$C$5*'4C2 Open-burning '!$C$6*'4C2 Open-burning '!$C$7*F161</f>
        <v>0</v>
      </c>
      <c r="O161" s="106">
        <f>'4C2 Open-burning '!G$14*'4C2 Open-burning '!$C$5*'4C2 Open-burning '!$C$6*'4C2 Open-burning '!$C$7*G161</f>
        <v>0</v>
      </c>
      <c r="P161" s="106">
        <f>'4C2 Open-burning '!H$14*'4C2 Open-burning '!$C$5*'4C2 Open-burning '!$C$6*'4C2 Open-burning '!$C$7*H161</f>
        <v>0</v>
      </c>
      <c r="Q161" s="106">
        <f>'4C2 Open-burning '!I$14*'4C2 Open-burning '!$C$5*'4C2 Open-burning '!$C$6*'4C2 Open-burning '!$C$7*I161</f>
        <v>23.169314633495848</v>
      </c>
      <c r="R161" s="1384">
        <f t="shared" si="16"/>
        <v>24.077995052126731</v>
      </c>
      <c r="S161" s="484">
        <f>C161*'4C2 Open-burning '!$C$9*'4C2 Open-burning '!$C$11*$C$5</f>
        <v>2.3517207476067568</v>
      </c>
      <c r="T161" s="485">
        <f>D161*'4C2 Open-burning '!$C$9*'4C2 Open-burning '!$C$11*$C$5</f>
        <v>2.4561494421592189</v>
      </c>
      <c r="U161" s="485">
        <f>E161*'4C2 Open-burning '!$C$9*'4C2 Open-burning '!$C$11*$C$5</f>
        <v>0.67084897563726531</v>
      </c>
      <c r="V161" s="485">
        <f>F161*'4C2 Open-burning '!$C$9*'4C2 Open-burning '!$C$11*$C$5</f>
        <v>0</v>
      </c>
      <c r="W161" s="485">
        <f>G161*'4C2 Open-burning '!$C$9*'4C2 Open-burning '!$C$11*$C$5</f>
        <v>0</v>
      </c>
      <c r="X161" s="485">
        <f>H161*'4C2 Open-burning '!$C$9*'4C2 Open-burning '!$C$11*$C$5</f>
        <v>0</v>
      </c>
      <c r="Y161" s="485">
        <f>I161*'4C2 Open-burning '!$C$9*'4C2 Open-burning '!$C$11*$C$5</f>
        <v>2.6227890128478406</v>
      </c>
      <c r="Z161" s="486">
        <f t="shared" si="17"/>
        <v>8.1015081782510823</v>
      </c>
      <c r="AA161" s="1630">
        <f>C161*'4C2 Open-burning '!$C$10*'4C2 Open-burning '!$C$11*$C$5*C$15</f>
        <v>2.1708191516370063E-2</v>
      </c>
      <c r="AB161" s="487">
        <f>D161*'4C2 Open-burning '!$C$10*'4C2 Open-burning '!$C$11*$C$5*D$15</f>
        <v>2.2672148696854327E-2</v>
      </c>
      <c r="AC161" s="487">
        <f>E161*'4C2 Open-burning '!$C$10*'4C2 Open-burning '!$C$11*$C$5*E$15</f>
        <v>1.3933017186312433E-2</v>
      </c>
      <c r="AD161" s="487">
        <f>F161*'4C2 Open-burning '!$C$10*'4C2 Open-burning '!$C$11*$C$5*F$15</f>
        <v>0</v>
      </c>
      <c r="AE161" s="487">
        <f>G161*'4C2 Open-burning '!$C$10*'4C2 Open-burning '!$C$11*$C$5*G$15</f>
        <v>0</v>
      </c>
      <c r="AF161" s="487">
        <f>H161*'4C2 Open-burning '!$C$10*'4C2 Open-burning '!$C$11*$C$5*H$15</f>
        <v>0</v>
      </c>
      <c r="AG161" s="487">
        <f>I161*'4C2 Open-burning '!$C$10*'4C2 Open-burning '!$C$11*$C$5*I$15</f>
        <v>5.4473310266839763E-2</v>
      </c>
      <c r="AH161" s="488">
        <f t="shared" si="18"/>
        <v>0.11278666766637657</v>
      </c>
      <c r="AI161" s="1388"/>
      <c r="AJ161" s="1388"/>
      <c r="AK161" s="1388"/>
      <c r="AL161" s="4"/>
      <c r="AM161" s="4"/>
    </row>
    <row r="162" spans="1:39">
      <c r="A162" s="959">
        <f>'Input data'!A123</f>
        <v>2023</v>
      </c>
      <c r="B162" s="560">
        <f>'Recycling - Case 3'!AP103</f>
        <v>9.1876256960619254E-2</v>
      </c>
      <c r="C162" s="527">
        <f>$B162*'Recycling - Case 3'!$AK103*'Recycling - Case 3'!BM103</f>
        <v>571.86877898847058</v>
      </c>
      <c r="D162" s="528">
        <f>$B162*'Recycling - Case 3'!$AK103*'Recycling - Case 3'!BN103</f>
        <v>597.26274215601518</v>
      </c>
      <c r="E162" s="528">
        <f>$B162*'Recycling - Case 3'!$AK103*'Recycling - Case 3'!BO103</f>
        <v>163.1305863903103</v>
      </c>
      <c r="F162" s="528">
        <f>$B162*'Recycling - Case 3'!$AK103*'Recycling - Case 3'!BP103</f>
        <v>0</v>
      </c>
      <c r="G162" s="528">
        <f>$B162*'Recycling - Case 3'!$AK103*'Recycling - Case 3'!BQ103</f>
        <v>0</v>
      </c>
      <c r="H162" s="528">
        <f>$B162*'Recycling - Case 3'!$AK103*'Recycling - Case 3'!BR103</f>
        <v>0</v>
      </c>
      <c r="I162" s="528">
        <f>$B162*'Recycling - Case 3'!$AK103*'Recycling - Case 3'!BS103</f>
        <v>637.7845464211872</v>
      </c>
      <c r="J162" s="744">
        <f t="shared" si="19"/>
        <v>1970.0466539559834</v>
      </c>
      <c r="K162" s="106">
        <f>'4C2 Open-burning '!C$14*'4C2 Open-burning '!$C$5*'4C2 Open-burning '!$C$6*'4C2 Open-burning '!$C$7*C162</f>
        <v>0</v>
      </c>
      <c r="L162" s="106">
        <f>'4C2 Open-burning '!D$14*'4C2 Open-burning '!$C$5*'4C2 Open-burning '!$C$6*'4C2 Open-burning '!$C$7*D162</f>
        <v>0</v>
      </c>
      <c r="M162" s="106">
        <f>'4C2 Open-burning '!E$14*'4C2 Open-burning '!$C$5*'4C2 Open-burning '!$C$6*'4C2 Open-burning '!$C$7*E162</f>
        <v>0.86176016088890883</v>
      </c>
      <c r="N162" s="106">
        <f>'4C2 Open-burning '!F$14*'4C2 Open-burning '!$C$5*'4C2 Open-burning '!$C$6*'4C2 Open-burning '!$C$7*F162</f>
        <v>0</v>
      </c>
      <c r="O162" s="106">
        <f>'4C2 Open-burning '!G$14*'4C2 Open-burning '!$C$5*'4C2 Open-burning '!$C$6*'4C2 Open-burning '!$C$7*G162</f>
        <v>0</v>
      </c>
      <c r="P162" s="106">
        <f>'4C2 Open-burning '!H$14*'4C2 Open-burning '!$C$5*'4C2 Open-burning '!$C$6*'4C2 Open-burning '!$C$7*H162</f>
        <v>0</v>
      </c>
      <c r="Q162" s="106">
        <f>'4C2 Open-burning '!I$14*'4C2 Open-burning '!$C$5*'4C2 Open-burning '!$C$6*'4C2 Open-burning '!$C$7*I162</f>
        <v>21.97295319330274</v>
      </c>
      <c r="R162" s="1384">
        <f t="shared" si="16"/>
        <v>22.834713354191649</v>
      </c>
      <c r="S162" s="484">
        <f>C162*'4C2 Open-burning '!$C$9*'4C2 Open-burning '!$C$11*$C$5</f>
        <v>2.2302882380550351</v>
      </c>
      <c r="T162" s="485">
        <f>D162*'4C2 Open-burning '!$C$9*'4C2 Open-burning '!$C$11*$C$5</f>
        <v>2.3293246944084589</v>
      </c>
      <c r="U162" s="485">
        <f>E162*'4C2 Open-burning '!$C$9*'4C2 Open-burning '!$C$11*$C$5</f>
        <v>0.63620928692221002</v>
      </c>
      <c r="V162" s="485">
        <f>F162*'4C2 Open-burning '!$C$9*'4C2 Open-burning '!$C$11*$C$5</f>
        <v>0</v>
      </c>
      <c r="W162" s="485">
        <f>G162*'4C2 Open-burning '!$C$9*'4C2 Open-burning '!$C$11*$C$5</f>
        <v>0</v>
      </c>
      <c r="X162" s="485">
        <f>H162*'4C2 Open-burning '!$C$9*'4C2 Open-burning '!$C$11*$C$5</f>
        <v>0</v>
      </c>
      <c r="Y162" s="485">
        <f>I162*'4C2 Open-burning '!$C$9*'4C2 Open-burning '!$C$11*$C$5</f>
        <v>2.4873597310426301</v>
      </c>
      <c r="Z162" s="486">
        <f t="shared" si="17"/>
        <v>7.6831819504283345</v>
      </c>
      <c r="AA162" s="1630">
        <f>C162*'4C2 Open-burning '!$C$10*'4C2 Open-burning '!$C$11*$C$5*C$15</f>
        <v>2.0587276043584939E-2</v>
      </c>
      <c r="AB162" s="487">
        <f>D162*'4C2 Open-burning '!$C$10*'4C2 Open-burning '!$C$11*$C$5*D$15</f>
        <v>2.1501458717616547E-2</v>
      </c>
      <c r="AC162" s="487">
        <f>E162*'4C2 Open-burning '!$C$10*'4C2 Open-burning '!$C$11*$C$5*E$15</f>
        <v>1.3213577497615132E-2</v>
      </c>
      <c r="AD162" s="487">
        <f>F162*'4C2 Open-burning '!$C$10*'4C2 Open-burning '!$C$11*$C$5*F$15</f>
        <v>0</v>
      </c>
      <c r="AE162" s="487">
        <f>G162*'4C2 Open-burning '!$C$10*'4C2 Open-burning '!$C$11*$C$5*G$15</f>
        <v>0</v>
      </c>
      <c r="AF162" s="487">
        <f>H162*'4C2 Open-burning '!$C$10*'4C2 Open-burning '!$C$11*$C$5*H$15</f>
        <v>0</v>
      </c>
      <c r="AG162" s="487">
        <f>I162*'4C2 Open-burning '!$C$10*'4C2 Open-burning '!$C$11*$C$5*I$15</f>
        <v>5.1660548260116165E-2</v>
      </c>
      <c r="AH162" s="488">
        <f t="shared" si="18"/>
        <v>0.10696286051893278</v>
      </c>
      <c r="AI162" s="1388"/>
      <c r="AJ162" s="1388"/>
      <c r="AK162" s="1388"/>
      <c r="AL162" s="4"/>
      <c r="AM162" s="4"/>
    </row>
    <row r="163" spans="1:39">
      <c r="A163" s="959">
        <f>'Input data'!A124</f>
        <v>2024</v>
      </c>
      <c r="B163" s="560">
        <f>'Recycling - Case 3'!AP104</f>
        <v>8.7781424771145714E-2</v>
      </c>
      <c r="C163" s="527">
        <f>$B163*'Recycling - Case 3'!$AK104*'Recycling - Case 3'!BM104</f>
        <v>540.19890619267005</v>
      </c>
      <c r="D163" s="528">
        <f>$B163*'Recycling - Case 3'!$AK104*'Recycling - Case 3'!BN104</f>
        <v>564.18656145734235</v>
      </c>
      <c r="E163" s="528">
        <f>$B163*'Recycling - Case 3'!$AK104*'Recycling - Case 3'!BO104</f>
        <v>154.09647732559836</v>
      </c>
      <c r="F163" s="528">
        <f>$B163*'Recycling - Case 3'!$AK104*'Recycling - Case 3'!BP104</f>
        <v>0</v>
      </c>
      <c r="G163" s="528">
        <f>$B163*'Recycling - Case 3'!$AK104*'Recycling - Case 3'!BQ104</f>
        <v>0</v>
      </c>
      <c r="H163" s="528">
        <f>$B163*'Recycling - Case 3'!$AK104*'Recycling - Case 3'!BR104</f>
        <v>0</v>
      </c>
      <c r="I163" s="528">
        <f>$B163*'Recycling - Case 3'!$AK104*'Recycling - Case 3'!BS104</f>
        <v>602.4642838042738</v>
      </c>
      <c r="J163" s="744">
        <f t="shared" si="19"/>
        <v>1860.9462287798842</v>
      </c>
      <c r="K163" s="106">
        <f>'4C2 Open-burning '!C$14*'4C2 Open-burning '!$C$5*'4C2 Open-burning '!$C$6*'4C2 Open-burning '!$C$7*C163</f>
        <v>0</v>
      </c>
      <c r="L163" s="106">
        <f>'4C2 Open-burning '!D$14*'4C2 Open-burning '!$C$5*'4C2 Open-burning '!$C$6*'4C2 Open-burning '!$C$7*D163</f>
        <v>0</v>
      </c>
      <c r="M163" s="106">
        <f>'4C2 Open-burning '!E$14*'4C2 Open-burning '!$C$5*'4C2 Open-burning '!$C$6*'4C2 Open-burning '!$C$7*E163</f>
        <v>0.8140362149792989</v>
      </c>
      <c r="N163" s="106">
        <f>'4C2 Open-burning '!F$14*'4C2 Open-burning '!$C$5*'4C2 Open-burning '!$C$6*'4C2 Open-burning '!$C$7*F163</f>
        <v>0</v>
      </c>
      <c r="O163" s="106">
        <f>'4C2 Open-burning '!G$14*'4C2 Open-burning '!$C$5*'4C2 Open-burning '!$C$6*'4C2 Open-burning '!$C$7*G163</f>
        <v>0</v>
      </c>
      <c r="P163" s="106">
        <f>'4C2 Open-burning '!H$14*'4C2 Open-burning '!$C$5*'4C2 Open-burning '!$C$6*'4C2 Open-burning '!$C$7*H163</f>
        <v>0</v>
      </c>
      <c r="Q163" s="106">
        <f>'4C2 Open-burning '!I$14*'4C2 Open-burning '!$C$5*'4C2 Open-burning '!$C$6*'4C2 Open-burning '!$C$7*I163</f>
        <v>20.756099505624839</v>
      </c>
      <c r="R163" s="1384">
        <f t="shared" si="16"/>
        <v>21.570135720604139</v>
      </c>
      <c r="S163" s="484">
        <f>C163*'4C2 Open-burning '!$C$9*'4C2 Open-burning '!$C$11*$C$5</f>
        <v>2.1067757341514133</v>
      </c>
      <c r="T163" s="485">
        <f>D163*'4C2 Open-burning '!$C$9*'4C2 Open-burning '!$C$11*$C$5</f>
        <v>2.200327589683635</v>
      </c>
      <c r="U163" s="485">
        <f>E163*'4C2 Open-burning '!$C$9*'4C2 Open-burning '!$C$11*$C$5</f>
        <v>0.60097626156983353</v>
      </c>
      <c r="V163" s="485">
        <f>F163*'4C2 Open-burning '!$C$9*'4C2 Open-burning '!$C$11*$C$5</f>
        <v>0</v>
      </c>
      <c r="W163" s="485">
        <f>G163*'4C2 Open-burning '!$C$9*'4C2 Open-burning '!$C$11*$C$5</f>
        <v>0</v>
      </c>
      <c r="X163" s="485">
        <f>H163*'4C2 Open-burning '!$C$9*'4C2 Open-burning '!$C$11*$C$5</f>
        <v>0</v>
      </c>
      <c r="Y163" s="485">
        <f>I163*'4C2 Open-burning '!$C$9*'4C2 Open-burning '!$C$11*$C$5</f>
        <v>2.3496107068366676</v>
      </c>
      <c r="Z163" s="486">
        <f t="shared" si="17"/>
        <v>7.2576902922415494</v>
      </c>
      <c r="AA163" s="1630">
        <f>C163*'4C2 Open-burning '!$C$10*'4C2 Open-burning '!$C$11*$C$5*C$15</f>
        <v>1.9447160622936121E-2</v>
      </c>
      <c r="AB163" s="487">
        <f>D163*'4C2 Open-burning '!$C$10*'4C2 Open-burning '!$C$11*$C$5*D$15</f>
        <v>2.0310716212464323E-2</v>
      </c>
      <c r="AC163" s="487">
        <f>E163*'4C2 Open-burning '!$C$10*'4C2 Open-burning '!$C$11*$C$5*E$15</f>
        <v>1.2481814663373466E-2</v>
      </c>
      <c r="AD163" s="487">
        <f>F163*'4C2 Open-burning '!$C$10*'4C2 Open-burning '!$C$11*$C$5*F$15</f>
        <v>0</v>
      </c>
      <c r="AE163" s="487">
        <f>G163*'4C2 Open-burning '!$C$10*'4C2 Open-burning '!$C$11*$C$5*G$15</f>
        <v>0</v>
      </c>
      <c r="AF163" s="487">
        <f>H163*'4C2 Open-burning '!$C$10*'4C2 Open-burning '!$C$11*$C$5*H$15</f>
        <v>0</v>
      </c>
      <c r="AG163" s="487">
        <f>I163*'4C2 Open-burning '!$C$10*'4C2 Open-burning '!$C$11*$C$5*I$15</f>
        <v>4.8799606988146178E-2</v>
      </c>
      <c r="AH163" s="488">
        <f t="shared" si="18"/>
        <v>0.10103929848692009</v>
      </c>
      <c r="AI163" s="1388"/>
      <c r="AJ163" s="1388"/>
      <c r="AK163" s="1388"/>
      <c r="AL163" s="4"/>
      <c r="AM163" s="4"/>
    </row>
    <row r="164" spans="1:39">
      <c r="A164" s="959">
        <f>'Input data'!A125</f>
        <v>2025</v>
      </c>
      <c r="B164" s="560">
        <f>'Recycling - Case 3'!AP105</f>
        <v>8.3494201429216791E-2</v>
      </c>
      <c r="C164" s="527">
        <f>$B164*'Recycling - Case 3'!$AK105*'Recycling - Case 3'!BM105</f>
        <v>507.97627512742514</v>
      </c>
      <c r="D164" s="528">
        <f>$B164*'Recycling - Case 3'!$AK105*'Recycling - Case 3'!BN105</f>
        <v>530.53307713257948</v>
      </c>
      <c r="E164" s="528">
        <f>$B164*'Recycling - Case 3'!$AK105*'Recycling - Case 3'!BO105</f>
        <v>144.90468911500608</v>
      </c>
      <c r="F164" s="528">
        <f>$B164*'Recycling - Case 3'!$AK105*'Recycling - Case 3'!BP105</f>
        <v>0</v>
      </c>
      <c r="G164" s="528">
        <f>$B164*'Recycling - Case 3'!$AK105*'Recycling - Case 3'!BQ105</f>
        <v>0</v>
      </c>
      <c r="H164" s="528">
        <f>$B164*'Recycling - Case 3'!$AK105*'Recycling - Case 3'!BR105</f>
        <v>0</v>
      </c>
      <c r="I164" s="528">
        <f>$B164*'Recycling - Case 3'!$AK105*'Recycling - Case 3'!BS105</f>
        <v>566.52754990039557</v>
      </c>
      <c r="J164" s="744">
        <f t="shared" si="19"/>
        <v>1749.9415912754062</v>
      </c>
      <c r="K164" s="106">
        <f>'4C2 Open-burning '!C$14*'4C2 Open-burning '!$C$5*'4C2 Open-burning '!$C$6*'4C2 Open-burning '!$C$7*C164</f>
        <v>0</v>
      </c>
      <c r="L164" s="106">
        <f>'4C2 Open-burning '!D$14*'4C2 Open-burning '!$C$5*'4C2 Open-burning '!$C$6*'4C2 Open-burning '!$C$7*D164</f>
        <v>0</v>
      </c>
      <c r="M164" s="106">
        <f>'4C2 Open-burning '!E$14*'4C2 Open-burning '!$C$5*'4C2 Open-burning '!$C$6*'4C2 Open-burning '!$C$7*E164</f>
        <v>0.76547930690649568</v>
      </c>
      <c r="N164" s="106">
        <f>'4C2 Open-burning '!F$14*'4C2 Open-burning '!$C$5*'4C2 Open-burning '!$C$6*'4C2 Open-burning '!$C$7*F164</f>
        <v>0</v>
      </c>
      <c r="O164" s="106">
        <f>'4C2 Open-burning '!G$14*'4C2 Open-burning '!$C$5*'4C2 Open-burning '!$C$6*'4C2 Open-burning '!$C$7*G164</f>
        <v>0</v>
      </c>
      <c r="P164" s="106">
        <f>'4C2 Open-burning '!H$14*'4C2 Open-burning '!$C$5*'4C2 Open-burning '!$C$6*'4C2 Open-burning '!$C$7*H164</f>
        <v>0</v>
      </c>
      <c r="Q164" s="106">
        <f>'4C2 Open-burning '!I$14*'4C2 Open-burning '!$C$5*'4C2 Open-burning '!$C$6*'4C2 Open-burning '!$C$7*I164</f>
        <v>19.518007149168426</v>
      </c>
      <c r="R164" s="1384">
        <f t="shared" si="16"/>
        <v>20.283486456074922</v>
      </c>
      <c r="S164" s="484">
        <f>C164*'4C2 Open-burning '!$C$9*'4C2 Open-burning '!$C$11*$C$5</f>
        <v>1.9811074729969578</v>
      </c>
      <c r="T164" s="485">
        <f>D164*'4C2 Open-burning '!$C$9*'4C2 Open-burning '!$C$11*$C$5</f>
        <v>2.0690790008170601</v>
      </c>
      <c r="U164" s="485">
        <f>E164*'4C2 Open-burning '!$C$9*'4C2 Open-burning '!$C$11*$C$5</f>
        <v>0.56512828754852362</v>
      </c>
      <c r="V164" s="485">
        <f>F164*'4C2 Open-burning '!$C$9*'4C2 Open-burning '!$C$11*$C$5</f>
        <v>0</v>
      </c>
      <c r="W164" s="485">
        <f>G164*'4C2 Open-burning '!$C$9*'4C2 Open-burning '!$C$11*$C$5</f>
        <v>0</v>
      </c>
      <c r="X164" s="485">
        <f>H164*'4C2 Open-burning '!$C$9*'4C2 Open-burning '!$C$11*$C$5</f>
        <v>0</v>
      </c>
      <c r="Y164" s="485">
        <f>I164*'4C2 Open-burning '!$C$9*'4C2 Open-burning '!$C$11*$C$5</f>
        <v>2.2094574446115427</v>
      </c>
      <c r="Z164" s="486">
        <f t="shared" si="17"/>
        <v>6.8247722059740834</v>
      </c>
      <c r="AA164" s="1630">
        <f>C164*'4C2 Open-burning '!$C$10*'4C2 Open-burning '!$C$11*$C$5*C$15</f>
        <v>1.8287145904587302E-2</v>
      </c>
      <c r="AB164" s="487">
        <f>D164*'4C2 Open-burning '!$C$10*'4C2 Open-burning '!$C$11*$C$5*D$15</f>
        <v>1.9099190776772856E-2</v>
      </c>
      <c r="AC164" s="487">
        <f>E164*'4C2 Open-burning '!$C$10*'4C2 Open-burning '!$C$11*$C$5*E$15</f>
        <v>1.1737279818315492E-2</v>
      </c>
      <c r="AD164" s="487">
        <f>F164*'4C2 Open-burning '!$C$10*'4C2 Open-burning '!$C$11*$C$5*F$15</f>
        <v>0</v>
      </c>
      <c r="AE164" s="487">
        <f>G164*'4C2 Open-burning '!$C$10*'4C2 Open-burning '!$C$11*$C$5*G$15</f>
        <v>0</v>
      </c>
      <c r="AF164" s="487">
        <f>H164*'4C2 Open-burning '!$C$10*'4C2 Open-burning '!$C$11*$C$5*H$15</f>
        <v>0</v>
      </c>
      <c r="AG164" s="487">
        <f>I164*'4C2 Open-burning '!$C$10*'4C2 Open-burning '!$C$11*$C$5*I$15</f>
        <v>4.5888731541932043E-2</v>
      </c>
      <c r="AH164" s="488">
        <f t="shared" si="18"/>
        <v>9.5012348041607686E-2</v>
      </c>
      <c r="AI164" s="1388"/>
      <c r="AJ164" s="1388"/>
      <c r="AK164" s="1388"/>
      <c r="AL164" s="4"/>
      <c r="AM164" s="4"/>
    </row>
    <row r="165" spans="1:39">
      <c r="A165" s="959">
        <f>'Input data'!A126</f>
        <v>2026</v>
      </c>
      <c r="B165" s="560">
        <f>'Recycling - Case 3'!AP106</f>
        <v>7.9101611218796483E-2</v>
      </c>
      <c r="C165" s="527">
        <f>$B165*'Recycling - Case 3'!$AK106*'Recycling - Case 3'!BM106</f>
        <v>475.46190657561885</v>
      </c>
      <c r="D165" s="528">
        <f>$B165*'Recycling - Case 3'!$AK106*'Recycling - Case 3'!BN106</f>
        <v>496.57490065182662</v>
      </c>
      <c r="E165" s="528">
        <f>$B165*'Recycling - Case 3'!$AK106*'Recycling - Case 3'!BO106</f>
        <v>135.62968022686783</v>
      </c>
      <c r="F165" s="528">
        <f>$B165*'Recycling - Case 3'!$AK106*'Recycling - Case 3'!BP106</f>
        <v>0</v>
      </c>
      <c r="G165" s="528">
        <f>$B165*'Recycling - Case 3'!$AK106*'Recycling - Case 3'!BQ106</f>
        <v>0</v>
      </c>
      <c r="H165" s="528">
        <f>$B165*'Recycling - Case 3'!$AK106*'Recycling - Case 3'!BR106</f>
        <v>0</v>
      </c>
      <c r="I165" s="528">
        <f>$B165*'Recycling - Case 3'!$AK106*'Recycling - Case 3'!BS106</f>
        <v>530.26545173923125</v>
      </c>
      <c r="J165" s="744">
        <f t="shared" si="19"/>
        <v>1637.9319391935446</v>
      </c>
      <c r="K165" s="106">
        <f>'4C2 Open-burning '!C$14*'4C2 Open-burning '!$C$5*'4C2 Open-burning '!$C$6*'4C2 Open-burning '!$C$7*C165</f>
        <v>0</v>
      </c>
      <c r="L165" s="106">
        <f>'4C2 Open-burning '!D$14*'4C2 Open-burning '!$C$5*'4C2 Open-burning '!$C$6*'4C2 Open-burning '!$C$7*D165</f>
        <v>0</v>
      </c>
      <c r="M165" s="106">
        <f>'4C2 Open-burning '!E$14*'4C2 Open-burning '!$C$5*'4C2 Open-burning '!$C$6*'4C2 Open-burning '!$C$7*E165</f>
        <v>0.71648277395366111</v>
      </c>
      <c r="N165" s="106">
        <f>'4C2 Open-burning '!F$14*'4C2 Open-burning '!$C$5*'4C2 Open-burning '!$C$6*'4C2 Open-burning '!$C$7*F165</f>
        <v>0</v>
      </c>
      <c r="O165" s="106">
        <f>'4C2 Open-burning '!G$14*'4C2 Open-burning '!$C$5*'4C2 Open-burning '!$C$6*'4C2 Open-burning '!$C$7*G165</f>
        <v>0</v>
      </c>
      <c r="P165" s="106">
        <f>'4C2 Open-burning '!H$14*'4C2 Open-burning '!$C$5*'4C2 Open-burning '!$C$6*'4C2 Open-burning '!$C$7*H165</f>
        <v>0</v>
      </c>
      <c r="Q165" s="106">
        <f>'4C2 Open-burning '!I$14*'4C2 Open-burning '!$C$5*'4C2 Open-burning '!$C$6*'4C2 Open-burning '!$C$7*I165</f>
        <v>18.268705343319994</v>
      </c>
      <c r="R165" s="1384">
        <f t="shared" si="16"/>
        <v>18.985188117273655</v>
      </c>
      <c r="S165" s="484">
        <f>C165*'4C2 Open-burning '!$C$9*'4C2 Open-burning '!$C$11*$C$5</f>
        <v>1.8543014356449135</v>
      </c>
      <c r="T165" s="485">
        <f>D165*'4C2 Open-burning '!$C$9*'4C2 Open-burning '!$C$11*$C$5</f>
        <v>1.9366421125421234</v>
      </c>
      <c r="U165" s="485">
        <f>E165*'4C2 Open-burning '!$C$9*'4C2 Open-burning '!$C$11*$C$5</f>
        <v>0.52895575288478458</v>
      </c>
      <c r="V165" s="485">
        <f>F165*'4C2 Open-burning '!$C$9*'4C2 Open-burning '!$C$11*$C$5</f>
        <v>0</v>
      </c>
      <c r="W165" s="485">
        <f>G165*'4C2 Open-burning '!$C$9*'4C2 Open-burning '!$C$11*$C$5</f>
        <v>0</v>
      </c>
      <c r="X165" s="485">
        <f>H165*'4C2 Open-burning '!$C$9*'4C2 Open-burning '!$C$11*$C$5</f>
        <v>0</v>
      </c>
      <c r="Y165" s="485">
        <f>I165*'4C2 Open-burning '!$C$9*'4C2 Open-burning '!$C$11*$C$5</f>
        <v>2.0680352617830016</v>
      </c>
      <c r="Z165" s="486">
        <f t="shared" si="17"/>
        <v>6.3879345628548228</v>
      </c>
      <c r="AA165" s="1630">
        <f>C165*'4C2 Open-burning '!$C$10*'4C2 Open-burning '!$C$11*$C$5*C$15</f>
        <v>1.7116628636722277E-2</v>
      </c>
      <c r="AB165" s="487">
        <f>D165*'4C2 Open-burning '!$C$10*'4C2 Open-burning '!$C$11*$C$5*D$15</f>
        <v>1.7876696423465756E-2</v>
      </c>
      <c r="AC165" s="487">
        <f>E165*'4C2 Open-burning '!$C$10*'4C2 Open-burning '!$C$11*$C$5*E$15</f>
        <v>1.0986004098376294E-2</v>
      </c>
      <c r="AD165" s="487">
        <f>F165*'4C2 Open-burning '!$C$10*'4C2 Open-burning '!$C$11*$C$5*F$15</f>
        <v>0</v>
      </c>
      <c r="AE165" s="487">
        <f>G165*'4C2 Open-burning '!$C$10*'4C2 Open-burning '!$C$11*$C$5*G$15</f>
        <v>0</v>
      </c>
      <c r="AF165" s="487">
        <f>H165*'4C2 Open-burning '!$C$10*'4C2 Open-burning '!$C$11*$C$5*H$15</f>
        <v>0</v>
      </c>
      <c r="AG165" s="487">
        <f>I165*'4C2 Open-burning '!$C$10*'4C2 Open-burning '!$C$11*$C$5*I$15</f>
        <v>4.2951501590877732E-2</v>
      </c>
      <c r="AH165" s="488">
        <f t="shared" si="18"/>
        <v>8.8930830749442052E-2</v>
      </c>
      <c r="AI165" s="1388"/>
      <c r="AJ165" s="1388"/>
      <c r="AK165" s="1388"/>
      <c r="AL165" s="4"/>
      <c r="AM165" s="4"/>
    </row>
    <row r="166" spans="1:39">
      <c r="A166" s="959">
        <f>'Input data'!A127</f>
        <v>2027</v>
      </c>
      <c r="B166" s="560">
        <f>'Recycling - Case 3'!AP107</f>
        <v>7.4490877934688157E-2</v>
      </c>
      <c r="C166" s="527">
        <f>$B166*'Recycling - Case 3'!$AK107*'Recycling - Case 3'!BM107</f>
        <v>442.31360987420572</v>
      </c>
      <c r="D166" s="528">
        <f>$B166*'Recycling - Case 3'!$AK107*'Recycling - Case 3'!BN107</f>
        <v>461.9546462978355</v>
      </c>
      <c r="E166" s="528">
        <f>$B166*'Recycling - Case 3'!$AK107*'Recycling - Case 3'!BO107</f>
        <v>126.17383777240413</v>
      </c>
      <c r="F166" s="528">
        <f>$B166*'Recycling - Case 3'!$AK107*'Recycling - Case 3'!BP107</f>
        <v>0</v>
      </c>
      <c r="G166" s="528">
        <f>$B166*'Recycling - Case 3'!$AK107*'Recycling - Case 3'!BQ107</f>
        <v>0</v>
      </c>
      <c r="H166" s="528">
        <f>$B166*'Recycling - Case 3'!$AK107*'Recycling - Case 3'!BR107</f>
        <v>0</v>
      </c>
      <c r="I166" s="528">
        <f>$B166*'Recycling - Case 3'!$AK107*'Recycling - Case 3'!BS107</f>
        <v>493.29635646226745</v>
      </c>
      <c r="J166" s="744">
        <f t="shared" si="19"/>
        <v>1523.7384504067127</v>
      </c>
      <c r="K166" s="106">
        <f>'4C2 Open-burning '!C$14*'4C2 Open-burning '!$C$5*'4C2 Open-burning '!$C$6*'4C2 Open-burning '!$C$7*C166</f>
        <v>0</v>
      </c>
      <c r="L166" s="106">
        <f>'4C2 Open-burning '!D$14*'4C2 Open-burning '!$C$5*'4C2 Open-burning '!$C$6*'4C2 Open-burning '!$C$7*D166</f>
        <v>0</v>
      </c>
      <c r="M166" s="106">
        <f>'4C2 Open-burning '!E$14*'4C2 Open-burning '!$C$5*'4C2 Open-burning '!$C$6*'4C2 Open-burning '!$C$7*E166</f>
        <v>0.66653096237001297</v>
      </c>
      <c r="N166" s="106">
        <f>'4C2 Open-burning '!F$14*'4C2 Open-burning '!$C$5*'4C2 Open-burning '!$C$6*'4C2 Open-burning '!$C$7*F166</f>
        <v>0</v>
      </c>
      <c r="O166" s="106">
        <f>'4C2 Open-burning '!G$14*'4C2 Open-burning '!$C$5*'4C2 Open-burning '!$C$6*'4C2 Open-burning '!$C$7*G166</f>
        <v>0</v>
      </c>
      <c r="P166" s="106">
        <f>'4C2 Open-burning '!H$14*'4C2 Open-burning '!$C$5*'4C2 Open-burning '!$C$6*'4C2 Open-burning '!$C$7*H166</f>
        <v>0</v>
      </c>
      <c r="Q166" s="106">
        <f>'4C2 Open-burning '!I$14*'4C2 Open-burning '!$C$5*'4C2 Open-burning '!$C$6*'4C2 Open-burning '!$C$7*I166</f>
        <v>16.995046072838036</v>
      </c>
      <c r="R166" s="1384">
        <f t="shared" si="16"/>
        <v>17.661577035208051</v>
      </c>
      <c r="S166" s="484">
        <f>C166*'4C2 Open-burning '!$C$9*'4C2 Open-burning '!$C$11*$C$5</f>
        <v>1.7250230785094021</v>
      </c>
      <c r="T166" s="485">
        <f>D166*'4C2 Open-burning '!$C$9*'4C2 Open-burning '!$C$11*$C$5</f>
        <v>1.8016231205615583</v>
      </c>
      <c r="U166" s="485">
        <f>E166*'4C2 Open-burning '!$C$9*'4C2 Open-burning '!$C$11*$C$5</f>
        <v>0.49207796731237607</v>
      </c>
      <c r="V166" s="485">
        <f>F166*'4C2 Open-burning '!$C$9*'4C2 Open-burning '!$C$11*$C$5</f>
        <v>0</v>
      </c>
      <c r="W166" s="485">
        <f>G166*'4C2 Open-burning '!$C$9*'4C2 Open-burning '!$C$11*$C$5</f>
        <v>0</v>
      </c>
      <c r="X166" s="485">
        <f>H166*'4C2 Open-burning '!$C$9*'4C2 Open-burning '!$C$11*$C$5</f>
        <v>0</v>
      </c>
      <c r="Y166" s="485">
        <f>I166*'4C2 Open-burning '!$C$9*'4C2 Open-burning '!$C$11*$C$5</f>
        <v>1.9238557902028428</v>
      </c>
      <c r="Z166" s="486">
        <f t="shared" si="17"/>
        <v>5.9425799565861794</v>
      </c>
      <c r="AA166" s="1630">
        <f>C166*'4C2 Open-burning '!$C$10*'4C2 Open-burning '!$C$11*$C$5*C$15</f>
        <v>1.5923289955471404E-2</v>
      </c>
      <c r="AB166" s="487">
        <f>D166*'4C2 Open-burning '!$C$10*'4C2 Open-burning '!$C$11*$C$5*D$15</f>
        <v>1.6630367266722075E-2</v>
      </c>
      <c r="AC166" s="487">
        <f>E166*'4C2 Open-burning '!$C$10*'4C2 Open-burning '!$C$11*$C$5*E$15</f>
        <v>1.0220080859564733E-2</v>
      </c>
      <c r="AD166" s="487">
        <f>F166*'4C2 Open-burning '!$C$10*'4C2 Open-burning '!$C$11*$C$5*F$15</f>
        <v>0</v>
      </c>
      <c r="AE166" s="487">
        <f>G166*'4C2 Open-burning '!$C$10*'4C2 Open-burning '!$C$11*$C$5*G$15</f>
        <v>0</v>
      </c>
      <c r="AF166" s="487">
        <f>H166*'4C2 Open-burning '!$C$10*'4C2 Open-burning '!$C$11*$C$5*H$15</f>
        <v>0</v>
      </c>
      <c r="AG166" s="487">
        <f>I166*'4C2 Open-burning '!$C$10*'4C2 Open-burning '!$C$11*$C$5*I$15</f>
        <v>3.9957004873443669E-2</v>
      </c>
      <c r="AH166" s="488">
        <f t="shared" si="18"/>
        <v>8.2730742955201886E-2</v>
      </c>
      <c r="AI166" s="1388"/>
      <c r="AJ166" s="1388"/>
      <c r="AK166" s="1388"/>
      <c r="AL166" s="4"/>
      <c r="AM166" s="4"/>
    </row>
    <row r="167" spans="1:39">
      <c r="A167" s="959">
        <f>'Input data'!A128</f>
        <v>2028</v>
      </c>
      <c r="B167" s="560">
        <f>'Recycling - Case 3'!AP108</f>
        <v>6.9650668830486373E-2</v>
      </c>
      <c r="C167" s="527">
        <f>$B167*'Recycling - Case 3'!$AK108*'Recycling - Case 3'!BM108</f>
        <v>408.50849791562155</v>
      </c>
      <c r="D167" s="528">
        <f>$B167*'Recycling - Case 3'!$AK108*'Recycling - Case 3'!BN108</f>
        <v>426.64841065582618</v>
      </c>
      <c r="E167" s="528">
        <f>$B167*'Recycling - Case 3'!$AK108*'Recycling - Case 3'!BO108</f>
        <v>116.53063300338647</v>
      </c>
      <c r="F167" s="528">
        <f>$B167*'Recycling - Case 3'!$AK108*'Recycling - Case 3'!BP108</f>
        <v>0</v>
      </c>
      <c r="G167" s="528">
        <f>$B167*'Recycling - Case 3'!$AK108*'Recycling - Case 3'!BQ108</f>
        <v>0</v>
      </c>
      <c r="H167" s="528">
        <f>$B167*'Recycling - Case 3'!$AK108*'Recycling - Case 3'!BR108</f>
        <v>0</v>
      </c>
      <c r="I167" s="528">
        <f>$B167*'Recycling - Case 3'!$AK108*'Recycling - Case 3'!BS108</f>
        <v>455.59473890699655</v>
      </c>
      <c r="J167" s="744">
        <f t="shared" si="19"/>
        <v>1407.2822804818306</v>
      </c>
      <c r="K167" s="106">
        <f>'4C2 Open-burning '!C$14*'4C2 Open-burning '!$C$5*'4C2 Open-burning '!$C$6*'4C2 Open-burning '!$C$7*C167</f>
        <v>0</v>
      </c>
      <c r="L167" s="106">
        <f>'4C2 Open-burning '!D$14*'4C2 Open-burning '!$C$5*'4C2 Open-burning '!$C$6*'4C2 Open-burning '!$C$7*D167</f>
        <v>0</v>
      </c>
      <c r="M167" s="106">
        <f>'4C2 Open-burning '!E$14*'4C2 Open-burning '!$C$5*'4C2 Open-burning '!$C$6*'4C2 Open-burning '!$C$7*E167</f>
        <v>0.61558938312900946</v>
      </c>
      <c r="N167" s="106">
        <f>'4C2 Open-burning '!F$14*'4C2 Open-burning '!$C$5*'4C2 Open-burning '!$C$6*'4C2 Open-burning '!$C$7*F167</f>
        <v>0</v>
      </c>
      <c r="O167" s="106">
        <f>'4C2 Open-burning '!G$14*'4C2 Open-burning '!$C$5*'4C2 Open-burning '!$C$6*'4C2 Open-burning '!$C$7*G167</f>
        <v>0</v>
      </c>
      <c r="P167" s="106">
        <f>'4C2 Open-burning '!H$14*'4C2 Open-burning '!$C$5*'4C2 Open-burning '!$C$6*'4C2 Open-burning '!$C$7*H167</f>
        <v>0</v>
      </c>
      <c r="Q167" s="106">
        <f>'4C2 Open-burning '!I$14*'4C2 Open-burning '!$C$5*'4C2 Open-burning '!$C$6*'4C2 Open-burning '!$C$7*I167</f>
        <v>15.696149944823844</v>
      </c>
      <c r="R167" s="1384">
        <f t="shared" si="16"/>
        <v>16.311739327952854</v>
      </c>
      <c r="S167" s="484">
        <f>C167*'4C2 Open-burning '!$C$9*'4C2 Open-burning '!$C$11*$C$5</f>
        <v>1.5931831418709239</v>
      </c>
      <c r="T167" s="485">
        <f>D167*'4C2 Open-burning '!$C$9*'4C2 Open-burning '!$C$11*$C$5</f>
        <v>1.663928801557722</v>
      </c>
      <c r="U167" s="485">
        <f>E167*'4C2 Open-burning '!$C$9*'4C2 Open-burning '!$C$11*$C$5</f>
        <v>0.4544694687132072</v>
      </c>
      <c r="V167" s="485">
        <f>F167*'4C2 Open-burning '!$C$9*'4C2 Open-burning '!$C$11*$C$5</f>
        <v>0</v>
      </c>
      <c r="W167" s="485">
        <f>G167*'4C2 Open-burning '!$C$9*'4C2 Open-burning '!$C$11*$C$5</f>
        <v>0</v>
      </c>
      <c r="X167" s="485">
        <f>H167*'4C2 Open-burning '!$C$9*'4C2 Open-burning '!$C$11*$C$5</f>
        <v>0</v>
      </c>
      <c r="Y167" s="485">
        <f>I167*'4C2 Open-burning '!$C$9*'4C2 Open-burning '!$C$11*$C$5</f>
        <v>1.7768194817372864</v>
      </c>
      <c r="Z167" s="486">
        <f t="shared" si="17"/>
        <v>5.48840089387914</v>
      </c>
      <c r="AA167" s="1630">
        <f>C167*'4C2 Open-burning '!$C$10*'4C2 Open-burning '!$C$11*$C$5*C$15</f>
        <v>1.4706305924962373E-2</v>
      </c>
      <c r="AB167" s="487">
        <f>D167*'4C2 Open-burning '!$C$10*'4C2 Open-burning '!$C$11*$C$5*D$15</f>
        <v>1.5359342783609745E-2</v>
      </c>
      <c r="AC167" s="487">
        <f>E167*'4C2 Open-burning '!$C$10*'4C2 Open-burning '!$C$11*$C$5*E$15</f>
        <v>9.4389812732743016E-3</v>
      </c>
      <c r="AD167" s="487">
        <f>F167*'4C2 Open-burning '!$C$10*'4C2 Open-burning '!$C$11*$C$5*F$15</f>
        <v>0</v>
      </c>
      <c r="AE167" s="487">
        <f>G167*'4C2 Open-burning '!$C$10*'4C2 Open-burning '!$C$11*$C$5*G$15</f>
        <v>0</v>
      </c>
      <c r="AF167" s="487">
        <f>H167*'4C2 Open-burning '!$C$10*'4C2 Open-burning '!$C$11*$C$5*H$15</f>
        <v>0</v>
      </c>
      <c r="AG167" s="487">
        <f>I167*'4C2 Open-burning '!$C$10*'4C2 Open-burning '!$C$11*$C$5*I$15</f>
        <v>3.6903173851466728E-2</v>
      </c>
      <c r="AH167" s="488">
        <f t="shared" si="18"/>
        <v>7.6407803833313151E-2</v>
      </c>
      <c r="AI167" s="1388"/>
      <c r="AJ167" s="1388"/>
      <c r="AK167" s="1388"/>
      <c r="AL167" s="4"/>
      <c r="AM167" s="4"/>
    </row>
    <row r="168" spans="1:39">
      <c r="A168" s="959">
        <f>'Input data'!A129</f>
        <v>2029</v>
      </c>
      <c r="B168" s="560">
        <f>'Recycling - Case 3'!AP109</f>
        <v>6.456893299470301E-2</v>
      </c>
      <c r="C168" s="527">
        <f>$B168*'Recycling - Case 3'!$AK109*'Recycling - Case 3'!BM109</f>
        <v>374.02265479868709</v>
      </c>
      <c r="D168" s="528">
        <f>$B168*'Recycling - Case 3'!$AK109*'Recycling - Case 3'!BN109</f>
        <v>390.63121583358941</v>
      </c>
      <c r="E168" s="528">
        <f>$B168*'Recycling - Case 3'!$AK109*'Recycling - Case 3'!BO109</f>
        <v>106.69324369918181</v>
      </c>
      <c r="F168" s="528">
        <f>$B168*'Recycling - Case 3'!$AK109*'Recycling - Case 3'!BP109</f>
        <v>0</v>
      </c>
      <c r="G168" s="528">
        <f>$B168*'Recycling - Case 3'!$AK109*'Recycling - Case 3'!BQ109</f>
        <v>0</v>
      </c>
      <c r="H168" s="528">
        <f>$B168*'Recycling - Case 3'!$AK109*'Recycling - Case 3'!BR109</f>
        <v>0</v>
      </c>
      <c r="I168" s="528">
        <f>$B168*'Recycling - Case 3'!$AK109*'Recycling - Case 3'!BS109</f>
        <v>417.13392653463643</v>
      </c>
      <c r="J168" s="744">
        <f t="shared" si="19"/>
        <v>1288.4810408660946</v>
      </c>
      <c r="K168" s="106">
        <f>'4C2 Open-burning '!C$14*'4C2 Open-burning '!$C$5*'4C2 Open-burning '!$C$6*'4C2 Open-burning '!$C$7*C168</f>
        <v>0</v>
      </c>
      <c r="L168" s="106">
        <f>'4C2 Open-burning '!D$14*'4C2 Open-burning '!$C$5*'4C2 Open-burning '!$C$6*'4C2 Open-burning '!$C$7*D168</f>
        <v>0</v>
      </c>
      <c r="M168" s="106">
        <f>'4C2 Open-burning '!E$14*'4C2 Open-burning '!$C$5*'4C2 Open-burning '!$C$6*'4C2 Open-burning '!$C$7*E168</f>
        <v>0.56362199689504577</v>
      </c>
      <c r="N168" s="106">
        <f>'4C2 Open-burning '!F$14*'4C2 Open-burning '!$C$5*'4C2 Open-burning '!$C$6*'4C2 Open-burning '!$C$7*F168</f>
        <v>0</v>
      </c>
      <c r="O168" s="106">
        <f>'4C2 Open-burning '!G$14*'4C2 Open-burning '!$C$5*'4C2 Open-burning '!$C$6*'4C2 Open-burning '!$C$7*G168</f>
        <v>0</v>
      </c>
      <c r="P168" s="106">
        <f>'4C2 Open-burning '!H$14*'4C2 Open-burning '!$C$5*'4C2 Open-burning '!$C$6*'4C2 Open-burning '!$C$7*H168</f>
        <v>0</v>
      </c>
      <c r="Q168" s="106">
        <f>'4C2 Open-burning '!I$14*'4C2 Open-burning '!$C$5*'4C2 Open-burning '!$C$6*'4C2 Open-burning '!$C$7*I168</f>
        <v>14.371098036971294</v>
      </c>
      <c r="R168" s="1384">
        <f t="shared" si="16"/>
        <v>14.93472003386634</v>
      </c>
      <c r="S168" s="484">
        <f>C168*'4C2 Open-burning '!$C$9*'4C2 Open-burning '!$C$11*$C$5</f>
        <v>1.4586883537148796</v>
      </c>
      <c r="T168" s="485">
        <f>D168*'4C2 Open-burning '!$C$9*'4C2 Open-burning '!$C$11*$C$5</f>
        <v>1.5234617417509988</v>
      </c>
      <c r="U168" s="485">
        <f>E168*'4C2 Open-burning '!$C$9*'4C2 Open-burning '!$C$11*$C$5</f>
        <v>0.41610365042680902</v>
      </c>
      <c r="V168" s="485">
        <f>F168*'4C2 Open-burning '!$C$9*'4C2 Open-burning '!$C$11*$C$5</f>
        <v>0</v>
      </c>
      <c r="W168" s="485">
        <f>G168*'4C2 Open-burning '!$C$9*'4C2 Open-burning '!$C$11*$C$5</f>
        <v>0</v>
      </c>
      <c r="X168" s="485">
        <f>H168*'4C2 Open-burning '!$C$9*'4C2 Open-burning '!$C$11*$C$5</f>
        <v>0</v>
      </c>
      <c r="Y168" s="485">
        <f>I168*'4C2 Open-burning '!$C$9*'4C2 Open-burning '!$C$11*$C$5</f>
        <v>1.6268223134850821</v>
      </c>
      <c r="Z168" s="486">
        <f t="shared" si="17"/>
        <v>5.0250760593777697</v>
      </c>
      <c r="AA168" s="1630">
        <f>C168*'4C2 Open-burning '!$C$10*'4C2 Open-burning '!$C$11*$C$5*C$15</f>
        <v>1.3464815572752734E-2</v>
      </c>
      <c r="AB168" s="487">
        <f>D168*'4C2 Open-burning '!$C$10*'4C2 Open-burning '!$C$11*$C$5*D$15</f>
        <v>1.4062723770009221E-2</v>
      </c>
      <c r="AC168" s="487">
        <f>E168*'4C2 Open-burning '!$C$10*'4C2 Open-burning '!$C$11*$C$5*E$15</f>
        <v>8.642152739633726E-3</v>
      </c>
      <c r="AD168" s="487">
        <f>F168*'4C2 Open-burning '!$C$10*'4C2 Open-burning '!$C$11*$C$5*F$15</f>
        <v>0</v>
      </c>
      <c r="AE168" s="487">
        <f>G168*'4C2 Open-burning '!$C$10*'4C2 Open-burning '!$C$11*$C$5*G$15</f>
        <v>0</v>
      </c>
      <c r="AF168" s="487">
        <f>H168*'4C2 Open-burning '!$C$10*'4C2 Open-burning '!$C$11*$C$5*H$15</f>
        <v>0</v>
      </c>
      <c r="AG168" s="487">
        <f>I168*'4C2 Open-burning '!$C$10*'4C2 Open-burning '!$C$11*$C$5*I$15</f>
        <v>3.3787848049305548E-2</v>
      </c>
      <c r="AH168" s="488">
        <f t="shared" si="18"/>
        <v>6.9957540131701218E-2</v>
      </c>
      <c r="AI168" s="1388"/>
      <c r="AJ168" s="1388"/>
      <c r="AK168" s="1388"/>
      <c r="AL168" s="4"/>
      <c r="AM168" s="4"/>
    </row>
    <row r="169" spans="1:39">
      <c r="A169" s="959">
        <f>'Input data'!A130</f>
        <v>2030</v>
      </c>
      <c r="B169" s="560">
        <f>'Recycling - Case 3'!AP110</f>
        <v>5.9232841965285256E-2</v>
      </c>
      <c r="C169" s="527">
        <f>$B169*'Recycling - Case 3'!$AK110*'Recycling - Case 3'!BM110</f>
        <v>338.83107576381155</v>
      </c>
      <c r="D169" s="528">
        <f>$B169*'Recycling - Case 3'!$AK110*'Recycling - Case 3'!BN110</f>
        <v>353.87694672949891</v>
      </c>
      <c r="E169" s="528">
        <f>$B169*'Recycling - Case 3'!$AK110*'Recycling - Case 3'!BO110</f>
        <v>96.654537032742255</v>
      </c>
      <c r="F169" s="528">
        <f>$B169*'Recycling - Case 3'!$AK110*'Recycling - Case 3'!BP110</f>
        <v>0</v>
      </c>
      <c r="G169" s="528">
        <f>$B169*'Recycling - Case 3'!$AK110*'Recycling - Case 3'!BQ110</f>
        <v>0</v>
      </c>
      <c r="H169" s="528">
        <f>$B169*'Recycling - Case 3'!$AK110*'Recycling - Case 3'!BR110</f>
        <v>0</v>
      </c>
      <c r="I169" s="528">
        <f>$B169*'Recycling - Case 3'!$AK110*'Recycling - Case 3'!BS110</f>
        <v>377.88603244203728</v>
      </c>
      <c r="J169" s="744">
        <f t="shared" si="19"/>
        <v>1167.2485919680898</v>
      </c>
      <c r="K169" s="106">
        <f>'4C2 Open-burning '!C$14*'4C2 Open-burning '!$C$5*'4C2 Open-burning '!$C$6*'4C2 Open-burning '!$C$7*C169</f>
        <v>0</v>
      </c>
      <c r="L169" s="106">
        <f>'4C2 Open-burning '!D$14*'4C2 Open-burning '!$C$5*'4C2 Open-burning '!$C$6*'4C2 Open-burning '!$C$7*D169</f>
        <v>0</v>
      </c>
      <c r="M169" s="106">
        <f>'4C2 Open-burning '!E$14*'4C2 Open-burning '!$C$5*'4C2 Open-burning '!$C$6*'4C2 Open-burning '!$C$7*E169</f>
        <v>0.51059112351064551</v>
      </c>
      <c r="N169" s="106">
        <f>'4C2 Open-burning '!F$14*'4C2 Open-burning '!$C$5*'4C2 Open-burning '!$C$6*'4C2 Open-burning '!$C$7*F169</f>
        <v>0</v>
      </c>
      <c r="O169" s="106">
        <f>'4C2 Open-burning '!G$14*'4C2 Open-burning '!$C$5*'4C2 Open-burning '!$C$6*'4C2 Open-burning '!$C$7*G169</f>
        <v>0</v>
      </c>
      <c r="P169" s="106">
        <f>'4C2 Open-burning '!H$14*'4C2 Open-burning '!$C$5*'4C2 Open-burning '!$C$6*'4C2 Open-burning '!$C$7*H169</f>
        <v>0</v>
      </c>
      <c r="Q169" s="106">
        <f>'4C2 Open-burning '!I$14*'4C2 Open-burning '!$C$5*'4C2 Open-burning '!$C$6*'4C2 Open-burning '!$C$7*I169</f>
        <v>13.018929589693068</v>
      </c>
      <c r="R169" s="1384">
        <f t="shared" si="16"/>
        <v>13.529520713203713</v>
      </c>
      <c r="S169" s="484">
        <f>C169*'4C2 Open-burning '!$C$9*'4C2 Open-burning '!$C$11*$C$5</f>
        <v>1.3214411954788652</v>
      </c>
      <c r="T169" s="485">
        <f>D169*'4C2 Open-burning '!$C$9*'4C2 Open-burning '!$C$11*$C$5</f>
        <v>1.3801200922450456</v>
      </c>
      <c r="U169" s="485">
        <f>E169*'4C2 Open-burning '!$C$9*'4C2 Open-burning '!$C$11*$C$5</f>
        <v>0.37695269442769475</v>
      </c>
      <c r="V169" s="485">
        <f>F169*'4C2 Open-burning '!$C$9*'4C2 Open-burning '!$C$11*$C$5</f>
        <v>0</v>
      </c>
      <c r="W169" s="485">
        <f>G169*'4C2 Open-burning '!$C$9*'4C2 Open-burning '!$C$11*$C$5</f>
        <v>0</v>
      </c>
      <c r="X169" s="485">
        <f>H169*'4C2 Open-burning '!$C$9*'4C2 Open-burning '!$C$11*$C$5</f>
        <v>0</v>
      </c>
      <c r="Y169" s="485">
        <f>I169*'4C2 Open-burning '!$C$9*'4C2 Open-burning '!$C$11*$C$5</f>
        <v>1.4737555265239453</v>
      </c>
      <c r="Z169" s="486">
        <f t="shared" si="17"/>
        <v>4.5522695086755505</v>
      </c>
      <c r="AA169" s="1630">
        <f>C169*'4C2 Open-burning '!$C$10*'4C2 Open-burning '!$C$11*$C$5*C$15</f>
        <v>1.2197918727497216E-2</v>
      </c>
      <c r="AB169" s="487">
        <f>D169*'4C2 Open-burning '!$C$10*'4C2 Open-burning '!$C$11*$C$5*D$15</f>
        <v>1.2739570082261962E-2</v>
      </c>
      <c r="AC169" s="487">
        <f>E169*'4C2 Open-burning '!$C$10*'4C2 Open-burning '!$C$11*$C$5*E$15</f>
        <v>7.8290174996521224E-3</v>
      </c>
      <c r="AD169" s="487">
        <f>F169*'4C2 Open-burning '!$C$10*'4C2 Open-burning '!$C$11*$C$5*F$15</f>
        <v>0</v>
      </c>
      <c r="AE169" s="487">
        <f>G169*'4C2 Open-burning '!$C$10*'4C2 Open-burning '!$C$11*$C$5*G$15</f>
        <v>0</v>
      </c>
      <c r="AF169" s="487">
        <f>H169*'4C2 Open-burning '!$C$10*'4C2 Open-burning '!$C$11*$C$5*H$15</f>
        <v>0</v>
      </c>
      <c r="AG169" s="487">
        <f>I169*'4C2 Open-burning '!$C$10*'4C2 Open-burning '!$C$11*$C$5*I$15</f>
        <v>3.0608768627805014E-2</v>
      </c>
      <c r="AH169" s="488">
        <f t="shared" si="18"/>
        <v>6.3375274937216314E-2</v>
      </c>
      <c r="AI169" s="1388"/>
      <c r="AJ169" s="1388"/>
      <c r="AK169" s="1388"/>
      <c r="AL169" s="4"/>
      <c r="AM169" s="4"/>
    </row>
    <row r="170" spans="1:39">
      <c r="A170" s="959">
        <f>'Input data'!A131</f>
        <v>2031</v>
      </c>
      <c r="B170" s="560">
        <f>'Recycling - Case 3'!AP111</f>
        <v>5.3303987081268309E-2</v>
      </c>
      <c r="C170" s="527">
        <f>$B170*'Recycling - Case 3'!$AK111*'Recycling - Case 3'!BM111</f>
        <v>298.82604241262334</v>
      </c>
      <c r="D170" s="528">
        <f>$B170*'Recycling - Case 3'!$AK111*'Recycling - Case 3'!BN111</f>
        <v>312.09548077565427</v>
      </c>
      <c r="E170" s="528">
        <f>$B170*'Recycling - Case 3'!$AK111*'Recycling - Case 3'!BO111</f>
        <v>85.242750292632735</v>
      </c>
      <c r="F170" s="528">
        <f>$B170*'Recycling - Case 3'!$AK111*'Recycling - Case 3'!BP111</f>
        <v>0</v>
      </c>
      <c r="G170" s="528">
        <f>$B170*'Recycling - Case 3'!$AK111*'Recycling - Case 3'!BQ111</f>
        <v>0</v>
      </c>
      <c r="H170" s="528">
        <f>$B170*'Recycling - Case 3'!$AK111*'Recycling - Case 3'!BR111</f>
        <v>0</v>
      </c>
      <c r="I170" s="528">
        <f>$B170*'Recycling - Case 3'!$AK111*'Recycling - Case 3'!BS111</f>
        <v>333.26986700705311</v>
      </c>
      <c r="J170" s="744">
        <f t="shared" si="19"/>
        <v>1029.4341404879635</v>
      </c>
      <c r="K170" s="106">
        <f>'4C2 Open-burning '!C$14*'4C2 Open-burning '!$C$5*'4C2 Open-burning '!$C$6*'4C2 Open-burning '!$C$7*C170</f>
        <v>0</v>
      </c>
      <c r="L170" s="106">
        <f>'4C2 Open-burning '!D$14*'4C2 Open-burning '!$C$5*'4C2 Open-burning '!$C$6*'4C2 Open-burning '!$C$7*D170</f>
        <v>0</v>
      </c>
      <c r="M170" s="106">
        <f>'4C2 Open-burning '!E$14*'4C2 Open-burning '!$C$5*'4C2 Open-burning '!$C$6*'4C2 Open-burning '!$C$7*E170</f>
        <v>0.45030676240587336</v>
      </c>
      <c r="N170" s="106">
        <f>'4C2 Open-burning '!F$14*'4C2 Open-burning '!$C$5*'4C2 Open-burning '!$C$6*'4C2 Open-burning '!$C$7*F170</f>
        <v>0</v>
      </c>
      <c r="O170" s="106">
        <f>'4C2 Open-burning '!G$14*'4C2 Open-burning '!$C$5*'4C2 Open-burning '!$C$6*'4C2 Open-burning '!$C$7*G170</f>
        <v>0</v>
      </c>
      <c r="P170" s="106">
        <f>'4C2 Open-burning '!H$14*'4C2 Open-burning '!$C$5*'4C2 Open-burning '!$C$6*'4C2 Open-burning '!$C$7*H170</f>
        <v>0</v>
      </c>
      <c r="Q170" s="106">
        <f>'4C2 Open-burning '!I$14*'4C2 Open-burning '!$C$5*'4C2 Open-burning '!$C$6*'4C2 Open-burning '!$C$7*I170</f>
        <v>11.481813458126993</v>
      </c>
      <c r="R170" s="1384">
        <f t="shared" si="16"/>
        <v>11.932120220532866</v>
      </c>
      <c r="S170" s="484">
        <f>C170*'4C2 Open-burning '!$C$9*'4C2 Open-burning '!$C$11*$C$5</f>
        <v>1.165421565409231</v>
      </c>
      <c r="T170" s="485">
        <f>D170*'4C2 Open-burning '!$C$9*'4C2 Open-burning '!$C$11*$C$5</f>
        <v>1.2171723750250516</v>
      </c>
      <c r="U170" s="485">
        <f>E170*'4C2 Open-burning '!$C$9*'4C2 Open-burning '!$C$11*$C$5</f>
        <v>0.33244672614126763</v>
      </c>
      <c r="V170" s="485">
        <f>F170*'4C2 Open-burning '!$C$9*'4C2 Open-burning '!$C$11*$C$5</f>
        <v>0</v>
      </c>
      <c r="W170" s="485">
        <f>G170*'4C2 Open-burning '!$C$9*'4C2 Open-burning '!$C$11*$C$5</f>
        <v>0</v>
      </c>
      <c r="X170" s="485">
        <f>H170*'4C2 Open-burning '!$C$9*'4C2 Open-burning '!$C$11*$C$5</f>
        <v>0</v>
      </c>
      <c r="Y170" s="485">
        <f>I170*'4C2 Open-burning '!$C$9*'4C2 Open-burning '!$C$11*$C$5</f>
        <v>1.299752481327507</v>
      </c>
      <c r="Z170" s="486">
        <f t="shared" si="17"/>
        <v>4.014793147903057</v>
      </c>
      <c r="AA170" s="1630">
        <f>C170*'4C2 Open-burning '!$C$10*'4C2 Open-burning '!$C$11*$C$5*C$15</f>
        <v>1.075773752685444E-2</v>
      </c>
      <c r="AB170" s="487">
        <f>D170*'4C2 Open-burning '!$C$10*'4C2 Open-burning '!$C$11*$C$5*D$15</f>
        <v>1.1235437307923554E-2</v>
      </c>
      <c r="AC170" s="487">
        <f>E170*'4C2 Open-burning '!$C$10*'4C2 Open-burning '!$C$11*$C$5*E$15</f>
        <v>6.9046627737032514E-3</v>
      </c>
      <c r="AD170" s="487">
        <f>F170*'4C2 Open-burning '!$C$10*'4C2 Open-burning '!$C$11*$C$5*F$15</f>
        <v>0</v>
      </c>
      <c r="AE170" s="487">
        <f>G170*'4C2 Open-burning '!$C$10*'4C2 Open-burning '!$C$11*$C$5*G$15</f>
        <v>0</v>
      </c>
      <c r="AF170" s="487">
        <f>H170*'4C2 Open-burning '!$C$10*'4C2 Open-burning '!$C$11*$C$5*H$15</f>
        <v>0</v>
      </c>
      <c r="AG170" s="487">
        <f>I170*'4C2 Open-burning '!$C$10*'4C2 Open-burning '!$C$11*$C$5*I$15</f>
        <v>2.6994859227571302E-2</v>
      </c>
      <c r="AH170" s="488">
        <f t="shared" si="18"/>
        <v>5.5892696836052552E-2</v>
      </c>
      <c r="AI170" s="1388"/>
      <c r="AJ170" s="1388"/>
      <c r="AK170" s="1388"/>
      <c r="AL170" s="4"/>
      <c r="AM170" s="4"/>
    </row>
    <row r="171" spans="1:39">
      <c r="A171" s="959">
        <f>'Input data'!A132</f>
        <v>2032</v>
      </c>
      <c r="B171" s="560">
        <f>'Recycling - Case 3'!AP112</f>
        <v>4.7169902017933425E-2</v>
      </c>
      <c r="C171" s="527">
        <f>$B171*'Recycling - Case 3'!$AK112*'Recycling - Case 3'!BM112</f>
        <v>259.06958659317866</v>
      </c>
      <c r="D171" s="528">
        <f>$B171*'Recycling - Case 3'!$AK112*'Recycling - Case 3'!BN112</f>
        <v>270.57363049537389</v>
      </c>
      <c r="E171" s="528">
        <f>$B171*'Recycling - Case 3'!$AK112*'Recycling - Case 3'!BO112</f>
        <v>73.90187247430157</v>
      </c>
      <c r="F171" s="528">
        <f>$B171*'Recycling - Case 3'!$AK112*'Recycling - Case 3'!BP112</f>
        <v>0</v>
      </c>
      <c r="G171" s="528">
        <f>$B171*'Recycling - Case 3'!$AK112*'Recycling - Case 3'!BQ112</f>
        <v>0</v>
      </c>
      <c r="H171" s="528">
        <f>$B171*'Recycling - Case 3'!$AK112*'Recycling - Case 3'!BR112</f>
        <v>0</v>
      </c>
      <c r="I171" s="528">
        <f>$B171*'Recycling - Case 3'!$AK112*'Recycling - Case 3'!BS112</f>
        <v>288.93093109422244</v>
      </c>
      <c r="J171" s="744">
        <f t="shared" si="19"/>
        <v>892.47602065707656</v>
      </c>
      <c r="K171" s="106">
        <f>'4C2 Open-burning '!C$14*'4C2 Open-burning '!$C$5*'4C2 Open-burning '!$C$6*'4C2 Open-burning '!$C$7*C171</f>
        <v>0</v>
      </c>
      <c r="L171" s="106">
        <f>'4C2 Open-burning '!D$14*'4C2 Open-burning '!$C$5*'4C2 Open-burning '!$C$6*'4C2 Open-burning '!$C$7*D171</f>
        <v>0</v>
      </c>
      <c r="M171" s="106">
        <f>'4C2 Open-burning '!E$14*'4C2 Open-burning '!$C$5*'4C2 Open-burning '!$C$6*'4C2 Open-burning '!$C$7*E171</f>
        <v>0.39039698760764446</v>
      </c>
      <c r="N171" s="106">
        <f>'4C2 Open-burning '!F$14*'4C2 Open-burning '!$C$5*'4C2 Open-burning '!$C$6*'4C2 Open-burning '!$C$7*F171</f>
        <v>0</v>
      </c>
      <c r="O171" s="106">
        <f>'4C2 Open-burning '!G$14*'4C2 Open-burning '!$C$5*'4C2 Open-burning '!$C$6*'4C2 Open-burning '!$C$7*G171</f>
        <v>0</v>
      </c>
      <c r="P171" s="106">
        <f>'4C2 Open-burning '!H$14*'4C2 Open-burning '!$C$5*'4C2 Open-burning '!$C$6*'4C2 Open-burning '!$C$7*H171</f>
        <v>0</v>
      </c>
      <c r="Q171" s="106">
        <f>'4C2 Open-burning '!I$14*'4C2 Open-burning '!$C$5*'4C2 Open-burning '!$C$6*'4C2 Open-burning '!$C$7*I171</f>
        <v>9.9542484380581513</v>
      </c>
      <c r="R171" s="1384">
        <f t="shared" si="16"/>
        <v>10.344645425665796</v>
      </c>
      <c r="S171" s="484">
        <f>C171*'4C2 Open-burning '!$C$9*'4C2 Open-burning '!$C$11*$C$5</f>
        <v>1.0103713877133966</v>
      </c>
      <c r="T171" s="485">
        <f>D171*'4C2 Open-burning '!$C$9*'4C2 Open-burning '!$C$11*$C$5</f>
        <v>1.055237158931958</v>
      </c>
      <c r="U171" s="485">
        <f>E171*'4C2 Open-burning '!$C$9*'4C2 Open-burning '!$C$11*$C$5</f>
        <v>0.28821730264977613</v>
      </c>
      <c r="V171" s="485">
        <f>F171*'4C2 Open-burning '!$C$9*'4C2 Open-burning '!$C$11*$C$5</f>
        <v>0</v>
      </c>
      <c r="W171" s="485">
        <f>G171*'4C2 Open-burning '!$C$9*'4C2 Open-burning '!$C$11*$C$5</f>
        <v>0</v>
      </c>
      <c r="X171" s="485">
        <f>H171*'4C2 Open-burning '!$C$9*'4C2 Open-burning '!$C$11*$C$5</f>
        <v>0</v>
      </c>
      <c r="Y171" s="485">
        <f>I171*'4C2 Open-burning '!$C$9*'4C2 Open-burning '!$C$11*$C$5</f>
        <v>1.1268306312674674</v>
      </c>
      <c r="Z171" s="486">
        <f t="shared" si="17"/>
        <v>3.4806564805625984</v>
      </c>
      <c r="AA171" s="1630">
        <f>C171*'4C2 Open-burning '!$C$10*'4C2 Open-burning '!$C$11*$C$5*C$15</f>
        <v>9.3265051173544306E-3</v>
      </c>
      <c r="AB171" s="487">
        <f>D171*'4C2 Open-burning '!$C$10*'4C2 Open-burning '!$C$11*$C$5*D$15</f>
        <v>9.7406506978334612E-3</v>
      </c>
      <c r="AC171" s="487">
        <f>E171*'4C2 Open-burning '!$C$10*'4C2 Open-burning '!$C$11*$C$5*E$15</f>
        <v>5.9860516704184265E-3</v>
      </c>
      <c r="AD171" s="487">
        <f>F171*'4C2 Open-burning '!$C$10*'4C2 Open-burning '!$C$11*$C$5*F$15</f>
        <v>0</v>
      </c>
      <c r="AE171" s="487">
        <f>G171*'4C2 Open-burning '!$C$10*'4C2 Open-burning '!$C$11*$C$5*G$15</f>
        <v>0</v>
      </c>
      <c r="AF171" s="487">
        <f>H171*'4C2 Open-burning '!$C$10*'4C2 Open-burning '!$C$11*$C$5*H$15</f>
        <v>0</v>
      </c>
      <c r="AG171" s="487">
        <f>I171*'4C2 Open-burning '!$C$10*'4C2 Open-burning '!$C$11*$C$5*I$15</f>
        <v>2.3403405418632013E-2</v>
      </c>
      <c r="AH171" s="488">
        <f t="shared" si="18"/>
        <v>4.8456612904238333E-2</v>
      </c>
      <c r="AI171" s="1388"/>
      <c r="AJ171" s="1388"/>
      <c r="AK171" s="1388"/>
      <c r="AL171" s="4"/>
      <c r="AM171" s="4"/>
    </row>
    <row r="172" spans="1:39">
      <c r="A172" s="959">
        <f>'Input data'!A133</f>
        <v>2033</v>
      </c>
      <c r="B172" s="560">
        <f>'Recycling - Case 3'!AP113</f>
        <v>4.6838844603991521E-2</v>
      </c>
      <c r="C172" s="527">
        <f>$B172*'Recycling - Case 3'!$AK113*'Recycling - Case 3'!BM113</f>
        <v>258.30163348813284</v>
      </c>
      <c r="D172" s="528">
        <f>$B172*'Recycling - Case 3'!$AK113*'Recycling - Case 3'!BN113</f>
        <v>269.77157625807456</v>
      </c>
      <c r="E172" s="528">
        <f>$B172*'Recycling - Case 3'!$AK113*'Recycling - Case 3'!BO113</f>
        <v>73.682807113594208</v>
      </c>
      <c r="F172" s="528">
        <f>$B172*'Recycling - Case 3'!$AK113*'Recycling - Case 3'!BP113</f>
        <v>0</v>
      </c>
      <c r="G172" s="528">
        <f>$B172*'Recycling - Case 3'!$AK113*'Recycling - Case 3'!BQ113</f>
        <v>0</v>
      </c>
      <c r="H172" s="528">
        <f>$B172*'Recycling - Case 3'!$AK113*'Recycling - Case 3'!BR113</f>
        <v>0</v>
      </c>
      <c r="I172" s="528">
        <f>$B172*'Recycling - Case 3'!$AK113*'Recycling - Case 3'!BS113</f>
        <v>288.0744607975912</v>
      </c>
      <c r="J172" s="744">
        <f t="shared" si="19"/>
        <v>889.83047765739275</v>
      </c>
      <c r="K172" s="106">
        <f>'4C2 Open-burning '!C$14*'4C2 Open-burning '!$C$5*'4C2 Open-burning '!$C$6*'4C2 Open-burning '!$C$7*C172</f>
        <v>0</v>
      </c>
      <c r="L172" s="106">
        <f>'4C2 Open-burning '!D$14*'4C2 Open-burning '!$C$5*'4C2 Open-burning '!$C$6*'4C2 Open-burning '!$C$7*D172</f>
        <v>0</v>
      </c>
      <c r="M172" s="106">
        <f>'4C2 Open-burning '!E$14*'4C2 Open-burning '!$C$5*'4C2 Open-burning '!$C$6*'4C2 Open-burning '!$C$7*E172</f>
        <v>0.38923974417055729</v>
      </c>
      <c r="N172" s="106">
        <f>'4C2 Open-burning '!F$14*'4C2 Open-burning '!$C$5*'4C2 Open-burning '!$C$6*'4C2 Open-burning '!$C$7*F172</f>
        <v>0</v>
      </c>
      <c r="O172" s="106">
        <f>'4C2 Open-burning '!G$14*'4C2 Open-burning '!$C$5*'4C2 Open-burning '!$C$6*'4C2 Open-burning '!$C$7*G172</f>
        <v>0</v>
      </c>
      <c r="P172" s="106">
        <f>'4C2 Open-burning '!H$14*'4C2 Open-burning '!$C$5*'4C2 Open-burning '!$C$6*'4C2 Open-burning '!$C$7*H172</f>
        <v>0</v>
      </c>
      <c r="Q172" s="106">
        <f>'4C2 Open-burning '!I$14*'4C2 Open-burning '!$C$5*'4C2 Open-burning '!$C$6*'4C2 Open-burning '!$C$7*I172</f>
        <v>9.9247413233986101</v>
      </c>
      <c r="R172" s="1384">
        <f t="shared" si="16"/>
        <v>10.313981067569168</v>
      </c>
      <c r="S172" s="484">
        <f>C172*'4C2 Open-burning '!$C$9*'4C2 Open-burning '!$C$11*$C$5</f>
        <v>1.007376370603718</v>
      </c>
      <c r="T172" s="485">
        <f>D172*'4C2 Open-burning '!$C$9*'4C2 Open-burning '!$C$11*$C$5</f>
        <v>1.0521091474064908</v>
      </c>
      <c r="U172" s="485">
        <f>E172*'4C2 Open-burning '!$C$9*'4C2 Open-burning '!$C$11*$C$5</f>
        <v>0.28736294774301735</v>
      </c>
      <c r="V172" s="485">
        <f>F172*'4C2 Open-burning '!$C$9*'4C2 Open-burning '!$C$11*$C$5</f>
        <v>0</v>
      </c>
      <c r="W172" s="485">
        <f>G172*'4C2 Open-burning '!$C$9*'4C2 Open-burning '!$C$11*$C$5</f>
        <v>0</v>
      </c>
      <c r="X172" s="485">
        <f>H172*'4C2 Open-burning '!$C$9*'4C2 Open-burning '!$C$11*$C$5</f>
        <v>0</v>
      </c>
      <c r="Y172" s="485">
        <f>I172*'4C2 Open-burning '!$C$9*'4C2 Open-burning '!$C$11*$C$5</f>
        <v>1.1234903971106056</v>
      </c>
      <c r="Z172" s="486">
        <f t="shared" si="17"/>
        <v>3.4703388628638314</v>
      </c>
      <c r="AA172" s="1630">
        <f>C172*'4C2 Open-burning '!$C$10*'4C2 Open-burning '!$C$11*$C$5*C$15</f>
        <v>9.2988588055727805E-3</v>
      </c>
      <c r="AB172" s="487">
        <f>D172*'4C2 Open-burning '!$C$10*'4C2 Open-burning '!$C$11*$C$5*D$15</f>
        <v>9.7117767452906834E-3</v>
      </c>
      <c r="AC172" s="487">
        <f>E172*'4C2 Open-burning '!$C$10*'4C2 Open-burning '!$C$11*$C$5*E$15</f>
        <v>5.968307376201131E-3</v>
      </c>
      <c r="AD172" s="487">
        <f>F172*'4C2 Open-burning '!$C$10*'4C2 Open-burning '!$C$11*$C$5*F$15</f>
        <v>0</v>
      </c>
      <c r="AE172" s="487">
        <f>G172*'4C2 Open-burning '!$C$10*'4C2 Open-burning '!$C$11*$C$5*G$15</f>
        <v>0</v>
      </c>
      <c r="AF172" s="487">
        <f>H172*'4C2 Open-burning '!$C$10*'4C2 Open-burning '!$C$11*$C$5*H$15</f>
        <v>0</v>
      </c>
      <c r="AG172" s="487">
        <f>I172*'4C2 Open-burning '!$C$10*'4C2 Open-burning '!$C$11*$C$5*I$15</f>
        <v>2.333403132460489E-2</v>
      </c>
      <c r="AH172" s="488">
        <f t="shared" si="18"/>
        <v>4.8312974251669485E-2</v>
      </c>
      <c r="AI172" s="1388"/>
      <c r="AJ172" s="1388"/>
      <c r="AK172" s="1388"/>
      <c r="AL172" s="4"/>
      <c r="AM172" s="4"/>
    </row>
    <row r="173" spans="1:39">
      <c r="A173" s="959">
        <f>'Input data'!A134</f>
        <v>2034</v>
      </c>
      <c r="B173" s="560">
        <f>'Recycling - Case 3'!AP114</f>
        <v>4.6510696882263718E-2</v>
      </c>
      <c r="C173" s="527">
        <f>$B173*'Recycling - Case 3'!$AK114*'Recycling - Case 3'!BM114</f>
        <v>257.54466088971469</v>
      </c>
      <c r="D173" s="528">
        <f>$B173*'Recycling - Case 3'!$AK114*'Recycling - Case 3'!BN114</f>
        <v>268.98099011929656</v>
      </c>
      <c r="E173" s="528">
        <f>$B173*'Recycling - Case 3'!$AK114*'Recycling - Case 3'!BO114</f>
        <v>73.466874038737828</v>
      </c>
      <c r="F173" s="528">
        <f>$B173*'Recycling - Case 3'!$AK114*'Recycling - Case 3'!BP114</f>
        <v>0</v>
      </c>
      <c r="G173" s="528">
        <f>$B173*'Recycling - Case 3'!$AK114*'Recycling - Case 3'!BQ114</f>
        <v>0</v>
      </c>
      <c r="H173" s="528">
        <f>$B173*'Recycling - Case 3'!$AK114*'Recycling - Case 3'!BR114</f>
        <v>0</v>
      </c>
      <c r="I173" s="528">
        <f>$B173*'Recycling - Case 3'!$AK114*'Recycling - Case 3'!BS114</f>
        <v>287.23023666248571</v>
      </c>
      <c r="J173" s="744">
        <f t="shared" si="19"/>
        <v>887.22276171023475</v>
      </c>
      <c r="K173" s="106">
        <f>'4C2 Open-burning '!C$14*'4C2 Open-burning '!$C$5*'4C2 Open-burning '!$C$6*'4C2 Open-burning '!$C$7*C173</f>
        <v>0</v>
      </c>
      <c r="L173" s="106">
        <f>'4C2 Open-burning '!D$14*'4C2 Open-burning '!$C$5*'4C2 Open-burning '!$C$6*'4C2 Open-burning '!$C$7*D173</f>
        <v>0</v>
      </c>
      <c r="M173" s="106">
        <f>'4C2 Open-burning '!E$14*'4C2 Open-burning '!$C$5*'4C2 Open-burning '!$C$6*'4C2 Open-burning '!$C$7*E173</f>
        <v>0.38809904747199797</v>
      </c>
      <c r="N173" s="106">
        <f>'4C2 Open-burning '!F$14*'4C2 Open-burning '!$C$5*'4C2 Open-burning '!$C$6*'4C2 Open-burning '!$C$7*F173</f>
        <v>0</v>
      </c>
      <c r="O173" s="106">
        <f>'4C2 Open-burning '!G$14*'4C2 Open-burning '!$C$5*'4C2 Open-burning '!$C$6*'4C2 Open-burning '!$C$7*G173</f>
        <v>0</v>
      </c>
      <c r="P173" s="106">
        <f>'4C2 Open-burning '!H$14*'4C2 Open-burning '!$C$5*'4C2 Open-burning '!$C$6*'4C2 Open-burning '!$C$7*H173</f>
        <v>0</v>
      </c>
      <c r="Q173" s="106">
        <f>'4C2 Open-burning '!I$14*'4C2 Open-burning '!$C$5*'4C2 Open-burning '!$C$6*'4C2 Open-burning '!$C$7*I173</f>
        <v>9.8956561134959564</v>
      </c>
      <c r="R173" s="1384">
        <f t="shared" si="16"/>
        <v>10.283755160967955</v>
      </c>
      <c r="S173" s="484">
        <f>C173*'4C2 Open-burning '!$C$9*'4C2 Open-burning '!$C$11*$C$5</f>
        <v>1.0044241774698872</v>
      </c>
      <c r="T173" s="485">
        <f>D173*'4C2 Open-burning '!$C$9*'4C2 Open-burning '!$C$11*$C$5</f>
        <v>1.0490258614652563</v>
      </c>
      <c r="U173" s="485">
        <f>E173*'4C2 Open-burning '!$C$9*'4C2 Open-burning '!$C$11*$C$5</f>
        <v>0.28652080875107749</v>
      </c>
      <c r="V173" s="485">
        <f>F173*'4C2 Open-burning '!$C$9*'4C2 Open-burning '!$C$11*$C$5</f>
        <v>0</v>
      </c>
      <c r="W173" s="485">
        <f>G173*'4C2 Open-burning '!$C$9*'4C2 Open-burning '!$C$11*$C$5</f>
        <v>0</v>
      </c>
      <c r="X173" s="485">
        <f>H173*'4C2 Open-burning '!$C$9*'4C2 Open-burning '!$C$11*$C$5</f>
        <v>0</v>
      </c>
      <c r="Y173" s="485">
        <f>I173*'4C2 Open-burning '!$C$9*'4C2 Open-burning '!$C$11*$C$5</f>
        <v>1.1201979229836942</v>
      </c>
      <c r="Z173" s="486">
        <f t="shared" si="17"/>
        <v>3.4601687706699158</v>
      </c>
      <c r="AA173" s="1630">
        <f>C173*'4C2 Open-burning '!$C$10*'4C2 Open-burning '!$C$11*$C$5*C$15</f>
        <v>9.2716077920297277E-3</v>
      </c>
      <c r="AB173" s="487">
        <f>D173*'4C2 Open-burning '!$C$10*'4C2 Open-burning '!$C$11*$C$5*D$15</f>
        <v>9.6833156442946763E-3</v>
      </c>
      <c r="AC173" s="487">
        <f>E173*'4C2 Open-burning '!$C$10*'4C2 Open-burning '!$C$11*$C$5*E$15</f>
        <v>5.950816797137764E-3</v>
      </c>
      <c r="AD173" s="487">
        <f>F173*'4C2 Open-burning '!$C$10*'4C2 Open-burning '!$C$11*$C$5*F$15</f>
        <v>0</v>
      </c>
      <c r="AE173" s="487">
        <f>G173*'4C2 Open-burning '!$C$10*'4C2 Open-burning '!$C$11*$C$5*G$15</f>
        <v>0</v>
      </c>
      <c r="AF173" s="487">
        <f>H173*'4C2 Open-burning '!$C$10*'4C2 Open-burning '!$C$11*$C$5*H$15</f>
        <v>0</v>
      </c>
      <c r="AG173" s="487">
        <f>I173*'4C2 Open-burning '!$C$10*'4C2 Open-burning '!$C$11*$C$5*I$15</f>
        <v>2.326564916966134E-2</v>
      </c>
      <c r="AH173" s="488">
        <f t="shared" si="18"/>
        <v>4.8171389403123509E-2</v>
      </c>
      <c r="AI173" s="1388"/>
      <c r="AJ173" s="1388"/>
      <c r="AK173" s="1388"/>
      <c r="AL173" s="4"/>
      <c r="AM173" s="4"/>
    </row>
    <row r="174" spans="1:39">
      <c r="A174" s="959">
        <f>'Input data'!A135</f>
        <v>2035</v>
      </c>
      <c r="B174" s="560">
        <f>'Recycling - Case 3'!AP115</f>
        <v>4.6185410753871683E-2</v>
      </c>
      <c r="C174" s="527">
        <f>$B174*'Recycling - Case 3'!$AK115*'Recycling - Case 3'!BM115</f>
        <v>256.79846171705356</v>
      </c>
      <c r="D174" s="528">
        <f>$B174*'Recycling - Case 3'!$AK115*'Recycling - Case 3'!BN115</f>
        <v>268.20165580269605</v>
      </c>
      <c r="E174" s="528">
        <f>$B174*'Recycling - Case 3'!$AK115*'Recycling - Case 3'!BO115</f>
        <v>73.25401417809725</v>
      </c>
      <c r="F174" s="528">
        <f>$B174*'Recycling - Case 3'!$AK115*'Recycling - Case 3'!BP115</f>
        <v>0</v>
      </c>
      <c r="G174" s="528">
        <f>$B174*'Recycling - Case 3'!$AK115*'Recycling - Case 3'!BQ115</f>
        <v>0</v>
      </c>
      <c r="H174" s="528">
        <f>$B174*'Recycling - Case 3'!$AK115*'Recycling - Case 3'!BR115</f>
        <v>0</v>
      </c>
      <c r="I174" s="528">
        <f>$B174*'Recycling - Case 3'!$AK115*'Recycling - Case 3'!BS115</f>
        <v>286.39802773910759</v>
      </c>
      <c r="J174" s="744">
        <f t="shared" si="19"/>
        <v>884.65215943695443</v>
      </c>
      <c r="K174" s="106">
        <f>'4C2 Open-burning '!C$14*'4C2 Open-burning '!$C$5*'4C2 Open-burning '!$C$6*'4C2 Open-burning '!$C$7*C174</f>
        <v>0</v>
      </c>
      <c r="L174" s="106">
        <f>'4C2 Open-burning '!D$14*'4C2 Open-burning '!$C$5*'4C2 Open-burning '!$C$6*'4C2 Open-burning '!$C$7*D174</f>
        <v>0</v>
      </c>
      <c r="M174" s="106">
        <f>'4C2 Open-burning '!E$14*'4C2 Open-burning '!$C$5*'4C2 Open-burning '!$C$6*'4C2 Open-burning '!$C$7*E174</f>
        <v>0.38697458545778363</v>
      </c>
      <c r="N174" s="106">
        <f>'4C2 Open-burning '!F$14*'4C2 Open-burning '!$C$5*'4C2 Open-burning '!$C$6*'4C2 Open-burning '!$C$7*F174</f>
        <v>0</v>
      </c>
      <c r="O174" s="106">
        <f>'4C2 Open-burning '!G$14*'4C2 Open-burning '!$C$5*'4C2 Open-burning '!$C$6*'4C2 Open-burning '!$C$7*G174</f>
        <v>0</v>
      </c>
      <c r="P174" s="106">
        <f>'4C2 Open-burning '!H$14*'4C2 Open-burning '!$C$5*'4C2 Open-burning '!$C$6*'4C2 Open-burning '!$C$7*H174</f>
        <v>0</v>
      </c>
      <c r="Q174" s="106">
        <f>'4C2 Open-burning '!I$14*'4C2 Open-burning '!$C$5*'4C2 Open-burning '!$C$6*'4C2 Open-burning '!$C$7*I174</f>
        <v>9.8669848516677341</v>
      </c>
      <c r="R174" s="1384">
        <f t="shared" si="16"/>
        <v>10.253959437125518</v>
      </c>
      <c r="S174" s="484">
        <f>C174*'4C2 Open-burning '!$C$9*'4C2 Open-burning '!$C$11*$C$5</f>
        <v>1.0015140006965089</v>
      </c>
      <c r="T174" s="485">
        <f>D174*'4C2 Open-burning '!$C$9*'4C2 Open-burning '!$C$11*$C$5</f>
        <v>1.0459864576305145</v>
      </c>
      <c r="U174" s="485">
        <f>E174*'4C2 Open-burning '!$C$9*'4C2 Open-burning '!$C$11*$C$5</f>
        <v>0.28569065529457921</v>
      </c>
      <c r="V174" s="485">
        <f>F174*'4C2 Open-burning '!$C$9*'4C2 Open-burning '!$C$11*$C$5</f>
        <v>0</v>
      </c>
      <c r="W174" s="485">
        <f>G174*'4C2 Open-burning '!$C$9*'4C2 Open-burning '!$C$11*$C$5</f>
        <v>0</v>
      </c>
      <c r="X174" s="485">
        <f>H174*'4C2 Open-burning '!$C$9*'4C2 Open-burning '!$C$11*$C$5</f>
        <v>0</v>
      </c>
      <c r="Y174" s="485">
        <f>I174*'4C2 Open-burning '!$C$9*'4C2 Open-burning '!$C$11*$C$5</f>
        <v>1.1169523081825194</v>
      </c>
      <c r="Z174" s="486">
        <f t="shared" si="17"/>
        <v>3.450143421804122</v>
      </c>
      <c r="AA174" s="1630">
        <f>C174*'4C2 Open-burning '!$C$10*'4C2 Open-burning '!$C$11*$C$5*C$15</f>
        <v>9.2447446218139277E-3</v>
      </c>
      <c r="AB174" s="487">
        <f>D174*'4C2 Open-burning '!$C$10*'4C2 Open-burning '!$C$11*$C$5*D$15</f>
        <v>9.6552596088970571E-3</v>
      </c>
      <c r="AC174" s="487">
        <f>E174*'4C2 Open-burning '!$C$10*'4C2 Open-burning '!$C$11*$C$5*E$15</f>
        <v>5.9335751484258775E-3</v>
      </c>
      <c r="AD174" s="487">
        <f>F174*'4C2 Open-burning '!$C$10*'4C2 Open-burning '!$C$11*$C$5*F$15</f>
        <v>0</v>
      </c>
      <c r="AE174" s="487">
        <f>G174*'4C2 Open-burning '!$C$10*'4C2 Open-burning '!$C$11*$C$5*G$15</f>
        <v>0</v>
      </c>
      <c r="AF174" s="487">
        <f>H174*'4C2 Open-burning '!$C$10*'4C2 Open-burning '!$C$11*$C$5*H$15</f>
        <v>0</v>
      </c>
      <c r="AG174" s="487">
        <f>I174*'4C2 Open-burning '!$C$10*'4C2 Open-burning '!$C$11*$C$5*I$15</f>
        <v>2.3198240246867712E-2</v>
      </c>
      <c r="AH174" s="488">
        <f t="shared" si="18"/>
        <v>4.8031819626004571E-2</v>
      </c>
      <c r="AI174" s="1388"/>
      <c r="AJ174" s="1388"/>
      <c r="AK174" s="1388"/>
      <c r="AL174" s="4"/>
      <c r="AM174" s="4"/>
    </row>
    <row r="175" spans="1:39">
      <c r="A175" s="959">
        <f>'Input data'!A136</f>
        <v>2036</v>
      </c>
      <c r="B175" s="560">
        <f>'Recycling - Case 3'!AP116</f>
        <v>4.5908441368712229E-2</v>
      </c>
      <c r="C175" s="527">
        <f>$B175*'Recycling - Case 3'!$AK116*'Recycling - Case 3'!BM116</f>
        <v>256.16638525188546</v>
      </c>
      <c r="D175" s="528">
        <f>$B175*'Recycling - Case 3'!$AK116*'Recycling - Case 3'!BN116</f>
        <v>267.54151183836512</v>
      </c>
      <c r="E175" s="528">
        <f>$B175*'Recycling - Case 3'!$AK116*'Recycling - Case 3'!BO116</f>
        <v>73.073708821003336</v>
      </c>
      <c r="F175" s="528">
        <f>$B175*'Recycling - Case 3'!$AK116*'Recycling - Case 3'!BP116</f>
        <v>0</v>
      </c>
      <c r="G175" s="528">
        <f>$B175*'Recycling - Case 3'!$AK116*'Recycling - Case 3'!BQ116</f>
        <v>0</v>
      </c>
      <c r="H175" s="528">
        <f>$B175*'Recycling - Case 3'!$AK116*'Recycling - Case 3'!BR116</f>
        <v>0</v>
      </c>
      <c r="I175" s="528">
        <f>$B175*'Recycling - Case 3'!$AK116*'Recycling - Case 3'!BS116</f>
        <v>285.69309573992803</v>
      </c>
      <c r="J175" s="744">
        <f t="shared" si="19"/>
        <v>882.47470165118193</v>
      </c>
      <c r="K175" s="106">
        <f>'4C2 Open-burning '!C$14*'4C2 Open-burning '!$C$5*'4C2 Open-burning '!$C$6*'4C2 Open-burning '!$C$7*C175</f>
        <v>0</v>
      </c>
      <c r="L175" s="106">
        <f>'4C2 Open-burning '!D$14*'4C2 Open-burning '!$C$5*'4C2 Open-burning '!$C$6*'4C2 Open-burning '!$C$7*D175</f>
        <v>0</v>
      </c>
      <c r="M175" s="106">
        <f>'4C2 Open-burning '!E$14*'4C2 Open-burning '!$C$5*'4C2 Open-burning '!$C$6*'4C2 Open-burning '!$C$7*E175</f>
        <v>0.38602209716618507</v>
      </c>
      <c r="N175" s="106">
        <f>'4C2 Open-burning '!F$14*'4C2 Open-burning '!$C$5*'4C2 Open-burning '!$C$6*'4C2 Open-burning '!$C$7*F175</f>
        <v>0</v>
      </c>
      <c r="O175" s="106">
        <f>'4C2 Open-burning '!G$14*'4C2 Open-burning '!$C$5*'4C2 Open-burning '!$C$6*'4C2 Open-burning '!$C$7*G175</f>
        <v>0</v>
      </c>
      <c r="P175" s="106">
        <f>'4C2 Open-burning '!H$14*'4C2 Open-burning '!$C$5*'4C2 Open-burning '!$C$6*'4C2 Open-burning '!$C$7*H175</f>
        <v>0</v>
      </c>
      <c r="Q175" s="106">
        <f>'4C2 Open-burning '!I$14*'4C2 Open-burning '!$C$5*'4C2 Open-burning '!$C$6*'4C2 Open-burning '!$C$7*I175</f>
        <v>9.8426985344319995</v>
      </c>
      <c r="R175" s="1384">
        <f t="shared" si="16"/>
        <v>10.228720631598184</v>
      </c>
      <c r="S175" s="484">
        <f>C175*'4C2 Open-burning '!$C$9*'4C2 Open-burning '!$C$11*$C$5</f>
        <v>0.99904890248235312</v>
      </c>
      <c r="T175" s="485">
        <f>D175*'4C2 Open-burning '!$C$9*'4C2 Open-burning '!$C$11*$C$5</f>
        <v>1.0434118961696239</v>
      </c>
      <c r="U175" s="485">
        <f>E175*'4C2 Open-burning '!$C$9*'4C2 Open-burning '!$C$11*$C$5</f>
        <v>0.28498746440191297</v>
      </c>
      <c r="V175" s="485">
        <f>F175*'4C2 Open-burning '!$C$9*'4C2 Open-burning '!$C$11*$C$5</f>
        <v>0</v>
      </c>
      <c r="W175" s="485">
        <f>G175*'4C2 Open-burning '!$C$9*'4C2 Open-burning '!$C$11*$C$5</f>
        <v>0</v>
      </c>
      <c r="X175" s="485">
        <f>H175*'4C2 Open-burning '!$C$9*'4C2 Open-burning '!$C$11*$C$5</f>
        <v>0</v>
      </c>
      <c r="Y175" s="485">
        <f>I175*'4C2 Open-burning '!$C$9*'4C2 Open-burning '!$C$11*$C$5</f>
        <v>1.1142030733857191</v>
      </c>
      <c r="Z175" s="486">
        <f t="shared" si="17"/>
        <v>3.4416513364396093</v>
      </c>
      <c r="AA175" s="1630">
        <f>C175*'4C2 Open-burning '!$C$10*'4C2 Open-burning '!$C$11*$C$5*C$15</f>
        <v>9.2219898690678783E-3</v>
      </c>
      <c r="AB175" s="487">
        <f>D175*'4C2 Open-burning '!$C$10*'4C2 Open-burning '!$C$11*$C$5*D$15</f>
        <v>9.6314944261811433E-3</v>
      </c>
      <c r="AC175" s="487">
        <f>E175*'4C2 Open-burning '!$C$10*'4C2 Open-burning '!$C$11*$C$5*E$15</f>
        <v>5.9189704145012701E-3</v>
      </c>
      <c r="AD175" s="487">
        <f>F175*'4C2 Open-burning '!$C$10*'4C2 Open-burning '!$C$11*$C$5*F$15</f>
        <v>0</v>
      </c>
      <c r="AE175" s="487">
        <f>G175*'4C2 Open-burning '!$C$10*'4C2 Open-burning '!$C$11*$C$5*G$15</f>
        <v>0</v>
      </c>
      <c r="AF175" s="487">
        <f>H175*'4C2 Open-burning '!$C$10*'4C2 Open-burning '!$C$11*$C$5*H$15</f>
        <v>0</v>
      </c>
      <c r="AG175" s="487">
        <f>I175*'4C2 Open-burning '!$C$10*'4C2 Open-burning '!$C$11*$C$5*I$15</f>
        <v>2.3141140754934165E-2</v>
      </c>
      <c r="AH175" s="488">
        <f t="shared" si="18"/>
        <v>4.7913595464684461E-2</v>
      </c>
      <c r="AI175" s="1388"/>
      <c r="AJ175" s="1388"/>
      <c r="AK175" s="1388"/>
      <c r="AL175" s="4"/>
      <c r="AM175" s="4"/>
    </row>
    <row r="176" spans="1:39">
      <c r="A176" s="959">
        <f>'Input data'!A137</f>
        <v>2037</v>
      </c>
      <c r="B176" s="560">
        <f>'Recycling - Case 3'!AP117</f>
        <v>4.5633516922949667E-2</v>
      </c>
      <c r="C176" s="527">
        <f>$B176*'Recycling - Case 3'!$AK117*'Recycling - Case 3'!BM117</f>
        <v>255.5419728933048</v>
      </c>
      <c r="D176" s="528">
        <f>$B176*'Recycling - Case 3'!$AK117*'Recycling - Case 3'!BN117</f>
        <v>266.88937230701725</v>
      </c>
      <c r="E176" s="528">
        <f>$B176*'Recycling - Case 3'!$AK117*'Recycling - Case 3'!BO117</f>
        <v>72.895589717553079</v>
      </c>
      <c r="F176" s="528">
        <f>$B176*'Recycling - Case 3'!$AK117*'Recycling - Case 3'!BP117</f>
        <v>0</v>
      </c>
      <c r="G176" s="528">
        <f>$B176*'Recycling - Case 3'!$AK117*'Recycling - Case 3'!BQ117</f>
        <v>0</v>
      </c>
      <c r="H176" s="528">
        <f>$B176*'Recycling - Case 3'!$AK117*'Recycling - Case 3'!BR117</f>
        <v>0</v>
      </c>
      <c r="I176" s="528">
        <f>$B176*'Recycling - Case 3'!$AK117*'Recycling - Case 3'!BS117</f>
        <v>284.9967112413695</v>
      </c>
      <c r="J176" s="744">
        <f t="shared" si="19"/>
        <v>880.32364615924462</v>
      </c>
      <c r="K176" s="106">
        <f>'4C2 Open-burning '!C$14*'4C2 Open-burning '!$C$5*'4C2 Open-burning '!$C$6*'4C2 Open-burning '!$C$7*C176</f>
        <v>0</v>
      </c>
      <c r="L176" s="106">
        <f>'4C2 Open-burning '!D$14*'4C2 Open-burning '!$C$5*'4C2 Open-burning '!$C$6*'4C2 Open-burning '!$C$7*D176</f>
        <v>0</v>
      </c>
      <c r="M176" s="106">
        <f>'4C2 Open-burning '!E$14*'4C2 Open-burning '!$C$5*'4C2 Open-burning '!$C$6*'4C2 Open-burning '!$C$7*E176</f>
        <v>0.38508115806553461</v>
      </c>
      <c r="N176" s="106">
        <f>'4C2 Open-burning '!F$14*'4C2 Open-burning '!$C$5*'4C2 Open-burning '!$C$6*'4C2 Open-burning '!$C$7*F176</f>
        <v>0</v>
      </c>
      <c r="O176" s="106">
        <f>'4C2 Open-burning '!G$14*'4C2 Open-burning '!$C$5*'4C2 Open-burning '!$C$6*'4C2 Open-burning '!$C$7*G176</f>
        <v>0</v>
      </c>
      <c r="P176" s="106">
        <f>'4C2 Open-burning '!H$14*'4C2 Open-burning '!$C$5*'4C2 Open-burning '!$C$6*'4C2 Open-burning '!$C$7*H176</f>
        <v>0</v>
      </c>
      <c r="Q176" s="106">
        <f>'4C2 Open-burning '!I$14*'4C2 Open-burning '!$C$5*'4C2 Open-burning '!$C$6*'4C2 Open-burning '!$C$7*I176</f>
        <v>9.818706695687661</v>
      </c>
      <c r="R176" s="1384">
        <f t="shared" si="16"/>
        <v>10.203787853753196</v>
      </c>
      <c r="S176" s="484">
        <f>C176*'4C2 Open-burning '!$C$9*'4C2 Open-burning '!$C$11*$C$5</f>
        <v>0.99661369428388857</v>
      </c>
      <c r="T176" s="485">
        <f>D176*'4C2 Open-burning '!$C$9*'4C2 Open-burning '!$C$11*$C$5</f>
        <v>1.0408685519973673</v>
      </c>
      <c r="U176" s="485">
        <f>E176*'4C2 Open-burning '!$C$9*'4C2 Open-burning '!$C$11*$C$5</f>
        <v>0.28429279989845696</v>
      </c>
      <c r="V176" s="485">
        <f>F176*'4C2 Open-burning '!$C$9*'4C2 Open-burning '!$C$11*$C$5</f>
        <v>0</v>
      </c>
      <c r="W176" s="485">
        <f>G176*'4C2 Open-burning '!$C$9*'4C2 Open-burning '!$C$11*$C$5</f>
        <v>0</v>
      </c>
      <c r="X176" s="485">
        <f>H176*'4C2 Open-burning '!$C$9*'4C2 Open-burning '!$C$11*$C$5</f>
        <v>0</v>
      </c>
      <c r="Y176" s="485">
        <f>I176*'4C2 Open-burning '!$C$9*'4C2 Open-burning '!$C$11*$C$5</f>
        <v>1.111487173841341</v>
      </c>
      <c r="Z176" s="486">
        <f t="shared" si="17"/>
        <v>3.4332622200210539</v>
      </c>
      <c r="AA176" s="1630">
        <f>C176*'4C2 Open-burning '!$C$10*'4C2 Open-burning '!$C$11*$C$5*C$15</f>
        <v>9.1995110241589722E-3</v>
      </c>
      <c r="AB176" s="487">
        <f>D176*'4C2 Open-burning '!$C$10*'4C2 Open-burning '!$C$11*$C$5*D$15</f>
        <v>9.6080174030526207E-3</v>
      </c>
      <c r="AC176" s="487">
        <f>E176*'4C2 Open-burning '!$C$10*'4C2 Open-burning '!$C$11*$C$5*E$15</f>
        <v>5.9045427671217997E-3</v>
      </c>
      <c r="AD176" s="487">
        <f>F176*'4C2 Open-burning '!$C$10*'4C2 Open-burning '!$C$11*$C$5*F$15</f>
        <v>0</v>
      </c>
      <c r="AE176" s="487">
        <f>G176*'4C2 Open-burning '!$C$10*'4C2 Open-burning '!$C$11*$C$5*G$15</f>
        <v>0</v>
      </c>
      <c r="AF176" s="487">
        <f>H176*'4C2 Open-burning '!$C$10*'4C2 Open-burning '!$C$11*$C$5*H$15</f>
        <v>0</v>
      </c>
      <c r="AG176" s="487">
        <f>I176*'4C2 Open-burning '!$C$10*'4C2 Open-burning '!$C$11*$C$5*I$15</f>
        <v>2.3084733610550925E-2</v>
      </c>
      <c r="AH176" s="488">
        <f t="shared" si="18"/>
        <v>4.7796804804884317E-2</v>
      </c>
      <c r="AI176" s="1388"/>
      <c r="AJ176" s="1388"/>
      <c r="AK176" s="1388"/>
      <c r="AL176" s="4"/>
      <c r="AM176" s="4"/>
    </row>
    <row r="177" spans="1:39">
      <c r="A177" s="959">
        <f>'Input data'!A138</f>
        <v>2038</v>
      </c>
      <c r="B177" s="560">
        <f>'Recycling - Case 3'!AP118</f>
        <v>4.5360609115513109E-2</v>
      </c>
      <c r="C177" s="527">
        <f>$B177*'Recycling - Case 3'!$AK118*'Recycling - Case 3'!BM118</f>
        <v>254.92510239998455</v>
      </c>
      <c r="D177" s="528">
        <f>$B177*'Recycling - Case 3'!$AK118*'Recycling - Case 3'!BN118</f>
        <v>266.24510953917166</v>
      </c>
      <c r="E177" s="528">
        <f>$B177*'Recycling - Case 3'!$AK118*'Recycling - Case 3'!BO118</f>
        <v>72.719621997335494</v>
      </c>
      <c r="F177" s="528">
        <f>$B177*'Recycling - Case 3'!$AK118*'Recycling - Case 3'!BP118</f>
        <v>0</v>
      </c>
      <c r="G177" s="528">
        <f>$B177*'Recycling - Case 3'!$AK118*'Recycling - Case 3'!BQ118</f>
        <v>0</v>
      </c>
      <c r="H177" s="528">
        <f>$B177*'Recycling - Case 3'!$AK118*'Recycling - Case 3'!BR118</f>
        <v>0</v>
      </c>
      <c r="I177" s="528">
        <f>$B177*'Recycling - Case 3'!$AK118*'Recycling - Case 3'!BS118</f>
        <v>284.30873791210541</v>
      </c>
      <c r="J177" s="744">
        <f t="shared" si="19"/>
        <v>878.19857184859711</v>
      </c>
      <c r="K177" s="106">
        <f>'4C2 Open-burning '!C$14*'4C2 Open-burning '!$C$5*'4C2 Open-burning '!$C$6*'4C2 Open-burning '!$C$7*C177</f>
        <v>0</v>
      </c>
      <c r="L177" s="106">
        <f>'4C2 Open-burning '!D$14*'4C2 Open-burning '!$C$5*'4C2 Open-burning '!$C$6*'4C2 Open-burning '!$C$7*D177</f>
        <v>0</v>
      </c>
      <c r="M177" s="106">
        <f>'4C2 Open-burning '!E$14*'4C2 Open-burning '!$C$5*'4C2 Open-burning '!$C$6*'4C2 Open-burning '!$C$7*E177</f>
        <v>0.38415158394800436</v>
      </c>
      <c r="N177" s="106">
        <f>'4C2 Open-burning '!F$14*'4C2 Open-burning '!$C$5*'4C2 Open-burning '!$C$6*'4C2 Open-burning '!$C$7*F177</f>
        <v>0</v>
      </c>
      <c r="O177" s="106">
        <f>'4C2 Open-burning '!G$14*'4C2 Open-burning '!$C$5*'4C2 Open-burning '!$C$6*'4C2 Open-burning '!$C$7*G177</f>
        <v>0</v>
      </c>
      <c r="P177" s="106">
        <f>'4C2 Open-burning '!H$14*'4C2 Open-burning '!$C$5*'4C2 Open-burning '!$C$6*'4C2 Open-burning '!$C$7*H177</f>
        <v>0</v>
      </c>
      <c r="Q177" s="106">
        <f>'4C2 Open-burning '!I$14*'4C2 Open-burning '!$C$5*'4C2 Open-burning '!$C$6*'4C2 Open-burning '!$C$7*I177</f>
        <v>9.7950046385478551</v>
      </c>
      <c r="R177" s="1384">
        <f t="shared" si="16"/>
        <v>10.179156222495859</v>
      </c>
      <c r="S177" s="484">
        <f>C177*'4C2 Open-burning '!$C$9*'4C2 Open-burning '!$C$11*$C$5</f>
        <v>0.99420789935993958</v>
      </c>
      <c r="T177" s="485">
        <f>D177*'4C2 Open-burning '!$C$9*'4C2 Open-burning '!$C$11*$C$5</f>
        <v>1.0383559272027696</v>
      </c>
      <c r="U177" s="485">
        <f>E177*'4C2 Open-burning '!$C$9*'4C2 Open-burning '!$C$11*$C$5</f>
        <v>0.28360652578960843</v>
      </c>
      <c r="V177" s="485">
        <f>F177*'4C2 Open-burning '!$C$9*'4C2 Open-burning '!$C$11*$C$5</f>
        <v>0</v>
      </c>
      <c r="W177" s="485">
        <f>G177*'4C2 Open-burning '!$C$9*'4C2 Open-burning '!$C$11*$C$5</f>
        <v>0</v>
      </c>
      <c r="X177" s="485">
        <f>H177*'4C2 Open-burning '!$C$9*'4C2 Open-burning '!$C$11*$C$5</f>
        <v>0</v>
      </c>
      <c r="Y177" s="485">
        <f>I177*'4C2 Open-burning '!$C$9*'4C2 Open-burning '!$C$11*$C$5</f>
        <v>1.108804077857211</v>
      </c>
      <c r="Z177" s="486">
        <f t="shared" si="17"/>
        <v>3.4249744302095286</v>
      </c>
      <c r="AA177" s="1630">
        <f>C177*'4C2 Open-burning '!$C$10*'4C2 Open-burning '!$C$11*$C$5*C$15</f>
        <v>9.1773036863994455E-3</v>
      </c>
      <c r="AB177" s="487">
        <f>D177*'4C2 Open-burning '!$C$10*'4C2 Open-burning '!$C$11*$C$5*D$15</f>
        <v>9.5848239434101808E-3</v>
      </c>
      <c r="AC177" s="487">
        <f>E177*'4C2 Open-burning '!$C$10*'4C2 Open-burning '!$C$11*$C$5*E$15</f>
        <v>5.8902893817841745E-3</v>
      </c>
      <c r="AD177" s="487">
        <f>F177*'4C2 Open-burning '!$C$10*'4C2 Open-burning '!$C$11*$C$5*F$15</f>
        <v>0</v>
      </c>
      <c r="AE177" s="487">
        <f>G177*'4C2 Open-burning '!$C$10*'4C2 Open-burning '!$C$11*$C$5*G$15</f>
        <v>0</v>
      </c>
      <c r="AF177" s="487">
        <f>H177*'4C2 Open-burning '!$C$10*'4C2 Open-burning '!$C$11*$C$5*H$15</f>
        <v>0</v>
      </c>
      <c r="AG177" s="487">
        <f>I177*'4C2 Open-burning '!$C$10*'4C2 Open-burning '!$C$11*$C$5*I$15</f>
        <v>2.3029007770880537E-2</v>
      </c>
      <c r="AH177" s="488">
        <f t="shared" si="18"/>
        <v>4.7681424782474335E-2</v>
      </c>
      <c r="AI177" s="1388"/>
      <c r="AJ177" s="1388"/>
      <c r="AK177" s="1388"/>
      <c r="AL177" s="4"/>
      <c r="AM177" s="4"/>
    </row>
    <row r="178" spans="1:39">
      <c r="A178" s="959">
        <f>'Input data'!A139</f>
        <v>2039</v>
      </c>
      <c r="B178" s="560">
        <f>'Recycling - Case 3'!AP119</f>
        <v>4.5089690262495104E-2</v>
      </c>
      <c r="C178" s="527">
        <f>$B178*'Recycling - Case 3'!$AK119*'Recycling - Case 3'!BM119</f>
        <v>254.31565406930503</v>
      </c>
      <c r="D178" s="528">
        <f>$B178*'Recycling - Case 3'!$AK119*'Recycling - Case 3'!BN119</f>
        <v>265.60859851678663</v>
      </c>
      <c r="E178" s="528">
        <f>$B178*'Recycling - Case 3'!$AK119*'Recycling - Case 3'!BO119</f>
        <v>72.545771514128134</v>
      </c>
      <c r="F178" s="528">
        <f>$B178*'Recycling - Case 3'!$AK119*'Recycling - Case 3'!BP119</f>
        <v>0</v>
      </c>
      <c r="G178" s="528">
        <f>$B178*'Recycling - Case 3'!$AK119*'Recycling - Case 3'!BQ119</f>
        <v>0</v>
      </c>
      <c r="H178" s="528">
        <f>$B178*'Recycling - Case 3'!$AK119*'Recycling - Case 3'!BR119</f>
        <v>0</v>
      </c>
      <c r="I178" s="528">
        <f>$B178*'Recycling - Case 3'!$AK119*'Recycling - Case 3'!BS119</f>
        <v>283.62904225213759</v>
      </c>
      <c r="J178" s="744">
        <f t="shared" si="19"/>
        <v>876.09906635235734</v>
      </c>
      <c r="K178" s="106">
        <f>'4C2 Open-burning '!C$14*'4C2 Open-burning '!$C$5*'4C2 Open-burning '!$C$6*'4C2 Open-burning '!$C$7*C178</f>
        <v>0</v>
      </c>
      <c r="L178" s="106">
        <f>'4C2 Open-burning '!D$14*'4C2 Open-burning '!$C$5*'4C2 Open-burning '!$C$6*'4C2 Open-burning '!$C$7*D178</f>
        <v>0</v>
      </c>
      <c r="M178" s="106">
        <f>'4C2 Open-burning '!E$14*'4C2 Open-burning '!$C$5*'4C2 Open-burning '!$C$6*'4C2 Open-burning '!$C$7*E178</f>
        <v>0.38323319443139386</v>
      </c>
      <c r="N178" s="106">
        <f>'4C2 Open-burning '!F$14*'4C2 Open-burning '!$C$5*'4C2 Open-burning '!$C$6*'4C2 Open-burning '!$C$7*F178</f>
        <v>0</v>
      </c>
      <c r="O178" s="106">
        <f>'4C2 Open-burning '!G$14*'4C2 Open-burning '!$C$5*'4C2 Open-burning '!$C$6*'4C2 Open-burning '!$C$7*G178</f>
        <v>0</v>
      </c>
      <c r="P178" s="106">
        <f>'4C2 Open-burning '!H$14*'4C2 Open-burning '!$C$5*'4C2 Open-burning '!$C$6*'4C2 Open-burning '!$C$7*H178</f>
        <v>0</v>
      </c>
      <c r="Q178" s="106">
        <f>'4C2 Open-burning '!I$14*'4C2 Open-burning '!$C$5*'4C2 Open-burning '!$C$6*'4C2 Open-burning '!$C$7*I178</f>
        <v>9.7715877636706434</v>
      </c>
      <c r="R178" s="1384">
        <f t="shared" si="16"/>
        <v>10.154820958102038</v>
      </c>
      <c r="S178" s="484">
        <f>C178*'4C2 Open-burning '!$C$9*'4C2 Open-burning '!$C$11*$C$5</f>
        <v>0.99183105087028967</v>
      </c>
      <c r="T178" s="485">
        <f>D178*'4C2 Open-burning '!$C$9*'4C2 Open-burning '!$C$11*$C$5</f>
        <v>1.0358735342154677</v>
      </c>
      <c r="U178" s="485">
        <f>E178*'4C2 Open-burning '!$C$9*'4C2 Open-burning '!$C$11*$C$5</f>
        <v>0.28292850890509968</v>
      </c>
      <c r="V178" s="485">
        <f>F178*'4C2 Open-burning '!$C$9*'4C2 Open-burning '!$C$11*$C$5</f>
        <v>0</v>
      </c>
      <c r="W178" s="485">
        <f>G178*'4C2 Open-burning '!$C$9*'4C2 Open-burning '!$C$11*$C$5</f>
        <v>0</v>
      </c>
      <c r="X178" s="485">
        <f>H178*'4C2 Open-burning '!$C$9*'4C2 Open-burning '!$C$11*$C$5</f>
        <v>0</v>
      </c>
      <c r="Y178" s="485">
        <f>I178*'4C2 Open-burning '!$C$9*'4C2 Open-burning '!$C$11*$C$5</f>
        <v>1.1061532647833365</v>
      </c>
      <c r="Z178" s="486">
        <f t="shared" si="17"/>
        <v>3.4167863587741936</v>
      </c>
      <c r="AA178" s="1630">
        <f>C178*'4C2 Open-burning '!$C$10*'4C2 Open-burning '!$C$11*$C$5*C$15</f>
        <v>9.1553635464949809E-3</v>
      </c>
      <c r="AB178" s="487">
        <f>D178*'4C2 Open-burning '!$C$10*'4C2 Open-burning '!$C$11*$C$5*D$15</f>
        <v>9.5619095466043195E-3</v>
      </c>
      <c r="AC178" s="487">
        <f>E178*'4C2 Open-burning '!$C$10*'4C2 Open-burning '!$C$11*$C$5*E$15</f>
        <v>5.8762074926443789E-3</v>
      </c>
      <c r="AD178" s="487">
        <f>F178*'4C2 Open-burning '!$C$10*'4C2 Open-burning '!$C$11*$C$5*F$15</f>
        <v>0</v>
      </c>
      <c r="AE178" s="487">
        <f>G178*'4C2 Open-burning '!$C$10*'4C2 Open-burning '!$C$11*$C$5*G$15</f>
        <v>0</v>
      </c>
      <c r="AF178" s="487">
        <f>H178*'4C2 Open-burning '!$C$10*'4C2 Open-burning '!$C$11*$C$5*H$15</f>
        <v>0</v>
      </c>
      <c r="AG178" s="487">
        <f>I178*'4C2 Open-burning '!$C$10*'4C2 Open-burning '!$C$11*$C$5*I$15</f>
        <v>2.2973952422423144E-2</v>
      </c>
      <c r="AH178" s="488">
        <f t="shared" si="18"/>
        <v>4.7567433008166821E-2</v>
      </c>
      <c r="AI178" s="1388"/>
      <c r="AJ178" s="1388"/>
      <c r="AK178" s="1388"/>
      <c r="AL178" s="4"/>
      <c r="AM178" s="4"/>
    </row>
    <row r="179" spans="1:39">
      <c r="A179" s="959">
        <f>'Input data'!A140</f>
        <v>2040</v>
      </c>
      <c r="B179" s="560">
        <f>'Recycling - Case 3'!AP120</f>
        <v>4.4820733281477031E-2</v>
      </c>
      <c r="C179" s="527">
        <f>$B179*'Recycling - Case 3'!$AK120*'Recycling - Case 3'!BM120</f>
        <v>253.71351067170065</v>
      </c>
      <c r="D179" s="528">
        <f>$B179*'Recycling - Case 3'!$AK120*'Recycling - Case 3'!BN120</f>
        <v>264.97971680469095</v>
      </c>
      <c r="E179" s="528">
        <f>$B179*'Recycling - Case 3'!$AK120*'Recycling - Case 3'!BO120</f>
        <v>72.374004827168932</v>
      </c>
      <c r="F179" s="528">
        <f>$B179*'Recycling - Case 3'!$AK120*'Recycling - Case 3'!BP120</f>
        <v>0</v>
      </c>
      <c r="G179" s="528">
        <f>$B179*'Recycling - Case 3'!$AK120*'Recycling - Case 3'!BQ120</f>
        <v>0</v>
      </c>
      <c r="H179" s="528">
        <f>$B179*'Recycling - Case 3'!$AK120*'Recycling - Case 3'!BR120</f>
        <v>0</v>
      </c>
      <c r="I179" s="528">
        <f>$B179*'Recycling - Case 3'!$AK120*'Recycling - Case 3'!BS120</f>
        <v>282.95749351957534</v>
      </c>
      <c r="J179" s="744">
        <f t="shared" si="19"/>
        <v>874.0247258231359</v>
      </c>
      <c r="K179" s="106">
        <f>'4C2 Open-burning '!C$14*'4C2 Open-burning '!$C$5*'4C2 Open-burning '!$C$6*'4C2 Open-burning '!$C$7*C179</f>
        <v>0</v>
      </c>
      <c r="L179" s="106">
        <f>'4C2 Open-burning '!D$14*'4C2 Open-burning '!$C$5*'4C2 Open-burning '!$C$6*'4C2 Open-burning '!$C$7*D179</f>
        <v>0</v>
      </c>
      <c r="M179" s="106">
        <f>'4C2 Open-burning '!E$14*'4C2 Open-burning '!$C$5*'4C2 Open-burning '!$C$6*'4C2 Open-burning '!$C$7*E179</f>
        <v>0.38232581286019568</v>
      </c>
      <c r="N179" s="106">
        <f>'4C2 Open-burning '!F$14*'4C2 Open-burning '!$C$5*'4C2 Open-burning '!$C$6*'4C2 Open-burning '!$C$7*F179</f>
        <v>0</v>
      </c>
      <c r="O179" s="106">
        <f>'4C2 Open-burning '!G$14*'4C2 Open-burning '!$C$5*'4C2 Open-burning '!$C$6*'4C2 Open-burning '!$C$7*G179</f>
        <v>0</v>
      </c>
      <c r="P179" s="106">
        <f>'4C2 Open-burning '!H$14*'4C2 Open-burning '!$C$5*'4C2 Open-burning '!$C$6*'4C2 Open-burning '!$C$7*H179</f>
        <v>0</v>
      </c>
      <c r="Q179" s="106">
        <f>'4C2 Open-burning '!I$14*'4C2 Open-burning '!$C$5*'4C2 Open-burning '!$C$6*'4C2 Open-burning '!$C$7*I179</f>
        <v>9.7484515667364082</v>
      </c>
      <c r="R179" s="1384">
        <f t="shared" si="16"/>
        <v>10.130777379596603</v>
      </c>
      <c r="S179" s="484">
        <f>C179*'4C2 Open-burning '!$C$9*'4C2 Open-burning '!$C$11*$C$5</f>
        <v>0.98948269161963232</v>
      </c>
      <c r="T179" s="485">
        <f>D179*'4C2 Open-burning '!$C$9*'4C2 Open-burning '!$C$11*$C$5</f>
        <v>1.0334208955382946</v>
      </c>
      <c r="U179" s="485">
        <f>E179*'4C2 Open-burning '!$C$9*'4C2 Open-burning '!$C$11*$C$5</f>
        <v>0.28225861882595882</v>
      </c>
      <c r="V179" s="485">
        <f>F179*'4C2 Open-burning '!$C$9*'4C2 Open-burning '!$C$11*$C$5</f>
        <v>0</v>
      </c>
      <c r="W179" s="485">
        <f>G179*'4C2 Open-burning '!$C$9*'4C2 Open-burning '!$C$11*$C$5</f>
        <v>0</v>
      </c>
      <c r="X179" s="485">
        <f>H179*'4C2 Open-burning '!$C$9*'4C2 Open-burning '!$C$11*$C$5</f>
        <v>0</v>
      </c>
      <c r="Y179" s="485">
        <f>I179*'4C2 Open-burning '!$C$9*'4C2 Open-burning '!$C$11*$C$5</f>
        <v>1.1035342247263438</v>
      </c>
      <c r="Z179" s="486">
        <f t="shared" si="17"/>
        <v>3.4086964307102301</v>
      </c>
      <c r="AA179" s="1630">
        <f>C179*'4C2 Open-burning '!$C$10*'4C2 Open-burning '!$C$11*$C$5*C$15</f>
        <v>9.1336863841812218E-3</v>
      </c>
      <c r="AB179" s="487">
        <f>D179*'4C2 Open-burning '!$C$10*'4C2 Open-burning '!$C$11*$C$5*D$15</f>
        <v>9.5392698049688741E-3</v>
      </c>
      <c r="AC179" s="487">
        <f>E179*'4C2 Open-burning '!$C$10*'4C2 Open-burning '!$C$11*$C$5*E$15</f>
        <v>5.8622943910006838E-3</v>
      </c>
      <c r="AD179" s="487">
        <f>F179*'4C2 Open-burning '!$C$10*'4C2 Open-burning '!$C$11*$C$5*F$15</f>
        <v>0</v>
      </c>
      <c r="AE179" s="487">
        <f>G179*'4C2 Open-burning '!$C$10*'4C2 Open-burning '!$C$11*$C$5*G$15</f>
        <v>0</v>
      </c>
      <c r="AF179" s="487">
        <f>H179*'4C2 Open-burning '!$C$10*'4C2 Open-burning '!$C$11*$C$5*H$15</f>
        <v>0</v>
      </c>
      <c r="AG179" s="487">
        <f>I179*'4C2 Open-burning '!$C$10*'4C2 Open-burning '!$C$11*$C$5*I$15</f>
        <v>2.2919556975085603E-2</v>
      </c>
      <c r="AH179" s="488">
        <f t="shared" si="18"/>
        <v>4.7454807555236386E-2</v>
      </c>
      <c r="AI179" s="1388"/>
      <c r="AJ179" s="1388"/>
      <c r="AK179" s="1388"/>
      <c r="AL179" s="4"/>
      <c r="AM179" s="4"/>
    </row>
    <row r="180" spans="1:39">
      <c r="A180" s="959">
        <f>'Input data'!A141</f>
        <v>2041</v>
      </c>
      <c r="B180" s="560">
        <f>'Recycling - Case 3'!AP121</f>
        <v>4.4593956313696254E-2</v>
      </c>
      <c r="C180" s="527">
        <f>$B180*'Recycling - Case 3'!$AK121*'Recycling - Case 3'!BM121</f>
        <v>253.20804435794963</v>
      </c>
      <c r="D180" s="528">
        <f>$B180*'Recycling - Case 3'!$AK121*'Recycling - Case 3'!BN121</f>
        <v>264.45180514434043</v>
      </c>
      <c r="E180" s="528">
        <f>$B180*'Recycling - Case 3'!$AK121*'Recycling - Case 3'!BO121</f>
        <v>72.229816126557225</v>
      </c>
      <c r="F180" s="528">
        <f>$B180*'Recycling - Case 3'!$AK121*'Recycling - Case 3'!BP121</f>
        <v>0</v>
      </c>
      <c r="G180" s="528">
        <f>$B180*'Recycling - Case 3'!$AK121*'Recycling - Case 3'!BQ121</f>
        <v>0</v>
      </c>
      <c r="H180" s="528">
        <f>$B180*'Recycling - Case 3'!$AK121*'Recycling - Case 3'!BR121</f>
        <v>0</v>
      </c>
      <c r="I180" s="528">
        <f>$B180*'Recycling - Case 3'!$AK121*'Recycling - Case 3'!BS121</f>
        <v>282.39376523873244</v>
      </c>
      <c r="J180" s="744">
        <f t="shared" si="19"/>
        <v>872.28343086757968</v>
      </c>
      <c r="K180" s="106">
        <f>'4C2 Open-burning '!C$14*'4C2 Open-burning '!$C$5*'4C2 Open-burning '!$C$6*'4C2 Open-burning '!$C$7*C180</f>
        <v>0</v>
      </c>
      <c r="L180" s="106">
        <f>'4C2 Open-burning '!D$14*'4C2 Open-burning '!$C$5*'4C2 Open-burning '!$C$6*'4C2 Open-burning '!$C$7*D180</f>
        <v>0</v>
      </c>
      <c r="M180" s="106">
        <f>'4C2 Open-burning '!E$14*'4C2 Open-burning '!$C$5*'4C2 Open-burning '!$C$6*'4C2 Open-burning '!$C$7*E180</f>
        <v>0.38156411586279626</v>
      </c>
      <c r="N180" s="106">
        <f>'4C2 Open-burning '!F$14*'4C2 Open-burning '!$C$5*'4C2 Open-burning '!$C$6*'4C2 Open-burning '!$C$7*F180</f>
        <v>0</v>
      </c>
      <c r="O180" s="106">
        <f>'4C2 Open-burning '!G$14*'4C2 Open-burning '!$C$5*'4C2 Open-burning '!$C$6*'4C2 Open-burning '!$C$7*G180</f>
        <v>0</v>
      </c>
      <c r="P180" s="106">
        <f>'4C2 Open-burning '!H$14*'4C2 Open-burning '!$C$5*'4C2 Open-burning '!$C$6*'4C2 Open-burning '!$C$7*H180</f>
        <v>0</v>
      </c>
      <c r="Q180" s="106">
        <f>'4C2 Open-burning '!I$14*'4C2 Open-burning '!$C$5*'4C2 Open-burning '!$C$6*'4C2 Open-burning '!$C$7*I180</f>
        <v>9.7290300000048084</v>
      </c>
      <c r="R180" s="1384">
        <f t="shared" si="16"/>
        <v>10.110594115867604</v>
      </c>
      <c r="S180" s="484">
        <f>C180*'4C2 Open-burning '!$C$9*'4C2 Open-burning '!$C$11*$C$5</f>
        <v>0.98751137299600344</v>
      </c>
      <c r="T180" s="485">
        <f>D180*'4C2 Open-burning '!$C$9*'4C2 Open-burning '!$C$11*$C$5</f>
        <v>1.0313620400629275</v>
      </c>
      <c r="U180" s="485">
        <f>E180*'4C2 Open-burning '!$C$9*'4C2 Open-burning '!$C$11*$C$5</f>
        <v>0.28169628289357318</v>
      </c>
      <c r="V180" s="485">
        <f>F180*'4C2 Open-burning '!$C$9*'4C2 Open-burning '!$C$11*$C$5</f>
        <v>0</v>
      </c>
      <c r="W180" s="485">
        <f>G180*'4C2 Open-burning '!$C$9*'4C2 Open-burning '!$C$11*$C$5</f>
        <v>0</v>
      </c>
      <c r="X180" s="485">
        <f>H180*'4C2 Open-burning '!$C$9*'4C2 Open-burning '!$C$11*$C$5</f>
        <v>0</v>
      </c>
      <c r="Y180" s="485">
        <f>I180*'4C2 Open-burning '!$C$9*'4C2 Open-burning '!$C$11*$C$5</f>
        <v>1.1013356844310564</v>
      </c>
      <c r="Z180" s="486">
        <f t="shared" si="17"/>
        <v>3.4019053803835608</v>
      </c>
      <c r="AA180" s="1630">
        <f>C180*'4C2 Open-burning '!$C$10*'4C2 Open-burning '!$C$11*$C$5*C$15</f>
        <v>9.1154895968861872E-3</v>
      </c>
      <c r="AB180" s="487">
        <f>D180*'4C2 Open-burning '!$C$10*'4C2 Open-burning '!$C$11*$C$5*D$15</f>
        <v>9.5202649851962549E-3</v>
      </c>
      <c r="AC180" s="487">
        <f>E180*'4C2 Open-burning '!$C$10*'4C2 Open-burning '!$C$11*$C$5*E$15</f>
        <v>5.8506151062511355E-3</v>
      </c>
      <c r="AD180" s="487">
        <f>F180*'4C2 Open-burning '!$C$10*'4C2 Open-burning '!$C$11*$C$5*F$15</f>
        <v>0</v>
      </c>
      <c r="AE180" s="487">
        <f>G180*'4C2 Open-burning '!$C$10*'4C2 Open-burning '!$C$11*$C$5*G$15</f>
        <v>0</v>
      </c>
      <c r="AF180" s="487">
        <f>H180*'4C2 Open-burning '!$C$10*'4C2 Open-burning '!$C$11*$C$5*H$15</f>
        <v>0</v>
      </c>
      <c r="AG180" s="487">
        <f>I180*'4C2 Open-burning '!$C$10*'4C2 Open-burning '!$C$11*$C$5*I$15</f>
        <v>2.2873894984337326E-2</v>
      </c>
      <c r="AH180" s="488">
        <f t="shared" si="18"/>
        <v>4.7360264672670904E-2</v>
      </c>
      <c r="AI180" s="1388"/>
      <c r="AJ180" s="1388"/>
      <c r="AK180" s="1388"/>
      <c r="AL180" s="4"/>
      <c r="AM180" s="4"/>
    </row>
    <row r="181" spans="1:39">
      <c r="A181" s="959">
        <f>'Input data'!A142</f>
        <v>2042</v>
      </c>
      <c r="B181" s="560">
        <f>'Recycling - Case 3'!AP122</f>
        <v>4.4368557891718778E-2</v>
      </c>
      <c r="C181" s="527">
        <f>$B181*'Recycling - Case 3'!$AK122*'Recycling - Case 3'!BM122</f>
        <v>252.70768958160568</v>
      </c>
      <c r="D181" s="528">
        <f>$B181*'Recycling - Case 3'!$AK122*'Recycling - Case 3'!BN122</f>
        <v>263.92923200037785</v>
      </c>
      <c r="E181" s="528">
        <f>$B181*'Recycling - Case 3'!$AK122*'Recycling - Case 3'!BO122</f>
        <v>72.087085536836</v>
      </c>
      <c r="F181" s="528">
        <f>$B181*'Recycling - Case 3'!$AK122*'Recycling - Case 3'!BP122</f>
        <v>0</v>
      </c>
      <c r="G181" s="528">
        <f>$B181*'Recycling - Case 3'!$AK122*'Recycling - Case 3'!BQ122</f>
        <v>0</v>
      </c>
      <c r="H181" s="528">
        <f>$B181*'Recycling - Case 3'!$AK122*'Recycling - Case 3'!BR122</f>
        <v>0</v>
      </c>
      <c r="I181" s="528">
        <f>$B181*'Recycling - Case 3'!$AK122*'Recycling - Case 3'!BS122</f>
        <v>281.83573767051189</v>
      </c>
      <c r="J181" s="744">
        <f t="shared" si="19"/>
        <v>870.55974478933138</v>
      </c>
      <c r="K181" s="106">
        <f>'4C2 Open-burning '!C$14*'4C2 Open-burning '!$C$5*'4C2 Open-burning '!$C$6*'4C2 Open-burning '!$C$7*C181</f>
        <v>0</v>
      </c>
      <c r="L181" s="106">
        <f>'4C2 Open-burning '!D$14*'4C2 Open-burning '!$C$5*'4C2 Open-burning '!$C$6*'4C2 Open-burning '!$C$7*D181</f>
        <v>0</v>
      </c>
      <c r="M181" s="106">
        <f>'4C2 Open-burning '!E$14*'4C2 Open-burning '!$C$5*'4C2 Open-burning '!$C$6*'4C2 Open-burning '!$C$7*E181</f>
        <v>0.3808101215403113</v>
      </c>
      <c r="N181" s="106">
        <f>'4C2 Open-burning '!F$14*'4C2 Open-burning '!$C$5*'4C2 Open-burning '!$C$6*'4C2 Open-burning '!$C$7*F181</f>
        <v>0</v>
      </c>
      <c r="O181" s="106">
        <f>'4C2 Open-burning '!G$14*'4C2 Open-burning '!$C$5*'4C2 Open-burning '!$C$6*'4C2 Open-burning '!$C$7*G181</f>
        <v>0</v>
      </c>
      <c r="P181" s="106">
        <f>'4C2 Open-burning '!H$14*'4C2 Open-burning '!$C$5*'4C2 Open-burning '!$C$6*'4C2 Open-burning '!$C$7*H181</f>
        <v>0</v>
      </c>
      <c r="Q181" s="106">
        <f>'4C2 Open-burning '!I$14*'4C2 Open-burning '!$C$5*'4C2 Open-burning '!$C$6*'4C2 Open-burning '!$C$7*I181</f>
        <v>9.7098048342244745</v>
      </c>
      <c r="R181" s="1384">
        <f t="shared" si="16"/>
        <v>10.090614955764785</v>
      </c>
      <c r="S181" s="484">
        <f>C181*'4C2 Open-burning '!$C$9*'4C2 Open-burning '!$C$11*$C$5</f>
        <v>0.98555998936826206</v>
      </c>
      <c r="T181" s="485">
        <f>D181*'4C2 Open-burning '!$C$9*'4C2 Open-burning '!$C$11*$C$5</f>
        <v>1.0293240048014736</v>
      </c>
      <c r="U181" s="485">
        <f>E181*'4C2 Open-burning '!$C$9*'4C2 Open-burning '!$C$11*$C$5</f>
        <v>0.2811396335936604</v>
      </c>
      <c r="V181" s="485">
        <f>F181*'4C2 Open-burning '!$C$9*'4C2 Open-burning '!$C$11*$C$5</f>
        <v>0</v>
      </c>
      <c r="W181" s="485">
        <f>G181*'4C2 Open-burning '!$C$9*'4C2 Open-burning '!$C$11*$C$5</f>
        <v>0</v>
      </c>
      <c r="X181" s="485">
        <f>H181*'4C2 Open-burning '!$C$9*'4C2 Open-burning '!$C$11*$C$5</f>
        <v>0</v>
      </c>
      <c r="Y181" s="485">
        <f>I181*'4C2 Open-burning '!$C$9*'4C2 Open-burning '!$C$11*$C$5</f>
        <v>1.0991593769149963</v>
      </c>
      <c r="Z181" s="486">
        <f t="shared" si="17"/>
        <v>3.3951830046783922</v>
      </c>
      <c r="AA181" s="1630">
        <f>C181*'4C2 Open-burning '!$C$10*'4C2 Open-burning '!$C$11*$C$5*C$15</f>
        <v>9.097476824937804E-3</v>
      </c>
      <c r="AB181" s="487">
        <f>D181*'4C2 Open-burning '!$C$10*'4C2 Open-burning '!$C$11*$C$5*D$15</f>
        <v>9.5014523520136028E-3</v>
      </c>
      <c r="AC181" s="487">
        <f>E181*'4C2 Open-burning '!$C$10*'4C2 Open-burning '!$C$11*$C$5*E$15</f>
        <v>5.8390539284837147E-3</v>
      </c>
      <c r="AD181" s="487">
        <f>F181*'4C2 Open-burning '!$C$10*'4C2 Open-burning '!$C$11*$C$5*F$15</f>
        <v>0</v>
      </c>
      <c r="AE181" s="487">
        <f>G181*'4C2 Open-burning '!$C$10*'4C2 Open-burning '!$C$11*$C$5*G$15</f>
        <v>0</v>
      </c>
      <c r="AF181" s="487">
        <f>H181*'4C2 Open-burning '!$C$10*'4C2 Open-burning '!$C$11*$C$5*H$15</f>
        <v>0</v>
      </c>
      <c r="AG181" s="487">
        <f>I181*'4C2 Open-burning '!$C$10*'4C2 Open-burning '!$C$11*$C$5*I$15</f>
        <v>2.2828694751311461E-2</v>
      </c>
      <c r="AH181" s="488">
        <f t="shared" si="18"/>
        <v>4.7266677856746583E-2</v>
      </c>
      <c r="AI181" s="1388"/>
      <c r="AJ181" s="1388"/>
      <c r="AK181" s="1388"/>
      <c r="AL181" s="4"/>
      <c r="AM181" s="4"/>
    </row>
    <row r="182" spans="1:39">
      <c r="A182" s="959">
        <f>'Input data'!A143</f>
        <v>2043</v>
      </c>
      <c r="B182" s="560">
        <f>'Recycling - Case 3'!AP123</f>
        <v>4.414452242519154E-2</v>
      </c>
      <c r="C182" s="527">
        <f>$B182*'Recycling - Case 3'!$AK123*'Recycling - Case 3'!BM123</f>
        <v>252.21237864369809</v>
      </c>
      <c r="D182" s="528">
        <f>$B182*'Recycling - Case 3'!$AK123*'Recycling - Case 3'!BN123</f>
        <v>263.41192666764431</v>
      </c>
      <c r="E182" s="528">
        <f>$B182*'Recycling - Case 3'!$AK123*'Recycling - Case 3'!BO123</f>
        <v>71.945793746279918</v>
      </c>
      <c r="F182" s="528">
        <f>$B182*'Recycling - Case 3'!$AK123*'Recycling - Case 3'!BP123</f>
        <v>0</v>
      </c>
      <c r="G182" s="528">
        <f>$B182*'Recycling - Case 3'!$AK123*'Recycling - Case 3'!BQ123</f>
        <v>0</v>
      </c>
      <c r="H182" s="528">
        <f>$B182*'Recycling - Case 3'!$AK123*'Recycling - Case 3'!BR123</f>
        <v>0</v>
      </c>
      <c r="I182" s="528">
        <f>$B182*'Recycling - Case 3'!$AK123*'Recycling - Case 3'!BS123</f>
        <v>281.28333531270243</v>
      </c>
      <c r="J182" s="744">
        <f t="shared" si="19"/>
        <v>868.85343437032475</v>
      </c>
      <c r="K182" s="106">
        <f>'4C2 Open-burning '!C$14*'4C2 Open-burning '!$C$5*'4C2 Open-burning '!$C$6*'4C2 Open-burning '!$C$7*C182</f>
        <v>0</v>
      </c>
      <c r="L182" s="106">
        <f>'4C2 Open-burning '!D$14*'4C2 Open-burning '!$C$5*'4C2 Open-burning '!$C$6*'4C2 Open-burning '!$C$7*D182</f>
        <v>0</v>
      </c>
      <c r="M182" s="106">
        <f>'4C2 Open-burning '!E$14*'4C2 Open-burning '!$C$5*'4C2 Open-burning '!$C$6*'4C2 Open-burning '!$C$7*E182</f>
        <v>0.38006372787584813</v>
      </c>
      <c r="N182" s="106">
        <f>'4C2 Open-burning '!F$14*'4C2 Open-burning '!$C$5*'4C2 Open-burning '!$C$6*'4C2 Open-burning '!$C$7*F182</f>
        <v>0</v>
      </c>
      <c r="O182" s="106">
        <f>'4C2 Open-burning '!G$14*'4C2 Open-burning '!$C$5*'4C2 Open-burning '!$C$6*'4C2 Open-burning '!$C$7*G182</f>
        <v>0</v>
      </c>
      <c r="P182" s="106">
        <f>'4C2 Open-burning '!H$14*'4C2 Open-burning '!$C$5*'4C2 Open-burning '!$C$6*'4C2 Open-burning '!$C$7*H182</f>
        <v>0</v>
      </c>
      <c r="Q182" s="106">
        <f>'4C2 Open-burning '!I$14*'4C2 Open-burning '!$C$5*'4C2 Open-burning '!$C$6*'4C2 Open-burning '!$C$7*I182</f>
        <v>9.6907734681932229</v>
      </c>
      <c r="R182" s="1384">
        <f t="shared" si="16"/>
        <v>10.070837196069071</v>
      </c>
      <c r="S182" s="484">
        <f>C182*'4C2 Open-burning '!$C$9*'4C2 Open-burning '!$C$11*$C$5</f>
        <v>0.98362827671042241</v>
      </c>
      <c r="T182" s="485">
        <f>D182*'4C2 Open-burning '!$C$9*'4C2 Open-burning '!$C$11*$C$5</f>
        <v>1.0273065140038129</v>
      </c>
      <c r="U182" s="485">
        <f>E182*'4C2 Open-burning '!$C$9*'4C2 Open-burning '!$C$11*$C$5</f>
        <v>0.28058859561049165</v>
      </c>
      <c r="V182" s="485">
        <f>F182*'4C2 Open-burning '!$C$9*'4C2 Open-burning '!$C$11*$C$5</f>
        <v>0</v>
      </c>
      <c r="W182" s="485">
        <f>G182*'4C2 Open-burning '!$C$9*'4C2 Open-burning '!$C$11*$C$5</f>
        <v>0</v>
      </c>
      <c r="X182" s="485">
        <f>H182*'4C2 Open-burning '!$C$9*'4C2 Open-burning '!$C$11*$C$5</f>
        <v>0</v>
      </c>
      <c r="Y182" s="485">
        <f>I182*'4C2 Open-burning '!$C$9*'4C2 Open-burning '!$C$11*$C$5</f>
        <v>1.0970050077195395</v>
      </c>
      <c r="Z182" s="486">
        <f t="shared" si="17"/>
        <v>3.3885283940442661</v>
      </c>
      <c r="AA182" s="1630">
        <f>C182*'4C2 Open-burning '!$C$10*'4C2 Open-burning '!$C$11*$C$5*C$15</f>
        <v>9.0796456311731302E-3</v>
      </c>
      <c r="AB182" s="487">
        <f>D182*'4C2 Open-burning '!$C$10*'4C2 Open-burning '!$C$11*$C$5*D$15</f>
        <v>9.4828293600351943E-3</v>
      </c>
      <c r="AC182" s="487">
        <f>E182*'4C2 Open-burning '!$C$10*'4C2 Open-burning '!$C$11*$C$5*E$15</f>
        <v>5.8276092934486743E-3</v>
      </c>
      <c r="AD182" s="487">
        <f>F182*'4C2 Open-burning '!$C$10*'4C2 Open-burning '!$C$11*$C$5*F$15</f>
        <v>0</v>
      </c>
      <c r="AE182" s="487">
        <f>G182*'4C2 Open-burning '!$C$10*'4C2 Open-burning '!$C$11*$C$5*G$15</f>
        <v>0</v>
      </c>
      <c r="AF182" s="487">
        <f>H182*'4C2 Open-burning '!$C$10*'4C2 Open-burning '!$C$11*$C$5*H$15</f>
        <v>0</v>
      </c>
      <c r="AG182" s="487">
        <f>I182*'4C2 Open-burning '!$C$10*'4C2 Open-burning '!$C$11*$C$5*I$15</f>
        <v>2.2783950160328897E-2</v>
      </c>
      <c r="AH182" s="488">
        <f t="shared" si="18"/>
        <v>4.7174034444985899E-2</v>
      </c>
      <c r="AI182" s="1388"/>
      <c r="AJ182" s="1388"/>
      <c r="AK182" s="1388"/>
      <c r="AL182" s="4"/>
      <c r="AM182" s="4"/>
    </row>
    <row r="183" spans="1:39">
      <c r="A183" s="959">
        <f>'Input data'!A144</f>
        <v>2044</v>
      </c>
      <c r="B183" s="560">
        <f>'Recycling - Case 3'!AP124</f>
        <v>4.3921834607905885E-2</v>
      </c>
      <c r="C183" s="527">
        <f>$B183*'Recycling - Case 3'!$AK124*'Recycling - Case 3'!BM124</f>
        <v>251.72204501185507</v>
      </c>
      <c r="D183" s="528">
        <f>$B183*'Recycling - Case 3'!$AK124*'Recycling - Case 3'!BN124</f>
        <v>262.8998196593829</v>
      </c>
      <c r="E183" s="528">
        <f>$B183*'Recycling - Case 3'!$AK124*'Recycling - Case 3'!BO124</f>
        <v>71.805921775946217</v>
      </c>
      <c r="F183" s="528">
        <f>$B183*'Recycling - Case 3'!$AK124*'Recycling - Case 3'!BP124</f>
        <v>0</v>
      </c>
      <c r="G183" s="528">
        <f>$B183*'Recycling - Case 3'!$AK124*'Recycling - Case 3'!BQ124</f>
        <v>0</v>
      </c>
      <c r="H183" s="528">
        <f>$B183*'Recycling - Case 3'!$AK124*'Recycling - Case 3'!BR124</f>
        <v>0</v>
      </c>
      <c r="I183" s="528">
        <f>$B183*'Recycling - Case 3'!$AK124*'Recycling - Case 3'!BS124</f>
        <v>280.73648396415842</v>
      </c>
      <c r="J183" s="744">
        <f t="shared" si="19"/>
        <v>867.16427041134261</v>
      </c>
      <c r="K183" s="106">
        <f>'4C2 Open-burning '!C$14*'4C2 Open-burning '!$C$5*'4C2 Open-burning '!$C$6*'4C2 Open-burning '!$C$7*C183</f>
        <v>0</v>
      </c>
      <c r="L183" s="106">
        <f>'4C2 Open-burning '!D$14*'4C2 Open-burning '!$C$5*'4C2 Open-burning '!$C$6*'4C2 Open-burning '!$C$7*D183</f>
        <v>0</v>
      </c>
      <c r="M183" s="106">
        <f>'4C2 Open-burning '!E$14*'4C2 Open-burning '!$C$5*'4C2 Open-burning '!$C$6*'4C2 Open-burning '!$C$7*E183</f>
        <v>0.3793248346104845</v>
      </c>
      <c r="N183" s="106">
        <f>'4C2 Open-burning '!F$14*'4C2 Open-burning '!$C$5*'4C2 Open-burning '!$C$6*'4C2 Open-burning '!$C$7*F183</f>
        <v>0</v>
      </c>
      <c r="O183" s="106">
        <f>'4C2 Open-burning '!G$14*'4C2 Open-burning '!$C$5*'4C2 Open-burning '!$C$6*'4C2 Open-burning '!$C$7*G183</f>
        <v>0</v>
      </c>
      <c r="P183" s="106">
        <f>'4C2 Open-burning '!H$14*'4C2 Open-burning '!$C$5*'4C2 Open-burning '!$C$6*'4C2 Open-burning '!$C$7*H183</f>
        <v>0</v>
      </c>
      <c r="Q183" s="106">
        <f>'4C2 Open-burning '!I$14*'4C2 Open-burning '!$C$5*'4C2 Open-burning '!$C$6*'4C2 Open-burning '!$C$7*I183</f>
        <v>9.6719333455331853</v>
      </c>
      <c r="R183" s="1384">
        <f t="shared" si="16"/>
        <v>10.05125818014367</v>
      </c>
      <c r="S183" s="484">
        <f>C183*'4C2 Open-burning '!$C$9*'4C2 Open-burning '!$C$11*$C$5</f>
        <v>0.98171597554623469</v>
      </c>
      <c r="T183" s="485">
        <f>D183*'4C2 Open-burning '!$C$9*'4C2 Open-burning '!$C$11*$C$5</f>
        <v>1.0253092966715933</v>
      </c>
      <c r="U183" s="485">
        <f>E183*'4C2 Open-burning '!$C$9*'4C2 Open-burning '!$C$11*$C$5</f>
        <v>0.28004309492619023</v>
      </c>
      <c r="V183" s="485">
        <f>F183*'4C2 Open-burning '!$C$9*'4C2 Open-burning '!$C$11*$C$5</f>
        <v>0</v>
      </c>
      <c r="W183" s="485">
        <f>G183*'4C2 Open-burning '!$C$9*'4C2 Open-burning '!$C$11*$C$5</f>
        <v>0</v>
      </c>
      <c r="X183" s="485">
        <f>H183*'4C2 Open-burning '!$C$9*'4C2 Open-burning '!$C$11*$C$5</f>
        <v>0</v>
      </c>
      <c r="Y183" s="485">
        <f>I183*'4C2 Open-burning '!$C$9*'4C2 Open-burning '!$C$11*$C$5</f>
        <v>1.0948722874602177</v>
      </c>
      <c r="Z183" s="486">
        <f t="shared" si="17"/>
        <v>3.3819406546042359</v>
      </c>
      <c r="AA183" s="1630">
        <f>C183*'4C2 Open-burning '!$C$10*'4C2 Open-burning '!$C$11*$C$5*C$15</f>
        <v>9.061993620426782E-3</v>
      </c>
      <c r="AB183" s="487">
        <f>D183*'4C2 Open-burning '!$C$10*'4C2 Open-burning '!$C$11*$C$5*D$15</f>
        <v>9.4643935077377856E-3</v>
      </c>
      <c r="AC183" s="487">
        <f>E183*'4C2 Open-burning '!$C$10*'4C2 Open-burning '!$C$11*$C$5*E$15</f>
        <v>5.8162796638516435E-3</v>
      </c>
      <c r="AD183" s="487">
        <f>F183*'4C2 Open-burning '!$C$10*'4C2 Open-burning '!$C$11*$C$5*F$15</f>
        <v>0</v>
      </c>
      <c r="AE183" s="487">
        <f>G183*'4C2 Open-burning '!$C$10*'4C2 Open-burning '!$C$11*$C$5*G$15</f>
        <v>0</v>
      </c>
      <c r="AF183" s="487">
        <f>H183*'4C2 Open-burning '!$C$10*'4C2 Open-burning '!$C$11*$C$5*H$15</f>
        <v>0</v>
      </c>
      <c r="AG183" s="487">
        <f>I183*'4C2 Open-burning '!$C$10*'4C2 Open-burning '!$C$11*$C$5*I$15</f>
        <v>2.2739655201096831E-2</v>
      </c>
      <c r="AH183" s="488">
        <f t="shared" si="18"/>
        <v>4.7082321993113047E-2</v>
      </c>
      <c r="AI183" s="1388"/>
      <c r="AJ183" s="1388"/>
      <c r="AK183" s="1388"/>
      <c r="AL183" s="4"/>
      <c r="AM183" s="4"/>
    </row>
    <row r="184" spans="1:39">
      <c r="A184" s="959">
        <f>'Input data'!A145</f>
        <v>2045</v>
      </c>
      <c r="B184" s="560">
        <f>'Recycling - Case 3'!AP125</f>
        <v>4.3700479411766198E-2</v>
      </c>
      <c r="C184" s="527">
        <f>$B184*'Recycling - Case 3'!$AK125*'Recycling - Case 3'!BM125</f>
        <v>251.23662329524964</v>
      </c>
      <c r="D184" s="528">
        <f>$B184*'Recycling - Case 3'!$AK125*'Recycling - Case 3'!BN125</f>
        <v>262.39284268107218</v>
      </c>
      <c r="E184" s="528">
        <f>$B184*'Recycling - Case 3'!$AK125*'Recycling - Case 3'!BO125</f>
        <v>71.667450972527817</v>
      </c>
      <c r="F184" s="528">
        <f>$B184*'Recycling - Case 3'!$AK125*'Recycling - Case 3'!BP125</f>
        <v>0</v>
      </c>
      <c r="G184" s="528">
        <f>$B184*'Recycling - Case 3'!$AK125*'Recycling - Case 3'!BQ125</f>
        <v>0</v>
      </c>
      <c r="H184" s="528">
        <f>$B184*'Recycling - Case 3'!$AK125*'Recycling - Case 3'!BR125</f>
        <v>0</v>
      </c>
      <c r="I184" s="528">
        <f>$B184*'Recycling - Case 3'!$AK125*'Recycling - Case 3'!BS125</f>
        <v>280.19511069685785</v>
      </c>
      <c r="J184" s="744">
        <f t="shared" si="19"/>
        <v>865.49202764570759</v>
      </c>
      <c r="K184" s="106">
        <f>'4C2 Open-burning '!C$14*'4C2 Open-burning '!$C$5*'4C2 Open-burning '!$C$6*'4C2 Open-burning '!$C$7*C184</f>
        <v>0</v>
      </c>
      <c r="L184" s="106">
        <f>'4C2 Open-burning '!D$14*'4C2 Open-burning '!$C$5*'4C2 Open-burning '!$C$6*'4C2 Open-burning '!$C$7*D184</f>
        <v>0</v>
      </c>
      <c r="M184" s="106">
        <f>'4C2 Open-burning '!E$14*'4C2 Open-burning '!$C$5*'4C2 Open-burning '!$C$6*'4C2 Open-burning '!$C$7*E184</f>
        <v>0.37859334320551435</v>
      </c>
      <c r="N184" s="106">
        <f>'4C2 Open-burning '!F$14*'4C2 Open-burning '!$C$5*'4C2 Open-burning '!$C$6*'4C2 Open-burning '!$C$7*F184</f>
        <v>0</v>
      </c>
      <c r="O184" s="106">
        <f>'4C2 Open-burning '!G$14*'4C2 Open-burning '!$C$5*'4C2 Open-burning '!$C$6*'4C2 Open-burning '!$C$7*G184</f>
        <v>0</v>
      </c>
      <c r="P184" s="106">
        <f>'4C2 Open-burning '!H$14*'4C2 Open-burning '!$C$5*'4C2 Open-burning '!$C$6*'4C2 Open-burning '!$C$7*H184</f>
        <v>0</v>
      </c>
      <c r="Q184" s="106">
        <f>'4C2 Open-burning '!I$14*'4C2 Open-burning '!$C$5*'4C2 Open-burning '!$C$6*'4C2 Open-burning '!$C$7*I184</f>
        <v>9.6532819537281451</v>
      </c>
      <c r="R184" s="1384">
        <f t="shared" si="16"/>
        <v>10.031875296933659</v>
      </c>
      <c r="S184" s="484">
        <f>C184*'4C2 Open-burning '!$C$9*'4C2 Open-burning '!$C$11*$C$5</f>
        <v>0.97982283085147348</v>
      </c>
      <c r="T184" s="485">
        <f>D184*'4C2 Open-burning '!$C$9*'4C2 Open-burning '!$C$11*$C$5</f>
        <v>1.0233320864561815</v>
      </c>
      <c r="U184" s="485">
        <f>E184*'4C2 Open-burning '!$C$9*'4C2 Open-burning '!$C$11*$C$5</f>
        <v>0.27950305879285847</v>
      </c>
      <c r="V184" s="485">
        <f>F184*'4C2 Open-burning '!$C$9*'4C2 Open-burning '!$C$11*$C$5</f>
        <v>0</v>
      </c>
      <c r="W184" s="485">
        <f>G184*'4C2 Open-burning '!$C$9*'4C2 Open-burning '!$C$11*$C$5</f>
        <v>0</v>
      </c>
      <c r="X184" s="485">
        <f>H184*'4C2 Open-burning '!$C$9*'4C2 Open-burning '!$C$11*$C$5</f>
        <v>0</v>
      </c>
      <c r="Y184" s="485">
        <f>I184*'4C2 Open-burning '!$C$9*'4C2 Open-burning '!$C$11*$C$5</f>
        <v>1.0927609317177456</v>
      </c>
      <c r="Z184" s="486">
        <f t="shared" si="17"/>
        <v>3.3754189078182595</v>
      </c>
      <c r="AA184" s="1630">
        <f>C184*'4C2 Open-burning '!$C$10*'4C2 Open-burning '!$C$11*$C$5*C$15</f>
        <v>9.044518438628987E-3</v>
      </c>
      <c r="AB184" s="487">
        <f>D184*'4C2 Open-burning '!$C$10*'4C2 Open-burning '!$C$11*$C$5*D$15</f>
        <v>9.4461423365185971E-3</v>
      </c>
      <c r="AC184" s="487">
        <f>E184*'4C2 Open-burning '!$C$10*'4C2 Open-burning '!$C$11*$C$5*E$15</f>
        <v>5.8050635287747523E-3</v>
      </c>
      <c r="AD184" s="487">
        <f>F184*'4C2 Open-burning '!$C$10*'4C2 Open-burning '!$C$11*$C$5*F$15</f>
        <v>0</v>
      </c>
      <c r="AE184" s="487">
        <f>G184*'4C2 Open-burning '!$C$10*'4C2 Open-burning '!$C$11*$C$5*G$15</f>
        <v>0</v>
      </c>
      <c r="AF184" s="487">
        <f>H184*'4C2 Open-burning '!$C$10*'4C2 Open-burning '!$C$11*$C$5*H$15</f>
        <v>0</v>
      </c>
      <c r="AG184" s="487">
        <f>I184*'4C2 Open-burning '!$C$10*'4C2 Open-burning '!$C$11*$C$5*I$15</f>
        <v>2.2695803966445483E-2</v>
      </c>
      <c r="AH184" s="488">
        <f t="shared" si="18"/>
        <v>4.6991528270367816E-2</v>
      </c>
      <c r="AI184" s="1388"/>
      <c r="AJ184" s="1388"/>
      <c r="AK184" s="1388"/>
      <c r="AL184" s="4"/>
      <c r="AM184" s="4"/>
    </row>
    <row r="185" spans="1:39">
      <c r="A185" s="959">
        <f>'Input data'!A146</f>
        <v>2046</v>
      </c>
      <c r="B185" s="560">
        <f>'Recycling - Case 3'!AP126</f>
        <v>4.3519432813026476E-2</v>
      </c>
      <c r="C185" s="527">
        <f>$B185*'Recycling - Case 3'!$AK126*'Recycling - Case 3'!BM126</f>
        <v>250.84106476572731</v>
      </c>
      <c r="D185" s="528">
        <f>$B185*'Recycling - Case 3'!$AK126*'Recycling - Case 3'!BN126</f>
        <v>261.97971928510077</v>
      </c>
      <c r="E185" s="528">
        <f>$B185*'Recycling - Case 3'!$AK126*'Recycling - Case 3'!BO126</f>
        <v>71.554614431622738</v>
      </c>
      <c r="F185" s="528">
        <f>$B185*'Recycling - Case 3'!$AK126*'Recycling - Case 3'!BP126</f>
        <v>0</v>
      </c>
      <c r="G185" s="528">
        <f>$B185*'Recycling - Case 3'!$AK126*'Recycling - Case 3'!BQ126</f>
        <v>0</v>
      </c>
      <c r="H185" s="528">
        <f>$B185*'Recycling - Case 3'!$AK126*'Recycling - Case 3'!BR126</f>
        <v>0</v>
      </c>
      <c r="I185" s="528">
        <f>$B185*'Recycling - Case 3'!$AK126*'Recycling - Case 3'!BS126</f>
        <v>279.75395858888533</v>
      </c>
      <c r="J185" s="744">
        <f t="shared" si="19"/>
        <v>864.12935707133613</v>
      </c>
      <c r="K185" s="106">
        <f>'4C2 Open-burning '!C$14*'4C2 Open-burning '!$C$5*'4C2 Open-burning '!$C$6*'4C2 Open-burning '!$C$7*C185</f>
        <v>0</v>
      </c>
      <c r="L185" s="106">
        <f>'4C2 Open-burning '!D$14*'4C2 Open-burning '!$C$5*'4C2 Open-burning '!$C$6*'4C2 Open-burning '!$C$7*D185</f>
        <v>0</v>
      </c>
      <c r="M185" s="106">
        <f>'4C2 Open-burning '!E$14*'4C2 Open-burning '!$C$5*'4C2 Open-burning '!$C$6*'4C2 Open-burning '!$C$7*E185</f>
        <v>0.37799726838106751</v>
      </c>
      <c r="N185" s="106">
        <f>'4C2 Open-burning '!F$14*'4C2 Open-burning '!$C$5*'4C2 Open-burning '!$C$6*'4C2 Open-burning '!$C$7*F185</f>
        <v>0</v>
      </c>
      <c r="O185" s="106">
        <f>'4C2 Open-burning '!G$14*'4C2 Open-burning '!$C$5*'4C2 Open-burning '!$C$6*'4C2 Open-burning '!$C$7*G185</f>
        <v>0</v>
      </c>
      <c r="P185" s="106">
        <f>'4C2 Open-burning '!H$14*'4C2 Open-burning '!$C$5*'4C2 Open-burning '!$C$6*'4C2 Open-burning '!$C$7*H185</f>
        <v>0</v>
      </c>
      <c r="Q185" s="106">
        <f>'4C2 Open-burning '!I$14*'4C2 Open-burning '!$C$5*'4C2 Open-burning '!$C$6*'4C2 Open-burning '!$C$7*I185</f>
        <v>9.638083381304277</v>
      </c>
      <c r="R185" s="1384">
        <f t="shared" si="16"/>
        <v>10.016080649685344</v>
      </c>
      <c r="S185" s="484">
        <f>C185*'4C2 Open-burning '!$C$9*'4C2 Open-burning '!$C$11*$C$5</f>
        <v>0.97828015258633649</v>
      </c>
      <c r="T185" s="485">
        <f>D185*'4C2 Open-burning '!$C$9*'4C2 Open-burning '!$C$11*$C$5</f>
        <v>1.021720905211893</v>
      </c>
      <c r="U185" s="485">
        <f>E185*'4C2 Open-burning '!$C$9*'4C2 Open-burning '!$C$11*$C$5</f>
        <v>0.2790629962833287</v>
      </c>
      <c r="V185" s="485">
        <f>F185*'4C2 Open-burning '!$C$9*'4C2 Open-burning '!$C$11*$C$5</f>
        <v>0</v>
      </c>
      <c r="W185" s="485">
        <f>G185*'4C2 Open-burning '!$C$9*'4C2 Open-burning '!$C$11*$C$5</f>
        <v>0</v>
      </c>
      <c r="X185" s="485">
        <f>H185*'4C2 Open-burning '!$C$9*'4C2 Open-burning '!$C$11*$C$5</f>
        <v>0</v>
      </c>
      <c r="Y185" s="485">
        <f>I185*'4C2 Open-burning '!$C$9*'4C2 Open-burning '!$C$11*$C$5</f>
        <v>1.0910404384966528</v>
      </c>
      <c r="Z185" s="486">
        <f t="shared" si="17"/>
        <v>3.3701044925782111</v>
      </c>
      <c r="AA185" s="1630">
        <f>C185*'4C2 Open-burning '!$C$10*'4C2 Open-burning '!$C$11*$C$5*C$15</f>
        <v>9.0302783315661835E-3</v>
      </c>
      <c r="AB185" s="487">
        <f>D185*'4C2 Open-burning '!$C$10*'4C2 Open-burning '!$C$11*$C$5*D$15</f>
        <v>9.4312698942636275E-3</v>
      </c>
      <c r="AC185" s="487">
        <f>E185*'4C2 Open-burning '!$C$10*'4C2 Open-burning '!$C$11*$C$5*E$15</f>
        <v>5.7959237689614411E-3</v>
      </c>
      <c r="AD185" s="487">
        <f>F185*'4C2 Open-burning '!$C$10*'4C2 Open-burning '!$C$11*$C$5*F$15</f>
        <v>0</v>
      </c>
      <c r="AE185" s="487">
        <f>G185*'4C2 Open-burning '!$C$10*'4C2 Open-burning '!$C$11*$C$5*G$15</f>
        <v>0</v>
      </c>
      <c r="AF185" s="487">
        <f>H185*'4C2 Open-burning '!$C$10*'4C2 Open-burning '!$C$11*$C$5*H$15</f>
        <v>0</v>
      </c>
      <c r="AG185" s="487">
        <f>I185*'4C2 Open-burning '!$C$10*'4C2 Open-burning '!$C$11*$C$5*I$15</f>
        <v>2.2660070645699713E-2</v>
      </c>
      <c r="AH185" s="488">
        <f t="shared" si="18"/>
        <v>4.6917542640490965E-2</v>
      </c>
      <c r="AI185" s="1388"/>
      <c r="AJ185" s="1388"/>
      <c r="AK185" s="1388"/>
      <c r="AL185" s="4"/>
      <c r="AM185" s="4"/>
    </row>
    <row r="186" spans="1:39">
      <c r="A186" s="959">
        <f>'Input data'!A147</f>
        <v>2047</v>
      </c>
      <c r="B186" s="560">
        <f>'Recycling - Case 3'!AP127</f>
        <v>4.3339269389548955E-2</v>
      </c>
      <c r="C186" s="527">
        <f>$B186*'Recycling - Case 3'!$AK127*'Recycling - Case 3'!BM127</f>
        <v>250.44874940831926</v>
      </c>
      <c r="D186" s="528">
        <f>$B186*'Recycling - Case 3'!$AK127*'Recycling - Case 3'!BN127</f>
        <v>261.56998307503892</v>
      </c>
      <c r="E186" s="528">
        <f>$B186*'Recycling - Case 3'!$AK127*'Recycling - Case 3'!BO127</f>
        <v>71.442703034016631</v>
      </c>
      <c r="F186" s="528">
        <f>$B186*'Recycling - Case 3'!$AK127*'Recycling - Case 3'!BP127</f>
        <v>0</v>
      </c>
      <c r="G186" s="528">
        <f>$B186*'Recycling - Case 3'!$AK127*'Recycling - Case 3'!BQ127</f>
        <v>0</v>
      </c>
      <c r="H186" s="528">
        <f>$B186*'Recycling - Case 3'!$AK127*'Recycling - Case 3'!BR127</f>
        <v>0</v>
      </c>
      <c r="I186" s="528">
        <f>$B186*'Recycling - Case 3'!$AK127*'Recycling - Case 3'!BS127</f>
        <v>279.31642347336265</v>
      </c>
      <c r="J186" s="744">
        <f t="shared" si="19"/>
        <v>862.77785899073751</v>
      </c>
      <c r="K186" s="106">
        <f>'4C2 Open-burning '!C$14*'4C2 Open-burning '!$C$5*'4C2 Open-burning '!$C$6*'4C2 Open-burning '!$C$7*C186</f>
        <v>0</v>
      </c>
      <c r="L186" s="106">
        <f>'4C2 Open-burning '!D$14*'4C2 Open-burning '!$C$5*'4C2 Open-burning '!$C$6*'4C2 Open-burning '!$C$7*D186</f>
        <v>0</v>
      </c>
      <c r="M186" s="106">
        <f>'4C2 Open-burning '!E$14*'4C2 Open-burning '!$C$5*'4C2 Open-burning '!$C$6*'4C2 Open-burning '!$C$7*E186</f>
        <v>0.3774060807556176</v>
      </c>
      <c r="N186" s="106">
        <f>'4C2 Open-burning '!F$14*'4C2 Open-burning '!$C$5*'4C2 Open-burning '!$C$6*'4C2 Open-burning '!$C$7*F186</f>
        <v>0</v>
      </c>
      <c r="O186" s="106">
        <f>'4C2 Open-burning '!G$14*'4C2 Open-burning '!$C$5*'4C2 Open-burning '!$C$6*'4C2 Open-burning '!$C$7*G186</f>
        <v>0</v>
      </c>
      <c r="P186" s="106">
        <f>'4C2 Open-burning '!H$14*'4C2 Open-burning '!$C$5*'4C2 Open-burning '!$C$6*'4C2 Open-burning '!$C$7*H186</f>
        <v>0</v>
      </c>
      <c r="Q186" s="106">
        <f>'4C2 Open-burning '!I$14*'4C2 Open-burning '!$C$5*'4C2 Open-burning '!$C$6*'4C2 Open-burning '!$C$7*I186</f>
        <v>9.623009421504289</v>
      </c>
      <c r="R186" s="1384">
        <f t="shared" si="16"/>
        <v>10.000415502259907</v>
      </c>
      <c r="S186" s="484">
        <f>C186*'4C2 Open-burning '!$C$9*'4C2 Open-burning '!$C$11*$C$5</f>
        <v>0.9767501226924451</v>
      </c>
      <c r="T186" s="485">
        <f>D186*'4C2 Open-burning '!$C$9*'4C2 Open-burning '!$C$11*$C$5</f>
        <v>1.0201229339926516</v>
      </c>
      <c r="U186" s="485">
        <f>E186*'4C2 Open-burning '!$C$9*'4C2 Open-burning '!$C$11*$C$5</f>
        <v>0.27862654183266483</v>
      </c>
      <c r="V186" s="485">
        <f>F186*'4C2 Open-burning '!$C$9*'4C2 Open-burning '!$C$11*$C$5</f>
        <v>0</v>
      </c>
      <c r="W186" s="485">
        <f>G186*'4C2 Open-burning '!$C$9*'4C2 Open-burning '!$C$11*$C$5</f>
        <v>0</v>
      </c>
      <c r="X186" s="485">
        <f>H186*'4C2 Open-burning '!$C$9*'4C2 Open-burning '!$C$11*$C$5</f>
        <v>0</v>
      </c>
      <c r="Y186" s="485">
        <f>I186*'4C2 Open-burning '!$C$9*'4C2 Open-burning '!$C$11*$C$5</f>
        <v>1.0893340515461141</v>
      </c>
      <c r="Z186" s="486">
        <f t="shared" si="17"/>
        <v>3.3648336500638756</v>
      </c>
      <c r="AA186" s="1630">
        <f>C186*'4C2 Open-burning '!$C$10*'4C2 Open-burning '!$C$11*$C$5*C$15</f>
        <v>9.0161549786994932E-3</v>
      </c>
      <c r="AB186" s="487">
        <f>D186*'4C2 Open-burning '!$C$10*'4C2 Open-burning '!$C$11*$C$5*D$15</f>
        <v>9.4165193907014E-3</v>
      </c>
      <c r="AC186" s="487">
        <f>E186*'4C2 Open-burning '!$C$10*'4C2 Open-burning '!$C$11*$C$5*E$15</f>
        <v>5.7868589457553471E-3</v>
      </c>
      <c r="AD186" s="487">
        <f>F186*'4C2 Open-burning '!$C$10*'4C2 Open-burning '!$C$11*$C$5*F$15</f>
        <v>0</v>
      </c>
      <c r="AE186" s="487">
        <f>G186*'4C2 Open-burning '!$C$10*'4C2 Open-burning '!$C$11*$C$5*G$15</f>
        <v>0</v>
      </c>
      <c r="AF186" s="487">
        <f>H186*'4C2 Open-burning '!$C$10*'4C2 Open-burning '!$C$11*$C$5*H$15</f>
        <v>0</v>
      </c>
      <c r="AG186" s="487">
        <f>I186*'4C2 Open-burning '!$C$10*'4C2 Open-burning '!$C$11*$C$5*I$15</f>
        <v>2.2624630301342374E-2</v>
      </c>
      <c r="AH186" s="488">
        <f t="shared" si="18"/>
        <v>4.6844163616498617E-2</v>
      </c>
      <c r="AI186" s="1388"/>
      <c r="AJ186" s="1388"/>
      <c r="AK186" s="1388"/>
      <c r="AL186" s="4"/>
      <c r="AM186" s="4"/>
    </row>
    <row r="187" spans="1:39">
      <c r="A187" s="959">
        <f>'Input data'!A148</f>
        <v>2048</v>
      </c>
      <c r="B187" s="560">
        <f>'Recycling - Case 3'!AP128</f>
        <v>4.3159981189882027E-2</v>
      </c>
      <c r="C187" s="527">
        <f>$B187*'Recycling - Case 3'!$AK128*'Recycling - Case 3'!BM128</f>
        <v>250.05964252346925</v>
      </c>
      <c r="D187" s="528">
        <f>$B187*'Recycling - Case 3'!$AK128*'Recycling - Case 3'!BN128</f>
        <v>261.16359781048857</v>
      </c>
      <c r="E187" s="528">
        <f>$B187*'Recycling - Case 3'!$AK128*'Recycling - Case 3'!BO128</f>
        <v>71.331706881356638</v>
      </c>
      <c r="F187" s="528">
        <f>$B187*'Recycling - Case 3'!$AK128*'Recycling - Case 3'!BP128</f>
        <v>0</v>
      </c>
      <c r="G187" s="528">
        <f>$B187*'Recycling - Case 3'!$AK128*'Recycling - Case 3'!BQ128</f>
        <v>0</v>
      </c>
      <c r="H187" s="528">
        <f>$B187*'Recycling - Case 3'!$AK128*'Recycling - Case 3'!BR128</f>
        <v>0</v>
      </c>
      <c r="I187" s="528">
        <f>$B187*'Recycling - Case 3'!$AK128*'Recycling - Case 3'!BS128</f>
        <v>278.88246665113081</v>
      </c>
      <c r="J187" s="744">
        <f t="shared" si="19"/>
        <v>861.43741386644535</v>
      </c>
      <c r="K187" s="106">
        <f>'4C2 Open-burning '!C$14*'4C2 Open-burning '!$C$5*'4C2 Open-burning '!$C$6*'4C2 Open-burning '!$C$7*C187</f>
        <v>0</v>
      </c>
      <c r="L187" s="106">
        <f>'4C2 Open-burning '!D$14*'4C2 Open-burning '!$C$5*'4C2 Open-burning '!$C$6*'4C2 Open-burning '!$C$7*D187</f>
        <v>0</v>
      </c>
      <c r="M187" s="106">
        <f>'4C2 Open-burning '!E$14*'4C2 Open-burning '!$C$5*'4C2 Open-burning '!$C$6*'4C2 Open-burning '!$C$7*E187</f>
        <v>0.3768197280397298</v>
      </c>
      <c r="N187" s="106">
        <f>'4C2 Open-burning '!F$14*'4C2 Open-burning '!$C$5*'4C2 Open-burning '!$C$6*'4C2 Open-burning '!$C$7*F187</f>
        <v>0</v>
      </c>
      <c r="O187" s="106">
        <f>'4C2 Open-burning '!G$14*'4C2 Open-burning '!$C$5*'4C2 Open-burning '!$C$6*'4C2 Open-burning '!$C$7*G187</f>
        <v>0</v>
      </c>
      <c r="P187" s="106">
        <f>'4C2 Open-burning '!H$14*'4C2 Open-burning '!$C$5*'4C2 Open-burning '!$C$6*'4C2 Open-burning '!$C$7*H187</f>
        <v>0</v>
      </c>
      <c r="Q187" s="106">
        <f>'4C2 Open-burning '!I$14*'4C2 Open-burning '!$C$5*'4C2 Open-burning '!$C$6*'4C2 Open-burning '!$C$7*I187</f>
        <v>9.6080587410647578</v>
      </c>
      <c r="R187" s="1384">
        <f t="shared" si="16"/>
        <v>9.984878469104487</v>
      </c>
      <c r="S187" s="484">
        <f>C187*'4C2 Open-burning '!$C$9*'4C2 Open-burning '!$C$11*$C$5</f>
        <v>0.97523260584153004</v>
      </c>
      <c r="T187" s="485">
        <f>D187*'4C2 Open-burning '!$C$9*'4C2 Open-burning '!$C$11*$C$5</f>
        <v>1.0185380314609054</v>
      </c>
      <c r="U187" s="485">
        <f>E187*'4C2 Open-burning '!$C$9*'4C2 Open-burning '!$C$11*$C$5</f>
        <v>0.27819365683729086</v>
      </c>
      <c r="V187" s="485">
        <f>F187*'4C2 Open-burning '!$C$9*'4C2 Open-burning '!$C$11*$C$5</f>
        <v>0</v>
      </c>
      <c r="W187" s="485">
        <f>G187*'4C2 Open-burning '!$C$9*'4C2 Open-burning '!$C$11*$C$5</f>
        <v>0</v>
      </c>
      <c r="X187" s="485">
        <f>H187*'4C2 Open-burning '!$C$9*'4C2 Open-burning '!$C$11*$C$5</f>
        <v>0</v>
      </c>
      <c r="Y187" s="485">
        <f>I187*'4C2 Open-burning '!$C$9*'4C2 Open-burning '!$C$11*$C$5</f>
        <v>1.0876416199394101</v>
      </c>
      <c r="Z187" s="486">
        <f t="shared" si="17"/>
        <v>3.3596059140791361</v>
      </c>
      <c r="AA187" s="1630">
        <f>C187*'4C2 Open-burning '!$C$10*'4C2 Open-burning '!$C$11*$C$5*C$15</f>
        <v>9.0021471308448908E-3</v>
      </c>
      <c r="AB187" s="487">
        <f>D187*'4C2 Open-burning '!$C$10*'4C2 Open-burning '!$C$11*$C$5*D$15</f>
        <v>9.401889521177589E-3</v>
      </c>
      <c r="AC187" s="487">
        <f>E187*'4C2 Open-burning '!$C$10*'4C2 Open-burning '!$C$11*$C$5*E$15</f>
        <v>5.7778682573898874E-3</v>
      </c>
      <c r="AD187" s="487">
        <f>F187*'4C2 Open-burning '!$C$10*'4C2 Open-burning '!$C$11*$C$5*F$15</f>
        <v>0</v>
      </c>
      <c r="AE187" s="487">
        <f>G187*'4C2 Open-burning '!$C$10*'4C2 Open-burning '!$C$11*$C$5*G$15</f>
        <v>0</v>
      </c>
      <c r="AF187" s="487">
        <f>H187*'4C2 Open-burning '!$C$10*'4C2 Open-burning '!$C$11*$C$5*H$15</f>
        <v>0</v>
      </c>
      <c r="AG187" s="487">
        <f>I187*'4C2 Open-burning '!$C$10*'4C2 Open-burning '!$C$11*$C$5*I$15</f>
        <v>2.2589479798741593E-2</v>
      </c>
      <c r="AH187" s="488">
        <f t="shared" si="18"/>
        <v>4.6771384708153965E-2</v>
      </c>
      <c r="AI187" s="1388"/>
      <c r="AJ187" s="1388"/>
      <c r="AK187" s="1388"/>
      <c r="AL187" s="4"/>
      <c r="AM187" s="4"/>
    </row>
    <row r="188" spans="1:39">
      <c r="A188" s="959">
        <f>'Input data'!A149</f>
        <v>2049</v>
      </c>
      <c r="B188" s="560">
        <f>'Recycling - Case 3'!AP129</f>
        <v>4.2981560380265717E-2</v>
      </c>
      <c r="C188" s="527">
        <f>$B188*'Recycling - Case 3'!$AK129*'Recycling - Case 3'!BM129</f>
        <v>249.6737098943648</v>
      </c>
      <c r="D188" s="528">
        <f>$B188*'Recycling - Case 3'!$AK129*'Recycling - Case 3'!BN129</f>
        <v>260.76052775523203</v>
      </c>
      <c r="E188" s="528">
        <f>$B188*'Recycling - Case 3'!$AK129*'Recycling - Case 3'!BO129</f>
        <v>71.221616212996807</v>
      </c>
      <c r="F188" s="528">
        <f>$B188*'Recycling - Case 3'!$AK129*'Recycling - Case 3'!BP129</f>
        <v>0</v>
      </c>
      <c r="G188" s="528">
        <f>$B188*'Recycling - Case 3'!$AK129*'Recycling - Case 3'!BQ129</f>
        <v>0</v>
      </c>
      <c r="H188" s="528">
        <f>$B188*'Recycling - Case 3'!$AK129*'Recycling - Case 3'!BR129</f>
        <v>0</v>
      </c>
      <c r="I188" s="528">
        <f>$B188*'Recycling - Case 3'!$AK129*'Recycling - Case 3'!BS129</f>
        <v>278.45204996141769</v>
      </c>
      <c r="J188" s="744">
        <f t="shared" si="19"/>
        <v>860.10790382401137</v>
      </c>
      <c r="K188" s="106">
        <f>'4C2 Open-burning '!C$14*'4C2 Open-burning '!$C$5*'4C2 Open-burning '!$C$6*'4C2 Open-burning '!$C$7*C188</f>
        <v>0</v>
      </c>
      <c r="L188" s="106">
        <f>'4C2 Open-burning '!D$14*'4C2 Open-burning '!$C$5*'4C2 Open-burning '!$C$6*'4C2 Open-burning '!$C$7*D188</f>
        <v>0</v>
      </c>
      <c r="M188" s="106">
        <f>'4C2 Open-burning '!E$14*'4C2 Open-burning '!$C$5*'4C2 Open-burning '!$C$6*'4C2 Open-burning '!$C$7*E188</f>
        <v>0.37623815867142546</v>
      </c>
      <c r="N188" s="106">
        <f>'4C2 Open-burning '!F$14*'4C2 Open-burning '!$C$5*'4C2 Open-burning '!$C$6*'4C2 Open-burning '!$C$7*F188</f>
        <v>0</v>
      </c>
      <c r="O188" s="106">
        <f>'4C2 Open-burning '!G$14*'4C2 Open-burning '!$C$5*'4C2 Open-burning '!$C$6*'4C2 Open-burning '!$C$7*G188</f>
        <v>0</v>
      </c>
      <c r="P188" s="106">
        <f>'4C2 Open-burning '!H$14*'4C2 Open-burning '!$C$5*'4C2 Open-burning '!$C$6*'4C2 Open-burning '!$C$7*H188</f>
        <v>0</v>
      </c>
      <c r="Q188" s="106">
        <f>'4C2 Open-burning '!I$14*'4C2 Open-burning '!$C$5*'4C2 Open-burning '!$C$6*'4C2 Open-burning '!$C$7*I188</f>
        <v>9.5932300252707616</v>
      </c>
      <c r="R188" s="1384">
        <f t="shared" si="16"/>
        <v>9.9694681839421868</v>
      </c>
      <c r="S188" s="484">
        <f>C188*'4C2 Open-burning '!$C$9*'4C2 Open-burning '!$C$11*$C$5</f>
        <v>0.97372746858802262</v>
      </c>
      <c r="T188" s="485">
        <f>D188*'4C2 Open-burning '!$C$9*'4C2 Open-burning '!$C$11*$C$5</f>
        <v>1.0169660582454048</v>
      </c>
      <c r="U188" s="485">
        <f>E188*'4C2 Open-burning '!$C$9*'4C2 Open-burning '!$C$11*$C$5</f>
        <v>0.27776430323068751</v>
      </c>
      <c r="V188" s="485">
        <f>F188*'4C2 Open-burning '!$C$9*'4C2 Open-burning '!$C$11*$C$5</f>
        <v>0</v>
      </c>
      <c r="W188" s="485">
        <f>G188*'4C2 Open-burning '!$C$9*'4C2 Open-burning '!$C$11*$C$5</f>
        <v>0</v>
      </c>
      <c r="X188" s="485">
        <f>H188*'4C2 Open-burning '!$C$9*'4C2 Open-burning '!$C$11*$C$5</f>
        <v>0</v>
      </c>
      <c r="Y188" s="485">
        <f>I188*'4C2 Open-burning '!$C$9*'4C2 Open-burning '!$C$11*$C$5</f>
        <v>1.0859629948495289</v>
      </c>
      <c r="Z188" s="486">
        <f t="shared" si="17"/>
        <v>3.3544208249136438</v>
      </c>
      <c r="AA188" s="1630">
        <f>C188*'4C2 Open-burning '!$C$10*'4C2 Open-burning '!$C$11*$C$5*C$15</f>
        <v>8.9882535561971334E-3</v>
      </c>
      <c r="AB188" s="487">
        <f>D188*'4C2 Open-burning '!$C$10*'4C2 Open-burning '!$C$11*$C$5*D$15</f>
        <v>9.3873789991883536E-3</v>
      </c>
      <c r="AC188" s="487">
        <f>E188*'4C2 Open-burning '!$C$10*'4C2 Open-burning '!$C$11*$C$5*E$15</f>
        <v>5.7689509132527409E-3</v>
      </c>
      <c r="AD188" s="487">
        <f>F188*'4C2 Open-burning '!$C$10*'4C2 Open-burning '!$C$11*$C$5*F$15</f>
        <v>0</v>
      </c>
      <c r="AE188" s="487">
        <f>G188*'4C2 Open-burning '!$C$10*'4C2 Open-burning '!$C$11*$C$5*G$15</f>
        <v>0</v>
      </c>
      <c r="AF188" s="487">
        <f>H188*'4C2 Open-burning '!$C$10*'4C2 Open-burning '!$C$11*$C$5*H$15</f>
        <v>0</v>
      </c>
      <c r="AG188" s="487">
        <f>I188*'4C2 Open-burning '!$C$10*'4C2 Open-burning '!$C$11*$C$5*I$15</f>
        <v>2.2554616046874833E-2</v>
      </c>
      <c r="AH188" s="488">
        <f t="shared" si="18"/>
        <v>4.669919951551306E-2</v>
      </c>
      <c r="AI188" s="1388"/>
      <c r="AJ188" s="1388"/>
      <c r="AK188" s="1388"/>
      <c r="AL188" s="4"/>
      <c r="AM188" s="4"/>
    </row>
    <row r="189" spans="1:39" ht="15.75" thickBot="1">
      <c r="A189" s="960">
        <f>'Input data'!A150</f>
        <v>2050</v>
      </c>
      <c r="B189" s="797">
        <f>'Recycling - Case 3'!AP130</f>
        <v>4.2803999242601289E-2</v>
      </c>
      <c r="C189" s="670">
        <f>$B189*'Recycling - Case 3'!$AK130*'Recycling - Case 3'!BM130</f>
        <v>249.29091777856027</v>
      </c>
      <c r="D189" s="667">
        <f>$B189*'Recycling - Case 3'!$AK130*'Recycling - Case 3'!BN130</f>
        <v>260.36073766848256</v>
      </c>
      <c r="E189" s="667">
        <f>$B189*'Recycling - Case 3'!$AK130*'Recycling - Case 3'!BO130</f>
        <v>71.112421403608479</v>
      </c>
      <c r="F189" s="667">
        <f>$B189*'Recycling - Case 3'!$AK130*'Recycling - Case 3'!BP130</f>
        <v>0</v>
      </c>
      <c r="G189" s="667">
        <f>$B189*'Recycling - Case 3'!$AK130*'Recycling - Case 3'!BQ130</f>
        <v>0</v>
      </c>
      <c r="H189" s="667">
        <f>$B189*'Recycling - Case 3'!$AK130*'Recycling - Case 3'!BR130</f>
        <v>0</v>
      </c>
      <c r="I189" s="667">
        <f>$B189*'Recycling - Case 3'!$AK130*'Recycling - Case 3'!BS130</f>
        <v>278.0251357724951</v>
      </c>
      <c r="J189" s="936">
        <f t="shared" si="19"/>
        <v>858.78921262314634</v>
      </c>
      <c r="K189" s="1385">
        <f>'4C2 Open-burning '!C$14*'4C2 Open-burning '!$C$5*'4C2 Open-burning '!$C$6*'4C2 Open-burning '!$C$7*C189</f>
        <v>0</v>
      </c>
      <c r="L189" s="1385">
        <f>'4C2 Open-burning '!D$14*'4C2 Open-burning '!$C$5*'4C2 Open-burning '!$C$6*'4C2 Open-burning '!$C$7*D189</f>
        <v>0</v>
      </c>
      <c r="M189" s="1385">
        <f>'4C2 Open-burning '!E$14*'4C2 Open-burning '!$C$5*'4C2 Open-burning '!$C$6*'4C2 Open-burning '!$C$7*E189</f>
        <v>0.37566132180355827</v>
      </c>
      <c r="N189" s="1385">
        <f>'4C2 Open-burning '!F$14*'4C2 Open-burning '!$C$5*'4C2 Open-burning '!$C$6*'4C2 Open-burning '!$C$7*F189</f>
        <v>0</v>
      </c>
      <c r="O189" s="1385">
        <f>'4C2 Open-burning '!G$14*'4C2 Open-burning '!$C$5*'4C2 Open-burning '!$C$6*'4C2 Open-burning '!$C$7*G189</f>
        <v>0</v>
      </c>
      <c r="P189" s="1385">
        <f>'4C2 Open-burning '!H$14*'4C2 Open-burning '!$C$5*'4C2 Open-burning '!$C$6*'4C2 Open-burning '!$C$7*H189</f>
        <v>0</v>
      </c>
      <c r="Q189" s="1385">
        <f>'4C2 Open-burning '!I$14*'4C2 Open-burning '!$C$5*'4C2 Open-burning '!$C$6*'4C2 Open-burning '!$C$7*I189</f>
        <v>9.5785219776340007</v>
      </c>
      <c r="R189" s="1386">
        <f t="shared" si="16"/>
        <v>9.9541832994375596</v>
      </c>
      <c r="S189" s="490">
        <f>C189*'4C2 Open-burning '!$C$9*'4C2 Open-burning '!$C$11*$C$5</f>
        <v>0.97223457933638491</v>
      </c>
      <c r="T189" s="491">
        <f>D189*'4C2 Open-burning '!$C$9*'4C2 Open-burning '!$C$11*$C$5</f>
        <v>1.0154068769070819</v>
      </c>
      <c r="U189" s="491">
        <f>E189*'4C2 Open-burning '!$C$9*'4C2 Open-burning '!$C$11*$C$5</f>
        <v>0.27733844347407305</v>
      </c>
      <c r="V189" s="491">
        <f>F189*'4C2 Open-burning '!$C$9*'4C2 Open-burning '!$C$11*$C$5</f>
        <v>0</v>
      </c>
      <c r="W189" s="491">
        <f>G189*'4C2 Open-burning '!$C$9*'4C2 Open-burning '!$C$11*$C$5</f>
        <v>0</v>
      </c>
      <c r="X189" s="491">
        <f>H189*'4C2 Open-burning '!$C$9*'4C2 Open-burning '!$C$11*$C$5</f>
        <v>0</v>
      </c>
      <c r="Y189" s="491">
        <f>I189*'4C2 Open-burning '!$C$9*'4C2 Open-burning '!$C$11*$C$5</f>
        <v>1.0842980295127309</v>
      </c>
      <c r="Z189" s="492">
        <f t="shared" si="17"/>
        <v>3.3492779292302708</v>
      </c>
      <c r="AA189" s="1631">
        <f>C189*'4C2 Open-burning '!$C$10*'4C2 Open-burning '!$C$11*$C$5*C$15</f>
        <v>8.9744730400281702E-3</v>
      </c>
      <c r="AB189" s="1632">
        <f>D189*'4C2 Open-burning '!$C$10*'4C2 Open-burning '!$C$11*$C$5*D$15</f>
        <v>9.3729865560653724E-3</v>
      </c>
      <c r="AC189" s="1632">
        <f>E189*'4C2 Open-burning '!$C$10*'4C2 Open-burning '!$C$11*$C$5*E$15</f>
        <v>5.7601061336922865E-3</v>
      </c>
      <c r="AD189" s="1632">
        <f>F189*'4C2 Open-burning '!$C$10*'4C2 Open-burning '!$C$11*$C$5*F$15</f>
        <v>0</v>
      </c>
      <c r="AE189" s="1632">
        <f>G189*'4C2 Open-burning '!$C$10*'4C2 Open-burning '!$C$11*$C$5*G$15</f>
        <v>0</v>
      </c>
      <c r="AF189" s="1632">
        <f>H189*'4C2 Open-burning '!$C$10*'4C2 Open-burning '!$C$11*$C$5*H$15</f>
        <v>0</v>
      </c>
      <c r="AG189" s="1632">
        <f>I189*'4C2 Open-burning '!$C$10*'4C2 Open-burning '!$C$11*$C$5*I$15</f>
        <v>2.2520035997572106E-2</v>
      </c>
      <c r="AH189" s="493">
        <f t="shared" si="18"/>
        <v>4.6627601727357935E-2</v>
      </c>
      <c r="AI189" s="1388"/>
      <c r="AJ189" s="1388"/>
      <c r="AK189" s="1388"/>
      <c r="AL189" s="4"/>
      <c r="AM189" s="4"/>
    </row>
    <row r="190" spans="1:39">
      <c r="A190" s="99"/>
      <c r="B190" s="560"/>
      <c r="C190" s="938"/>
      <c r="D190" s="938"/>
      <c r="E190" s="938"/>
      <c r="F190" s="938"/>
      <c r="G190" s="938"/>
      <c r="H190" s="938"/>
      <c r="I190" s="938"/>
      <c r="J190" s="939"/>
      <c r="K190" s="158"/>
      <c r="L190" s="158"/>
      <c r="M190" s="158"/>
      <c r="N190" s="158"/>
      <c r="O190" s="158"/>
      <c r="P190" s="158"/>
      <c r="Q190" s="158"/>
      <c r="R190" s="940"/>
      <c r="S190" s="158"/>
      <c r="T190" s="158"/>
      <c r="U190" s="158"/>
      <c r="V190" s="158"/>
      <c r="W190" s="158"/>
      <c r="X190" s="158"/>
      <c r="Y190" s="158"/>
      <c r="Z190" s="940"/>
      <c r="AA190" s="941"/>
      <c r="AB190" s="941"/>
      <c r="AC190" s="941"/>
      <c r="AD190" s="941"/>
      <c r="AE190" s="941"/>
      <c r="AF190" s="941"/>
      <c r="AG190" s="941"/>
      <c r="AH190" s="942"/>
      <c r="AI190" s="1388"/>
      <c r="AJ190" s="1390"/>
      <c r="AK190" s="1388"/>
      <c r="AL190" s="4"/>
      <c r="AM190" s="4"/>
    </row>
    <row r="191" spans="1:39">
      <c r="A191" s="99"/>
      <c r="B191" s="560"/>
      <c r="C191" s="938"/>
      <c r="D191" s="938"/>
      <c r="E191" s="938"/>
      <c r="F191" s="938"/>
      <c r="G191" s="938"/>
      <c r="H191" s="938"/>
      <c r="I191" s="938"/>
      <c r="J191" s="939"/>
      <c r="K191" s="158"/>
      <c r="L191" s="158"/>
      <c r="M191" s="158"/>
      <c r="N191" s="158"/>
      <c r="O191" s="158"/>
      <c r="P191" s="158"/>
      <c r="Q191" s="158"/>
      <c r="R191" s="940"/>
      <c r="S191" s="158"/>
      <c r="T191" s="158"/>
      <c r="U191" s="158"/>
      <c r="V191" s="158"/>
      <c r="W191" s="158"/>
      <c r="X191" s="158"/>
      <c r="Y191" s="158"/>
      <c r="Z191" s="940"/>
      <c r="AA191" s="941"/>
      <c r="AB191" s="941"/>
      <c r="AC191" s="941"/>
      <c r="AD191" s="941"/>
      <c r="AE191" s="941"/>
      <c r="AF191" s="941"/>
      <c r="AG191" s="941"/>
      <c r="AH191" s="942"/>
      <c r="AI191" s="1388"/>
      <c r="AJ191" s="1390"/>
      <c r="AK191" s="1388"/>
      <c r="AL191" s="4"/>
      <c r="AM191" s="4"/>
    </row>
    <row r="192" spans="1:39">
      <c r="A192" s="99"/>
      <c r="B192" s="560"/>
      <c r="C192" s="938"/>
      <c r="D192" s="938"/>
      <c r="E192" s="938"/>
      <c r="F192" s="938"/>
      <c r="G192" s="938"/>
      <c r="H192" s="938"/>
      <c r="I192" s="938"/>
      <c r="J192" s="939"/>
      <c r="K192" s="158"/>
      <c r="L192" s="158"/>
      <c r="M192" s="158"/>
      <c r="N192" s="158"/>
      <c r="O192" s="158"/>
      <c r="P192" s="158"/>
      <c r="Q192" s="158"/>
      <c r="R192" s="940"/>
      <c r="S192" s="158"/>
      <c r="T192" s="158"/>
      <c r="U192" s="158"/>
      <c r="V192" s="158"/>
      <c r="W192" s="158"/>
      <c r="X192" s="158"/>
      <c r="Y192" s="158"/>
      <c r="Z192" s="940"/>
      <c r="AA192" s="941"/>
      <c r="AB192" s="941"/>
      <c r="AC192" s="941"/>
      <c r="AD192" s="941"/>
      <c r="AE192" s="941"/>
      <c r="AF192" s="941"/>
      <c r="AG192" s="941"/>
      <c r="AH192" s="942"/>
      <c r="AI192" s="1388"/>
      <c r="AJ192" s="1390"/>
      <c r="AK192" s="1388"/>
      <c r="AL192" s="4"/>
      <c r="AM192" s="4"/>
    </row>
    <row r="193" spans="1:39">
      <c r="A193" s="99"/>
      <c r="B193" s="560"/>
      <c r="C193" s="938"/>
      <c r="D193" s="938"/>
      <c r="E193" s="938"/>
      <c r="F193" s="938"/>
      <c r="G193" s="938"/>
      <c r="H193" s="938"/>
      <c r="I193" s="938"/>
      <c r="J193" s="939"/>
      <c r="K193" s="158"/>
      <c r="L193" s="158"/>
      <c r="M193" s="158"/>
      <c r="N193" s="158"/>
      <c r="O193" s="158"/>
      <c r="P193" s="158"/>
      <c r="Q193" s="158"/>
      <c r="R193" s="940"/>
      <c r="S193" s="158"/>
      <c r="T193" s="158"/>
      <c r="U193" s="158"/>
      <c r="V193" s="158"/>
      <c r="W193" s="158"/>
      <c r="X193" s="158"/>
      <c r="Y193" s="158"/>
      <c r="Z193" s="940"/>
      <c r="AA193" s="941"/>
      <c r="AB193" s="941"/>
      <c r="AC193" s="941"/>
      <c r="AD193" s="941"/>
      <c r="AE193" s="941"/>
      <c r="AF193" s="941"/>
      <c r="AG193" s="941"/>
      <c r="AH193" s="942"/>
      <c r="AI193" s="1388"/>
      <c r="AJ193" s="1390"/>
      <c r="AK193" s="1388"/>
      <c r="AL193" s="4"/>
      <c r="AM193" s="4"/>
    </row>
    <row r="194" spans="1:39">
      <c r="A194" s="99"/>
      <c r="B194" s="560"/>
      <c r="C194" s="938"/>
      <c r="D194" s="938"/>
      <c r="E194" s="938"/>
      <c r="F194" s="938"/>
      <c r="G194" s="938"/>
      <c r="H194" s="938"/>
      <c r="I194" s="938"/>
      <c r="J194" s="939"/>
      <c r="K194" s="158"/>
      <c r="L194" s="158"/>
      <c r="M194" s="158"/>
      <c r="N194" s="158"/>
      <c r="O194" s="158"/>
      <c r="P194" s="158"/>
      <c r="Q194" s="158"/>
      <c r="R194" s="940"/>
      <c r="S194" s="158"/>
      <c r="T194" s="158"/>
      <c r="U194" s="158"/>
      <c r="V194" s="158"/>
      <c r="W194" s="158"/>
      <c r="X194" s="158"/>
      <c r="Y194" s="158"/>
      <c r="Z194" s="940"/>
      <c r="AA194" s="941"/>
      <c r="AB194" s="941"/>
      <c r="AC194" s="941"/>
      <c r="AD194" s="941"/>
      <c r="AE194" s="941"/>
      <c r="AF194" s="941"/>
      <c r="AG194" s="941"/>
      <c r="AH194" s="942"/>
      <c r="AI194" s="1388"/>
      <c r="AJ194" s="1390"/>
      <c r="AK194" s="1388"/>
      <c r="AL194" s="4"/>
      <c r="AM194" s="4"/>
    </row>
    <row r="195" spans="1:39">
      <c r="A195" s="99"/>
      <c r="B195" s="560"/>
      <c r="C195" s="938"/>
      <c r="D195" s="938"/>
      <c r="E195" s="938"/>
      <c r="F195" s="938"/>
      <c r="G195" s="938"/>
      <c r="H195" s="938"/>
      <c r="I195" s="938"/>
      <c r="J195" s="939"/>
      <c r="K195" s="158"/>
      <c r="L195" s="158"/>
      <c r="M195" s="158"/>
      <c r="N195" s="158"/>
      <c r="O195" s="158"/>
      <c r="P195" s="158"/>
      <c r="Q195" s="158"/>
      <c r="R195" s="940"/>
      <c r="S195" s="158"/>
      <c r="T195" s="158"/>
      <c r="U195" s="158"/>
      <c r="V195" s="158"/>
      <c r="W195" s="158"/>
      <c r="X195" s="158"/>
      <c r="Y195" s="158"/>
      <c r="Z195" s="940"/>
      <c r="AA195" s="941"/>
      <c r="AB195" s="941"/>
      <c r="AC195" s="941"/>
      <c r="AD195" s="941"/>
      <c r="AE195" s="941"/>
      <c r="AF195" s="941"/>
      <c r="AG195" s="941"/>
      <c r="AH195" s="942"/>
      <c r="AI195" s="1388"/>
      <c r="AJ195" s="1390"/>
      <c r="AK195" s="1388"/>
      <c r="AL195" s="4"/>
      <c r="AM195" s="4"/>
    </row>
    <row r="196" spans="1:39">
      <c r="A196" s="99"/>
      <c r="B196" s="560"/>
      <c r="C196" s="938"/>
      <c r="D196" s="938"/>
      <c r="E196" s="938"/>
      <c r="F196" s="938"/>
      <c r="G196" s="938"/>
      <c r="H196" s="938"/>
      <c r="I196" s="938"/>
      <c r="J196" s="939"/>
      <c r="K196" s="158"/>
      <c r="L196" s="158"/>
      <c r="M196" s="158"/>
      <c r="N196" s="158"/>
      <c r="O196" s="158"/>
      <c r="P196" s="158"/>
      <c r="Q196" s="158"/>
      <c r="R196" s="940"/>
      <c r="S196" s="158"/>
      <c r="T196" s="158"/>
      <c r="U196" s="158"/>
      <c r="V196" s="158"/>
      <c r="W196" s="158"/>
      <c r="X196" s="158"/>
      <c r="Y196" s="158"/>
      <c r="Z196" s="940"/>
      <c r="AA196" s="941"/>
      <c r="AB196" s="941"/>
      <c r="AC196" s="941"/>
      <c r="AD196" s="941"/>
      <c r="AE196" s="941"/>
      <c r="AF196" s="941"/>
      <c r="AG196" s="941"/>
      <c r="AH196" s="942"/>
      <c r="AI196" s="1388"/>
      <c r="AJ196" s="1390"/>
      <c r="AK196" s="1388"/>
      <c r="AL196" s="4"/>
      <c r="AM196" s="4"/>
    </row>
    <row r="197" spans="1:39">
      <c r="A197" s="99"/>
      <c r="B197" s="560"/>
      <c r="C197" s="938"/>
      <c r="D197" s="938"/>
      <c r="E197" s="938"/>
      <c r="F197" s="938"/>
      <c r="G197" s="938"/>
      <c r="H197" s="938"/>
      <c r="I197" s="938"/>
      <c r="J197" s="939"/>
      <c r="K197" s="158"/>
      <c r="L197" s="158"/>
      <c r="M197" s="158"/>
      <c r="N197" s="158"/>
      <c r="O197" s="158"/>
      <c r="P197" s="158"/>
      <c r="Q197" s="158"/>
      <c r="R197" s="940"/>
      <c r="S197" s="158"/>
      <c r="T197" s="158"/>
      <c r="U197" s="158"/>
      <c r="V197" s="158"/>
      <c r="W197" s="158"/>
      <c r="X197" s="158"/>
      <c r="Y197" s="158"/>
      <c r="Z197" s="940"/>
      <c r="AA197" s="941"/>
      <c r="AB197" s="941"/>
      <c r="AC197" s="941"/>
      <c r="AD197" s="941"/>
      <c r="AE197" s="941"/>
      <c r="AF197" s="941"/>
      <c r="AG197" s="941"/>
      <c r="AH197" s="942"/>
      <c r="AI197" s="1388"/>
      <c r="AJ197" s="1390"/>
      <c r="AK197" s="1388"/>
      <c r="AL197" s="4"/>
      <c r="AM197" s="4"/>
    </row>
    <row r="198" spans="1:39">
      <c r="A198" s="99"/>
      <c r="B198" s="560"/>
      <c r="C198" s="99"/>
      <c r="D198" s="99"/>
      <c r="E198" s="99"/>
      <c r="F198" s="99"/>
      <c r="G198" s="99"/>
      <c r="H198" s="99"/>
      <c r="I198" s="99"/>
      <c r="J198" s="340"/>
      <c r="K198" s="158"/>
      <c r="L198" s="158"/>
      <c r="M198" s="158"/>
      <c r="N198" s="158"/>
      <c r="O198" s="158"/>
      <c r="P198" s="158"/>
      <c r="Q198" s="158"/>
      <c r="R198" s="940"/>
      <c r="S198" s="158"/>
      <c r="T198" s="158"/>
      <c r="U198" s="158"/>
      <c r="V198" s="158"/>
      <c r="W198" s="158"/>
      <c r="X198" s="158"/>
      <c r="Y198" s="158"/>
      <c r="Z198" s="940"/>
      <c r="AA198" s="941"/>
      <c r="AB198" s="941"/>
      <c r="AC198" s="941"/>
      <c r="AD198" s="941"/>
      <c r="AE198" s="941"/>
      <c r="AF198" s="941"/>
      <c r="AG198" s="941"/>
      <c r="AH198" s="942"/>
      <c r="AI198" s="1388"/>
      <c r="AJ198" s="1390"/>
      <c r="AK198" s="1388"/>
      <c r="AL198" s="4"/>
      <c r="AM198" s="4"/>
    </row>
    <row r="199" spans="1:39">
      <c r="A199" s="99"/>
      <c r="B199" s="560"/>
      <c r="C199" s="99"/>
      <c r="D199" s="99"/>
      <c r="E199" s="99"/>
      <c r="F199" s="99"/>
      <c r="G199" s="99"/>
      <c r="H199" s="99"/>
      <c r="I199" s="99"/>
      <c r="J199" s="340"/>
      <c r="K199" s="99"/>
      <c r="L199" s="99"/>
      <c r="M199" s="99"/>
      <c r="N199" s="99"/>
      <c r="O199" s="99"/>
      <c r="P199" s="99"/>
      <c r="Q199" s="99"/>
      <c r="R199" s="340"/>
      <c r="S199" s="99"/>
      <c r="T199" s="99"/>
      <c r="U199" s="99"/>
      <c r="V199" s="99"/>
      <c r="W199" s="99"/>
      <c r="X199" s="99"/>
      <c r="Y199" s="99"/>
      <c r="Z199" s="340"/>
      <c r="AA199" s="99"/>
      <c r="AB199" s="99"/>
      <c r="AC199" s="99"/>
      <c r="AD199" s="99"/>
      <c r="AE199" s="99"/>
      <c r="AF199" s="99"/>
      <c r="AG199" s="99"/>
      <c r="AH199" s="99"/>
      <c r="AI199" s="1388"/>
      <c r="AJ199" s="1390"/>
      <c r="AK199" s="1388"/>
      <c r="AL199" s="4"/>
      <c r="AM199" s="4"/>
    </row>
    <row r="200" spans="1:39">
      <c r="A200" s="99"/>
      <c r="B200" s="560"/>
      <c r="C200" s="99"/>
      <c r="D200" s="99"/>
      <c r="E200" s="99"/>
      <c r="F200" s="99"/>
      <c r="G200" s="99"/>
      <c r="H200" s="99"/>
      <c r="I200" s="99"/>
      <c r="J200" s="340"/>
      <c r="K200" s="99"/>
      <c r="L200" s="99"/>
      <c r="M200" s="99"/>
      <c r="N200" s="99"/>
      <c r="O200" s="99"/>
      <c r="P200" s="99"/>
      <c r="Q200" s="99"/>
      <c r="R200" s="340"/>
      <c r="S200" s="99"/>
      <c r="T200" s="99"/>
      <c r="U200" s="99"/>
      <c r="V200" s="99"/>
      <c r="W200" s="99"/>
      <c r="X200" s="99"/>
      <c r="Y200" s="99"/>
      <c r="Z200" s="340"/>
      <c r="AA200" s="99"/>
      <c r="AB200" s="99"/>
      <c r="AC200" s="99"/>
      <c r="AD200" s="99"/>
      <c r="AE200" s="99"/>
      <c r="AF200" s="99"/>
      <c r="AG200" s="99"/>
      <c r="AH200" s="99"/>
      <c r="AI200" s="1388"/>
      <c r="AJ200" s="1390"/>
      <c r="AK200" s="1388"/>
      <c r="AL200" s="4"/>
      <c r="AM200" s="4"/>
    </row>
    <row r="201" spans="1:39">
      <c r="A201" s="99"/>
      <c r="B201" s="560"/>
      <c r="C201" s="99"/>
      <c r="D201" s="99"/>
      <c r="E201" s="99"/>
      <c r="F201" s="99"/>
      <c r="G201" s="99"/>
      <c r="H201" s="99"/>
      <c r="I201" s="99"/>
      <c r="J201" s="340"/>
      <c r="K201" s="99"/>
      <c r="L201" s="99"/>
      <c r="M201" s="99"/>
      <c r="N201" s="99"/>
      <c r="O201" s="99"/>
      <c r="P201" s="99"/>
      <c r="Q201" s="99"/>
      <c r="R201" s="340"/>
      <c r="S201" s="99"/>
      <c r="T201" s="99"/>
      <c r="U201" s="99"/>
      <c r="V201" s="99"/>
      <c r="W201" s="99"/>
      <c r="X201" s="99"/>
      <c r="Y201" s="99"/>
      <c r="Z201" s="340"/>
      <c r="AA201" s="99"/>
      <c r="AB201" s="99"/>
      <c r="AC201" s="99"/>
      <c r="AD201" s="99"/>
      <c r="AE201" s="99"/>
      <c r="AF201" s="99"/>
      <c r="AG201" s="99"/>
      <c r="AH201" s="99"/>
      <c r="AI201" s="1388"/>
      <c r="AJ201" s="1390"/>
      <c r="AK201" s="1388"/>
      <c r="AL201" s="4"/>
      <c r="AM201" s="4"/>
    </row>
    <row r="202" spans="1:39">
      <c r="A202" s="99"/>
      <c r="B202" s="560"/>
      <c r="C202" s="99"/>
      <c r="D202" s="99"/>
      <c r="E202" s="99"/>
      <c r="F202" s="99"/>
      <c r="G202" s="99"/>
      <c r="H202" s="99"/>
      <c r="I202" s="99"/>
      <c r="J202" s="340"/>
      <c r="K202" s="99"/>
      <c r="L202" s="99"/>
      <c r="M202" s="99"/>
      <c r="N202" s="99"/>
      <c r="O202" s="99"/>
      <c r="P202" s="99"/>
      <c r="Q202" s="99"/>
      <c r="R202" s="340"/>
      <c r="S202" s="99"/>
      <c r="T202" s="99"/>
      <c r="U202" s="99"/>
      <c r="V202" s="99"/>
      <c r="W202" s="99"/>
      <c r="X202" s="99"/>
      <c r="Y202" s="99"/>
      <c r="Z202" s="340"/>
      <c r="AA202" s="99"/>
      <c r="AB202" s="99"/>
      <c r="AC202" s="99"/>
      <c r="AD202" s="99"/>
      <c r="AE202" s="99"/>
      <c r="AF202" s="99"/>
      <c r="AG202" s="99"/>
      <c r="AH202" s="99"/>
      <c r="AI202" s="1388"/>
      <c r="AJ202" s="1390"/>
      <c r="AK202" s="1388"/>
      <c r="AL202" s="4"/>
      <c r="AM202" s="4"/>
    </row>
    <row r="203" spans="1:39">
      <c r="A203" s="99"/>
      <c r="B203" s="560"/>
      <c r="C203" s="99"/>
      <c r="D203" s="99"/>
      <c r="E203" s="99"/>
      <c r="F203" s="99"/>
      <c r="G203" s="99"/>
      <c r="H203" s="99"/>
      <c r="I203" s="99"/>
      <c r="J203" s="340"/>
      <c r="K203" s="99"/>
      <c r="L203" s="99"/>
      <c r="M203" s="99"/>
      <c r="N203" s="99"/>
      <c r="O203" s="99"/>
      <c r="P203" s="99"/>
      <c r="Q203" s="99"/>
      <c r="R203" s="340"/>
      <c r="S203" s="99"/>
      <c r="T203" s="99"/>
      <c r="U203" s="99"/>
      <c r="V203" s="99"/>
      <c r="W203" s="99"/>
      <c r="X203" s="99"/>
      <c r="Y203" s="99"/>
      <c r="Z203" s="340"/>
      <c r="AA203" s="99"/>
      <c r="AB203" s="99"/>
      <c r="AC203" s="99"/>
      <c r="AD203" s="99"/>
      <c r="AE203" s="99"/>
      <c r="AF203" s="99"/>
      <c r="AG203" s="99"/>
      <c r="AH203" s="99"/>
      <c r="AI203" s="1388"/>
      <c r="AJ203" s="1390"/>
      <c r="AK203" s="1388"/>
      <c r="AL203" s="4"/>
      <c r="AM203" s="4"/>
    </row>
    <row r="204" spans="1:39">
      <c r="A204" s="4"/>
      <c r="B204" s="949"/>
      <c r="C204" s="4"/>
      <c r="D204" s="4"/>
      <c r="E204" s="4"/>
      <c r="F204" s="4"/>
      <c r="G204" s="4"/>
      <c r="H204" s="4"/>
      <c r="I204" s="4"/>
      <c r="J204" s="464"/>
      <c r="K204" s="4"/>
      <c r="L204" s="4"/>
      <c r="M204" s="4"/>
      <c r="N204" s="4"/>
      <c r="O204" s="4"/>
      <c r="P204" s="4"/>
      <c r="Q204" s="4"/>
      <c r="R204" s="464"/>
      <c r="S204" s="4"/>
      <c r="T204" s="4"/>
      <c r="U204" s="4"/>
      <c r="V204" s="4"/>
      <c r="W204" s="4"/>
      <c r="X204" s="4"/>
      <c r="Y204" s="4"/>
      <c r="Z204" s="464"/>
      <c r="AA204" s="4"/>
      <c r="AB204" s="4"/>
      <c r="AC204" s="4"/>
      <c r="AD204" s="4"/>
      <c r="AE204" s="4"/>
      <c r="AF204" s="4"/>
      <c r="AG204" s="4"/>
      <c r="AH204" s="4"/>
      <c r="AI204" s="1390"/>
      <c r="AJ204" s="1390"/>
      <c r="AK204" s="1390"/>
      <c r="AL204" s="4"/>
      <c r="AM204" s="4"/>
    </row>
    <row r="205" spans="1:39">
      <c r="A205" s="4"/>
      <c r="B205" s="949"/>
      <c r="C205" s="4"/>
      <c r="D205" s="4"/>
      <c r="E205" s="4"/>
      <c r="F205" s="4"/>
      <c r="G205" s="4"/>
      <c r="H205" s="4"/>
      <c r="I205" s="4"/>
      <c r="J205" s="464"/>
      <c r="K205" s="4"/>
      <c r="L205" s="4"/>
      <c r="M205" s="4"/>
      <c r="N205" s="4"/>
      <c r="O205" s="4"/>
      <c r="P205" s="4"/>
      <c r="Q205" s="4"/>
      <c r="R205" s="464"/>
      <c r="S205" s="4"/>
      <c r="T205" s="4"/>
      <c r="U205" s="4"/>
      <c r="V205" s="4"/>
      <c r="W205" s="4"/>
      <c r="X205" s="4"/>
      <c r="Y205" s="4"/>
      <c r="Z205" s="464"/>
      <c r="AA205" s="4"/>
      <c r="AB205" s="4"/>
      <c r="AC205" s="4"/>
      <c r="AD205" s="4"/>
      <c r="AE205" s="4"/>
      <c r="AF205" s="4"/>
      <c r="AG205" s="4"/>
      <c r="AH205" s="4"/>
      <c r="AI205" s="1390"/>
      <c r="AJ205" s="1390"/>
      <c r="AK205" s="1390"/>
      <c r="AL205" s="4"/>
      <c r="AM205" s="4"/>
    </row>
    <row r="206" spans="1:39">
      <c r="B206" s="114"/>
    </row>
    <row r="207" spans="1:39">
      <c r="B207" s="114"/>
    </row>
    <row r="208" spans="1:39">
      <c r="B208" s="114"/>
    </row>
    <row r="209" spans="2:2">
      <c r="B209" s="114"/>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5"/>
  <cols>
    <col min="1" max="1" width="80.140625" customWidth="1"/>
    <col min="2" max="2" width="22.28515625" customWidth="1"/>
    <col min="3" max="5" width="28.42578125" customWidth="1"/>
    <col min="6" max="6" width="25.5703125" customWidth="1"/>
    <col min="7" max="7" width="26" customWidth="1"/>
    <col min="8" max="8" width="12.140625" customWidth="1"/>
    <col min="9" max="9" width="18.7109375" customWidth="1"/>
    <col min="13" max="13" width="15.42578125" customWidth="1"/>
    <col min="19" max="19" width="12.85546875" customWidth="1"/>
    <col min="23" max="23" width="7.42578125" bestFit="1" customWidth="1"/>
    <col min="24" max="24" width="14" bestFit="1" customWidth="1"/>
    <col min="25" max="25" width="13.42578125" customWidth="1"/>
    <col min="26" max="26" width="15" customWidth="1"/>
    <col min="27" max="27" width="12.28515625" customWidth="1"/>
    <col min="28" max="28" width="15.5703125" customWidth="1"/>
    <col min="29" max="29" width="12.28515625" customWidth="1"/>
    <col min="30" max="30" width="14.28515625" customWidth="1"/>
    <col min="31" max="31" width="11.28515625" bestFit="1" customWidth="1"/>
    <col min="32" max="32" width="15.140625" customWidth="1"/>
    <col min="33" max="33" width="11.28515625" bestFit="1" customWidth="1"/>
    <col min="34" max="34" width="10.28515625" bestFit="1" customWidth="1"/>
    <col min="35" max="35" width="13.7109375" customWidth="1"/>
    <col min="36" max="36" width="15.42578125" customWidth="1"/>
    <col min="37" max="38" width="11.28515625" bestFit="1" customWidth="1"/>
    <col min="39" max="39" width="16.7109375" customWidth="1"/>
    <col min="40" max="40" width="15.7109375" customWidth="1"/>
    <col min="41" max="41" width="15.140625" customWidth="1"/>
    <col min="42" max="42" width="13.42578125" customWidth="1"/>
    <col min="43" max="43" width="15.28515625" customWidth="1"/>
    <col min="44" max="44" width="12.7109375" customWidth="1"/>
    <col min="45" max="45" width="21.28515625" customWidth="1"/>
    <col min="46" max="46" width="12.28515625" bestFit="1" customWidth="1"/>
    <col min="47" max="47" width="17.140625" customWidth="1"/>
    <col min="48" max="48" width="14.7109375" customWidth="1"/>
    <col min="49" max="49" width="18.7109375" customWidth="1"/>
  </cols>
  <sheetData>
    <row r="1" spans="1:9">
      <c r="A1" s="156" t="s">
        <v>1</v>
      </c>
      <c r="B1" s="115"/>
      <c r="C1" s="115"/>
      <c r="D1" s="115"/>
      <c r="E1" s="115"/>
      <c r="F1" s="115"/>
      <c r="G1" s="115"/>
      <c r="H1" s="115"/>
      <c r="I1" s="116"/>
    </row>
    <row r="2" spans="1:9">
      <c r="A2" s="164" t="s">
        <v>39</v>
      </c>
      <c r="B2" s="104"/>
      <c r="C2" s="104"/>
      <c r="D2" s="104"/>
      <c r="E2" s="104"/>
      <c r="F2" s="104"/>
      <c r="G2" s="104"/>
      <c r="H2" s="104"/>
      <c r="I2" s="130"/>
    </row>
    <row r="3" spans="1:9">
      <c r="A3" s="142" t="s">
        <v>43</v>
      </c>
      <c r="B3" s="165" t="s">
        <v>2</v>
      </c>
      <c r="C3" s="165" t="s">
        <v>4</v>
      </c>
      <c r="D3" s="165"/>
      <c r="E3" s="104"/>
      <c r="F3" s="165" t="s">
        <v>27</v>
      </c>
      <c r="G3" s="104"/>
      <c r="H3" s="104"/>
      <c r="I3" s="130"/>
    </row>
    <row r="4" spans="1:9">
      <c r="A4" s="127" t="s">
        <v>32</v>
      </c>
      <c r="B4" s="104" t="s">
        <v>3</v>
      </c>
      <c r="C4" s="129">
        <f>Parameters!D6</f>
        <v>13.505000000000001</v>
      </c>
      <c r="D4" s="104"/>
      <c r="E4" s="104"/>
      <c r="F4" s="104"/>
      <c r="G4" s="104"/>
      <c r="H4" s="104"/>
      <c r="I4" s="130"/>
    </row>
    <row r="5" spans="1:9">
      <c r="A5" s="127" t="s">
        <v>31</v>
      </c>
      <c r="B5" s="104" t="s">
        <v>16</v>
      </c>
      <c r="C5" s="129">
        <f>Parameters!D7</f>
        <v>0.6</v>
      </c>
      <c r="D5" s="104"/>
      <c r="E5" s="104"/>
      <c r="F5" s="104" t="s">
        <v>37</v>
      </c>
      <c r="G5" s="104"/>
      <c r="H5" s="104"/>
      <c r="I5" s="130"/>
    </row>
    <row r="6" spans="1:9">
      <c r="A6" s="127"/>
      <c r="B6" s="104" t="s">
        <v>15</v>
      </c>
      <c r="C6" s="129">
        <f>Parameters!D8</f>
        <v>0.25</v>
      </c>
      <c r="D6" s="104"/>
      <c r="E6" s="104"/>
      <c r="F6" s="104"/>
      <c r="G6" s="104"/>
      <c r="H6" s="104"/>
      <c r="I6" s="130"/>
    </row>
    <row r="7" spans="1:9">
      <c r="A7" s="127" t="s">
        <v>29</v>
      </c>
      <c r="B7" s="104" t="s">
        <v>28</v>
      </c>
      <c r="C7" s="129">
        <f>Parameters!D9</f>
        <v>1.25</v>
      </c>
      <c r="D7" s="104"/>
      <c r="E7" s="104"/>
      <c r="F7" s="104"/>
      <c r="G7" s="104"/>
      <c r="H7" s="104"/>
      <c r="I7" s="130"/>
    </row>
    <row r="8" spans="1:9">
      <c r="A8" s="127" t="s">
        <v>30</v>
      </c>
      <c r="B8" s="104" t="s">
        <v>28</v>
      </c>
      <c r="C8" s="129">
        <f>Parameters!D10</f>
        <v>1</v>
      </c>
      <c r="D8" s="104"/>
      <c r="E8" s="104"/>
      <c r="F8" s="104"/>
      <c r="G8" s="104"/>
      <c r="H8" s="104"/>
      <c r="I8" s="130"/>
    </row>
    <row r="9" spans="1:9">
      <c r="A9" s="157" t="s">
        <v>5</v>
      </c>
      <c r="B9" s="104"/>
      <c r="C9" s="104"/>
      <c r="D9" s="104"/>
      <c r="E9" s="104"/>
      <c r="F9" s="104"/>
      <c r="G9" s="104"/>
      <c r="H9" s="104"/>
      <c r="I9" s="130"/>
    </row>
    <row r="10" spans="1:9">
      <c r="A10" s="127" t="s">
        <v>6</v>
      </c>
      <c r="B10" s="104" t="s">
        <v>7</v>
      </c>
      <c r="C10" s="167">
        <f>Parameters!D12</f>
        <v>0.39</v>
      </c>
      <c r="D10" s="104"/>
      <c r="E10" s="104"/>
      <c r="F10" s="104"/>
      <c r="G10" s="104"/>
      <c r="H10" s="104"/>
      <c r="I10" s="130"/>
    </row>
    <row r="11" spans="1:9">
      <c r="A11" s="127" t="s">
        <v>13</v>
      </c>
      <c r="B11" s="104" t="s">
        <v>7</v>
      </c>
      <c r="C11" s="167">
        <f>Parameters!D13</f>
        <v>0.12</v>
      </c>
      <c r="D11" s="104"/>
      <c r="E11" s="104"/>
      <c r="F11" s="104"/>
      <c r="G11" s="104"/>
      <c r="H11" s="104"/>
      <c r="I11" s="130"/>
    </row>
    <row r="12" spans="1:9">
      <c r="A12" s="127" t="s">
        <v>14</v>
      </c>
      <c r="B12" s="104" t="s">
        <v>7</v>
      </c>
      <c r="C12" s="167">
        <f>Parameters!D14</f>
        <v>0.49</v>
      </c>
      <c r="D12" s="104"/>
      <c r="E12" s="104"/>
      <c r="F12" s="104"/>
      <c r="G12" s="104"/>
      <c r="H12" s="104"/>
      <c r="I12" s="130"/>
    </row>
    <row r="13" spans="1:9">
      <c r="A13" s="157" t="s">
        <v>33</v>
      </c>
      <c r="B13" s="104"/>
      <c r="C13" s="104"/>
      <c r="D13" s="104"/>
      <c r="E13" s="104"/>
      <c r="F13" s="104"/>
      <c r="G13" s="104"/>
      <c r="H13" s="104"/>
      <c r="I13" s="130"/>
    </row>
    <row r="14" spans="1:9">
      <c r="A14" s="127"/>
      <c r="B14" s="104"/>
      <c r="C14" s="682"/>
      <c r="D14" s="682"/>
      <c r="E14" s="682"/>
      <c r="F14" s="682"/>
      <c r="G14" s="682"/>
      <c r="H14" s="682"/>
      <c r="I14" s="130"/>
    </row>
    <row r="15" spans="1:9" ht="30">
      <c r="A15" s="127"/>
      <c r="B15" s="104"/>
      <c r="C15" s="204" t="s">
        <v>17</v>
      </c>
      <c r="D15" s="204" t="s">
        <v>23</v>
      </c>
      <c r="E15" s="204" t="s">
        <v>19</v>
      </c>
      <c r="F15" s="204" t="s">
        <v>24</v>
      </c>
      <c r="G15" s="204" t="s">
        <v>9</v>
      </c>
      <c r="H15" s="204" t="s">
        <v>10</v>
      </c>
      <c r="I15" s="130" t="s">
        <v>225</v>
      </c>
    </row>
    <row r="16" spans="1:9">
      <c r="A16" s="200" t="s">
        <v>8</v>
      </c>
      <c r="B16" s="128" t="s">
        <v>25</v>
      </c>
      <c r="C16" s="118">
        <f>Parameters!D17</f>
        <v>0.1</v>
      </c>
      <c r="D16" s="118">
        <f>Parameters!E17</f>
        <v>0</v>
      </c>
      <c r="E16" s="118">
        <f>Parameters!F17</f>
        <v>0.1</v>
      </c>
      <c r="F16" s="118">
        <f>Parameters!G17</f>
        <v>0.28000000000000003</v>
      </c>
      <c r="G16" s="118">
        <f>Parameters!H17</f>
        <v>0.04</v>
      </c>
      <c r="H16" s="118">
        <f>Parameters!I17</f>
        <v>0.48</v>
      </c>
      <c r="I16" s="205">
        <f>SUM(C16:H16)</f>
        <v>1</v>
      </c>
    </row>
    <row r="17" spans="1:19">
      <c r="A17" s="200" t="s">
        <v>11</v>
      </c>
      <c r="B17" s="128" t="s">
        <v>25</v>
      </c>
      <c r="C17" s="118">
        <f>Parameters!D18</f>
        <v>0</v>
      </c>
      <c r="D17" s="118">
        <f>Parameters!E18</f>
        <v>0.7</v>
      </c>
      <c r="E17" s="118">
        <f>Parameters!F18</f>
        <v>0.15</v>
      </c>
      <c r="F17" s="118">
        <f>Parameters!G18</f>
        <v>0.15</v>
      </c>
      <c r="G17" s="118">
        <f>Parameters!H18</f>
        <v>0</v>
      </c>
      <c r="H17" s="118">
        <f>Parameters!I18</f>
        <v>0</v>
      </c>
      <c r="I17" s="205">
        <f t="shared" ref="I17:I19" si="0">SUM(C17:H17)</f>
        <v>1</v>
      </c>
    </row>
    <row r="18" spans="1:19">
      <c r="A18" s="200" t="s">
        <v>12</v>
      </c>
      <c r="B18" s="128" t="s">
        <v>25</v>
      </c>
      <c r="C18" s="118">
        <f>Parameters!D19</f>
        <v>0.34</v>
      </c>
      <c r="D18" s="118">
        <f>Parameters!E19</f>
        <v>0</v>
      </c>
      <c r="E18" s="118">
        <f>Parameters!F19</f>
        <v>0.17</v>
      </c>
      <c r="F18" s="118">
        <f>Parameters!G19</f>
        <v>0.24</v>
      </c>
      <c r="G18" s="118">
        <f>Parameters!H19</f>
        <v>0.05</v>
      </c>
      <c r="H18" s="118">
        <f>Parameters!I19</f>
        <v>0.2</v>
      </c>
      <c r="I18" s="205">
        <f t="shared" si="0"/>
        <v>1</v>
      </c>
      <c r="J18" s="104"/>
    </row>
    <row r="19" spans="1:19">
      <c r="A19" s="127"/>
      <c r="B19" s="203" t="s">
        <v>225</v>
      </c>
      <c r="C19" s="436">
        <f>C16*$C$10+C17*$C$11+C18*$C$12</f>
        <v>0.2056</v>
      </c>
      <c r="D19" s="436">
        <f t="shared" ref="D19:H19" si="1">D16*$C$10+D17*$C$11+D18*$C$12</f>
        <v>8.3999999999999991E-2</v>
      </c>
      <c r="E19" s="436">
        <f t="shared" si="1"/>
        <v>0.14030000000000001</v>
      </c>
      <c r="F19" s="436">
        <f t="shared" si="1"/>
        <v>0.24480000000000002</v>
      </c>
      <c r="G19" s="436">
        <f t="shared" si="1"/>
        <v>4.0100000000000004E-2</v>
      </c>
      <c r="H19" s="436">
        <f t="shared" si="1"/>
        <v>0.28520000000000001</v>
      </c>
      <c r="I19" s="525">
        <f t="shared" si="0"/>
        <v>1</v>
      </c>
    </row>
    <row r="20" spans="1:19">
      <c r="A20" s="127"/>
      <c r="B20" s="104"/>
      <c r="C20" s="104"/>
      <c r="D20" s="104"/>
      <c r="E20" s="104"/>
      <c r="F20" s="104"/>
      <c r="G20" s="104"/>
      <c r="H20" s="104"/>
      <c r="I20" s="130"/>
    </row>
    <row r="21" spans="1:19">
      <c r="A21" s="127"/>
      <c r="B21" s="104"/>
      <c r="C21" s="104"/>
      <c r="D21" s="104"/>
      <c r="E21" s="104"/>
      <c r="F21" s="104"/>
      <c r="G21" s="104"/>
      <c r="H21" s="104"/>
      <c r="I21" s="130"/>
    </row>
    <row r="22" spans="1:19">
      <c r="A22" s="127"/>
      <c r="B22" s="104"/>
      <c r="C22" s="104"/>
      <c r="D22" s="104"/>
      <c r="E22" s="104"/>
      <c r="F22" s="104"/>
      <c r="G22" s="104"/>
      <c r="H22" s="104"/>
      <c r="I22" s="130"/>
      <c r="M22" s="99"/>
      <c r="N22" s="99"/>
      <c r="O22" s="99"/>
      <c r="P22" s="99"/>
      <c r="Q22" s="99"/>
      <c r="R22" s="99"/>
      <c r="S22" s="99"/>
    </row>
    <row r="23" spans="1:19">
      <c r="A23" s="127"/>
      <c r="B23" s="104"/>
      <c r="C23" s="104"/>
      <c r="D23" s="104"/>
      <c r="E23" s="104"/>
      <c r="F23" s="104"/>
      <c r="G23" s="104"/>
      <c r="H23" s="104"/>
      <c r="I23" s="130"/>
      <c r="M23" s="99"/>
      <c r="N23" s="99"/>
      <c r="O23" s="99"/>
      <c r="P23" s="99"/>
      <c r="Q23" s="99"/>
      <c r="R23" s="99"/>
      <c r="S23" s="99"/>
    </row>
    <row r="24" spans="1:19">
      <c r="A24" s="157" t="s">
        <v>26</v>
      </c>
      <c r="B24" s="104"/>
      <c r="C24" s="135" t="s">
        <v>22</v>
      </c>
      <c r="D24" s="104"/>
      <c r="E24" s="104"/>
      <c r="F24" s="104"/>
      <c r="G24" s="104"/>
      <c r="H24" s="104"/>
      <c r="I24" s="130"/>
      <c r="M24" s="99"/>
      <c r="N24" s="99"/>
      <c r="O24" s="99"/>
      <c r="P24" s="99"/>
      <c r="Q24" s="99"/>
      <c r="R24" s="99"/>
      <c r="S24" s="99"/>
    </row>
    <row r="25" spans="1:19">
      <c r="A25" s="127" t="s">
        <v>17</v>
      </c>
      <c r="B25" s="128" t="s">
        <v>196</v>
      </c>
      <c r="C25" s="129">
        <f>Parameters!D24</f>
        <v>0.5</v>
      </c>
      <c r="D25" s="104"/>
      <c r="E25" s="104"/>
      <c r="F25" s="104"/>
      <c r="G25" s="104"/>
      <c r="H25" s="104"/>
      <c r="I25" s="130"/>
      <c r="M25" s="99"/>
      <c r="N25" s="99"/>
      <c r="O25" s="202"/>
      <c r="P25" s="202"/>
      <c r="Q25" s="202"/>
      <c r="R25" s="202"/>
      <c r="S25" s="99"/>
    </row>
    <row r="26" spans="1:19">
      <c r="A26" s="127" t="s">
        <v>18</v>
      </c>
      <c r="B26" s="128" t="s">
        <v>196</v>
      </c>
      <c r="C26" s="129">
        <f>Parameters!D25</f>
        <v>0</v>
      </c>
      <c r="D26" s="104"/>
      <c r="E26" s="104"/>
      <c r="F26" s="104"/>
      <c r="G26" s="104"/>
      <c r="H26" s="104"/>
      <c r="I26" s="130"/>
      <c r="M26" s="99"/>
      <c r="N26" s="99"/>
      <c r="O26" s="203"/>
      <c r="P26" s="158"/>
      <c r="Q26" s="158"/>
      <c r="R26" s="158"/>
      <c r="S26" s="99"/>
    </row>
    <row r="27" spans="1:19">
      <c r="A27" s="127" t="s">
        <v>19</v>
      </c>
      <c r="B27" s="128" t="s">
        <v>196</v>
      </c>
      <c r="C27" s="129">
        <f>Parameters!D26</f>
        <v>0.5</v>
      </c>
      <c r="D27" s="104"/>
      <c r="E27" s="104"/>
      <c r="F27" s="104"/>
      <c r="G27" s="104"/>
      <c r="H27" s="104"/>
      <c r="I27" s="130"/>
      <c r="M27" s="99"/>
      <c r="N27" s="99"/>
      <c r="O27" s="203"/>
      <c r="P27" s="158"/>
      <c r="Q27" s="158"/>
      <c r="R27" s="158"/>
      <c r="S27" s="99"/>
    </row>
    <row r="28" spans="1:19">
      <c r="A28" s="127" t="s">
        <v>24</v>
      </c>
      <c r="B28" s="128" t="s">
        <v>196</v>
      </c>
      <c r="C28" s="129">
        <f>Parameters!D27</f>
        <v>0.1</v>
      </c>
      <c r="D28" s="104"/>
      <c r="E28" s="104"/>
      <c r="F28" s="104"/>
      <c r="G28" s="104"/>
      <c r="H28" s="104"/>
      <c r="I28" s="130"/>
      <c r="M28" s="99"/>
      <c r="N28" s="99"/>
      <c r="O28" s="203"/>
      <c r="P28" s="158"/>
      <c r="Q28" s="158"/>
      <c r="R28" s="158"/>
      <c r="S28" s="99"/>
    </row>
    <row r="29" spans="1:19">
      <c r="A29" s="127" t="s">
        <v>20</v>
      </c>
      <c r="B29" s="128" t="s">
        <v>196</v>
      </c>
      <c r="C29" s="129">
        <f>Parameters!D28</f>
        <v>0.5</v>
      </c>
      <c r="D29" s="104"/>
      <c r="E29" s="104"/>
      <c r="F29" s="104"/>
      <c r="G29" s="104"/>
      <c r="H29" s="104"/>
      <c r="I29" s="130"/>
      <c r="M29" s="99"/>
      <c r="N29" s="99"/>
      <c r="O29" s="203"/>
      <c r="P29" s="158"/>
      <c r="Q29" s="158"/>
      <c r="R29" s="158"/>
      <c r="S29" s="99"/>
    </row>
    <row r="30" spans="1:19">
      <c r="A30" s="127" t="s">
        <v>21</v>
      </c>
      <c r="B30" s="128" t="s">
        <v>196</v>
      </c>
      <c r="C30" s="129">
        <f>Parameters!D29</f>
        <v>0.1</v>
      </c>
      <c r="D30" s="104"/>
      <c r="E30" s="104"/>
      <c r="F30" s="104"/>
      <c r="G30" s="104"/>
      <c r="H30" s="104"/>
      <c r="I30" s="130"/>
      <c r="M30" s="99"/>
      <c r="N30" s="99"/>
      <c r="O30" s="203"/>
      <c r="P30" s="158"/>
      <c r="Q30" s="158"/>
      <c r="R30" s="158"/>
      <c r="S30" s="99"/>
    </row>
    <row r="31" spans="1:19">
      <c r="A31" s="127" t="s">
        <v>9</v>
      </c>
      <c r="B31" s="128" t="s">
        <v>196</v>
      </c>
      <c r="C31" s="129">
        <f>Parameters!D30</f>
        <v>0.1</v>
      </c>
      <c r="D31" s="104"/>
      <c r="E31" s="104"/>
      <c r="F31" s="104"/>
      <c r="G31" s="104"/>
      <c r="H31" s="104"/>
      <c r="I31" s="130"/>
      <c r="M31" s="99"/>
      <c r="N31" s="99"/>
      <c r="O31" s="203"/>
      <c r="P31" s="158"/>
      <c r="Q31" s="158"/>
      <c r="R31" s="158"/>
      <c r="S31" s="99"/>
    </row>
    <row r="32" spans="1:19">
      <c r="A32" s="127" t="s">
        <v>10</v>
      </c>
      <c r="B32" s="128" t="s">
        <v>196</v>
      </c>
      <c r="C32" s="129">
        <f>Parameters!D31</f>
        <v>0</v>
      </c>
      <c r="D32" s="104"/>
      <c r="E32" s="104"/>
      <c r="F32" s="104"/>
      <c r="G32" s="104"/>
      <c r="H32" s="104"/>
      <c r="I32" s="130"/>
      <c r="M32" s="99"/>
      <c r="N32" s="99"/>
      <c r="O32" s="99"/>
      <c r="P32" s="99"/>
      <c r="Q32" s="99"/>
      <c r="R32" s="99"/>
      <c r="S32" s="99"/>
    </row>
    <row r="33" spans="1:19">
      <c r="A33" s="127"/>
      <c r="B33" s="104"/>
      <c r="C33" s="104"/>
      <c r="D33" s="104"/>
      <c r="E33" s="104"/>
      <c r="F33" s="104"/>
      <c r="G33" s="104"/>
      <c r="H33" s="104"/>
      <c r="I33" s="130"/>
      <c r="M33" s="99"/>
      <c r="N33" s="99"/>
      <c r="O33" s="99"/>
      <c r="P33" s="99"/>
      <c r="Q33" s="99"/>
      <c r="R33" s="99"/>
      <c r="S33" s="99"/>
    </row>
    <row r="34" spans="1:19">
      <c r="A34" s="157" t="s">
        <v>34</v>
      </c>
      <c r="B34" s="104"/>
      <c r="C34" s="135" t="s">
        <v>36</v>
      </c>
      <c r="D34" s="104"/>
      <c r="E34" s="104"/>
      <c r="F34" s="104" t="s">
        <v>35</v>
      </c>
      <c r="G34" s="104"/>
      <c r="H34" s="104"/>
      <c r="I34" s="130"/>
      <c r="M34" s="99"/>
      <c r="N34" s="99"/>
      <c r="O34" s="99"/>
      <c r="P34" s="99"/>
      <c r="Q34" s="99"/>
      <c r="R34" s="99"/>
      <c r="S34" s="99"/>
    </row>
    <row r="35" spans="1:19">
      <c r="A35" s="127" t="s">
        <v>17</v>
      </c>
      <c r="B35" s="169" t="s">
        <v>16</v>
      </c>
      <c r="C35" s="118">
        <f>Parameters!D34</f>
        <v>0.3</v>
      </c>
      <c r="D35" s="104"/>
      <c r="E35" s="104"/>
      <c r="F35" s="104"/>
      <c r="G35" s="104"/>
      <c r="H35" s="104"/>
      <c r="I35" s="130"/>
      <c r="M35" s="99"/>
      <c r="N35" s="99"/>
      <c r="O35" s="99"/>
      <c r="P35" s="99"/>
      <c r="Q35" s="99"/>
      <c r="R35" s="99"/>
      <c r="S35" s="99"/>
    </row>
    <row r="36" spans="1:19">
      <c r="A36" s="127" t="s">
        <v>18</v>
      </c>
      <c r="B36" s="169" t="s">
        <v>16</v>
      </c>
      <c r="C36" s="118">
        <f>Parameters!D35</f>
        <v>0</v>
      </c>
      <c r="D36" s="104"/>
      <c r="E36" s="104"/>
      <c r="F36" s="104"/>
      <c r="G36" s="104"/>
      <c r="H36" s="104"/>
      <c r="I36" s="130"/>
    </row>
    <row r="37" spans="1:19">
      <c r="A37" s="127" t="s">
        <v>19</v>
      </c>
      <c r="B37" s="169" t="s">
        <v>16</v>
      </c>
      <c r="C37" s="118">
        <f>Parameters!D36</f>
        <v>0.3</v>
      </c>
      <c r="D37" s="104"/>
      <c r="E37" s="104"/>
      <c r="F37" s="104"/>
      <c r="G37" s="104"/>
      <c r="H37" s="104"/>
      <c r="I37" s="130"/>
    </row>
    <row r="38" spans="1:19">
      <c r="A38" s="127" t="s">
        <v>24</v>
      </c>
      <c r="B38" s="169" t="s">
        <v>16</v>
      </c>
      <c r="C38" s="118">
        <f>Parameters!D37</f>
        <v>0.06</v>
      </c>
      <c r="D38" s="104"/>
      <c r="E38" s="104"/>
      <c r="F38" s="104"/>
      <c r="G38" s="104"/>
      <c r="H38" s="104"/>
      <c r="I38" s="130"/>
    </row>
    <row r="39" spans="1:19">
      <c r="A39" s="127" t="s">
        <v>20</v>
      </c>
      <c r="B39" s="169" t="s">
        <v>16</v>
      </c>
      <c r="C39" s="118">
        <f>Parameters!D38</f>
        <v>0.3</v>
      </c>
      <c r="D39" s="104"/>
      <c r="E39" s="104"/>
      <c r="F39" s="104"/>
      <c r="G39" s="104"/>
      <c r="H39" s="104"/>
      <c r="I39" s="130"/>
    </row>
    <row r="40" spans="1:19">
      <c r="A40" s="127" t="s">
        <v>21</v>
      </c>
      <c r="B40" s="169" t="s">
        <v>16</v>
      </c>
      <c r="C40" s="118">
        <f>Parameters!D39</f>
        <v>0.06</v>
      </c>
      <c r="D40" s="104"/>
      <c r="E40" s="104"/>
      <c r="F40" s="104"/>
      <c r="G40" s="104"/>
      <c r="H40" s="104"/>
      <c r="I40" s="130"/>
    </row>
    <row r="41" spans="1:19">
      <c r="A41" s="127" t="s">
        <v>9</v>
      </c>
      <c r="B41" s="169" t="s">
        <v>16</v>
      </c>
      <c r="C41" s="118">
        <f>Parameters!D40</f>
        <v>0.06</v>
      </c>
      <c r="D41" s="104"/>
      <c r="E41" s="104"/>
      <c r="F41" s="104"/>
      <c r="G41" s="104"/>
      <c r="H41" s="104"/>
      <c r="I41" s="130"/>
    </row>
    <row r="42" spans="1:19">
      <c r="A42" s="127" t="s">
        <v>10</v>
      </c>
      <c r="B42" s="169" t="s">
        <v>16</v>
      </c>
      <c r="C42" s="118">
        <f>Parameters!D41</f>
        <v>0</v>
      </c>
      <c r="D42" s="104"/>
      <c r="E42" s="104"/>
      <c r="F42" s="104"/>
      <c r="G42" s="104"/>
      <c r="H42" s="104"/>
      <c r="I42" s="130"/>
    </row>
    <row r="43" spans="1:19">
      <c r="A43" s="127"/>
      <c r="B43" s="104"/>
      <c r="C43" s="104"/>
      <c r="D43" s="104"/>
      <c r="E43" s="104"/>
      <c r="F43" s="104"/>
      <c r="G43" s="104"/>
      <c r="H43" s="104"/>
      <c r="I43" s="130"/>
    </row>
    <row r="44" spans="1:19">
      <c r="A44" s="164" t="s">
        <v>40</v>
      </c>
      <c r="B44" s="104"/>
      <c r="C44" s="104"/>
      <c r="D44" s="104"/>
      <c r="E44" s="104"/>
      <c r="F44" s="104"/>
      <c r="G44" s="104"/>
      <c r="H44" s="104"/>
      <c r="I44" s="130"/>
    </row>
    <row r="45" spans="1:19">
      <c r="A45" s="142" t="s">
        <v>43</v>
      </c>
      <c r="B45" s="104"/>
      <c r="C45" s="104"/>
      <c r="D45" s="104"/>
      <c r="E45" s="104"/>
      <c r="F45" s="104"/>
      <c r="G45" s="104"/>
      <c r="H45" s="104"/>
      <c r="I45" s="130"/>
    </row>
    <row r="46" spans="1:19">
      <c r="A46" s="127" t="s">
        <v>51</v>
      </c>
      <c r="B46" s="169" t="s">
        <v>52</v>
      </c>
      <c r="C46" s="170">
        <f>Parameters!D45</f>
        <v>29.169396153846154</v>
      </c>
      <c r="D46" s="104"/>
      <c r="E46" s="104"/>
      <c r="F46" s="104" t="s">
        <v>50</v>
      </c>
      <c r="G46" s="104"/>
      <c r="H46" s="104"/>
      <c r="I46" s="130"/>
    </row>
    <row r="47" spans="1:19">
      <c r="A47" s="127" t="s">
        <v>44</v>
      </c>
      <c r="B47" s="169" t="s">
        <v>42</v>
      </c>
      <c r="C47" s="180">
        <f>Parameters!D46</f>
        <v>0.16</v>
      </c>
      <c r="D47" s="104"/>
      <c r="E47" s="104"/>
      <c r="F47" s="104"/>
      <c r="G47" s="104"/>
      <c r="H47" s="104"/>
      <c r="I47" s="130"/>
    </row>
    <row r="48" spans="1:19">
      <c r="A48" s="127" t="s">
        <v>46</v>
      </c>
      <c r="B48" s="169" t="s">
        <v>28</v>
      </c>
      <c r="C48" s="180">
        <f>Parameters!D47</f>
        <v>1.1000000000000001</v>
      </c>
      <c r="D48" s="104"/>
      <c r="E48" s="104"/>
      <c r="F48" s="104"/>
      <c r="G48" s="104"/>
      <c r="H48" s="104"/>
      <c r="I48" s="130"/>
    </row>
    <row r="49" spans="1:49">
      <c r="A49" s="127" t="s">
        <v>47</v>
      </c>
      <c r="B49" s="169" t="s">
        <v>28</v>
      </c>
      <c r="C49" s="180">
        <f>Parameters!D48</f>
        <v>1.25</v>
      </c>
      <c r="D49" s="104"/>
      <c r="E49" s="104"/>
      <c r="F49" s="104"/>
      <c r="G49" s="104"/>
      <c r="H49" s="104"/>
      <c r="I49" s="130"/>
    </row>
    <row r="50" spans="1:49">
      <c r="A50" s="127" t="s">
        <v>166</v>
      </c>
      <c r="B50" s="169" t="s">
        <v>48</v>
      </c>
      <c r="C50" s="180">
        <f>Parameters!D49</f>
        <v>0</v>
      </c>
      <c r="D50" s="104"/>
      <c r="E50" s="104"/>
      <c r="F50" s="104"/>
      <c r="G50" s="104"/>
      <c r="H50" s="104"/>
      <c r="I50" s="130"/>
    </row>
    <row r="51" spans="1:49">
      <c r="A51" s="127" t="s">
        <v>45</v>
      </c>
      <c r="B51" s="169" t="s">
        <v>167</v>
      </c>
      <c r="C51" s="256">
        <f>Parameters!D50</f>
        <v>5.0000000000000001E-3</v>
      </c>
      <c r="D51" s="104"/>
      <c r="E51" s="104"/>
      <c r="F51" s="104"/>
      <c r="G51" s="104"/>
      <c r="H51" s="104"/>
      <c r="I51" s="130"/>
    </row>
    <row r="52" spans="1:49">
      <c r="A52" s="127" t="s">
        <v>49</v>
      </c>
      <c r="B52" s="169" t="s">
        <v>28</v>
      </c>
      <c r="C52" s="180">
        <f>Parameters!D51</f>
        <v>1.5714285714285714</v>
      </c>
      <c r="D52" s="104"/>
      <c r="E52" s="104"/>
      <c r="F52" s="104"/>
      <c r="G52" s="104"/>
      <c r="H52" s="104"/>
      <c r="I52" s="130"/>
    </row>
    <row r="53" spans="1:49" ht="15.75" thickBot="1">
      <c r="A53" s="172"/>
      <c r="B53" s="163"/>
      <c r="C53" s="173"/>
      <c r="D53" s="173"/>
      <c r="E53" s="173"/>
      <c r="F53" s="163"/>
      <c r="G53" s="163"/>
      <c r="H53" s="163"/>
      <c r="I53" s="140"/>
      <c r="J53" s="104"/>
      <c r="K53" s="104"/>
    </row>
    <row r="54" spans="1:49" ht="15.75" thickBot="1"/>
    <row r="55" spans="1:49" ht="74.45" customHeight="1">
      <c r="A55" s="1801" t="s">
        <v>217</v>
      </c>
      <c r="B55" s="546" t="s">
        <v>218</v>
      </c>
      <c r="C55" s="547" t="s">
        <v>501</v>
      </c>
      <c r="D55" s="548" t="s">
        <v>504</v>
      </c>
      <c r="E55" s="549" t="s">
        <v>296</v>
      </c>
      <c r="F55" s="550" t="s">
        <v>309</v>
      </c>
      <c r="G55" s="551" t="s">
        <v>310</v>
      </c>
      <c r="H55" s="1809" t="s">
        <v>6</v>
      </c>
      <c r="I55" s="1810"/>
      <c r="J55" s="1810"/>
      <c r="K55" s="1810"/>
      <c r="L55" s="1810"/>
      <c r="M55" s="1898"/>
      <c r="N55" s="1809" t="s">
        <v>298</v>
      </c>
      <c r="O55" s="1810"/>
      <c r="P55" s="1810"/>
      <c r="Q55" s="1810"/>
      <c r="R55" s="1810"/>
      <c r="S55" s="1898"/>
      <c r="T55" s="1809" t="s">
        <v>299</v>
      </c>
      <c r="U55" s="1810"/>
      <c r="V55" s="1810"/>
      <c r="W55" s="1810"/>
      <c r="X55" s="1810"/>
      <c r="Y55" s="1898"/>
      <c r="Z55" s="2008" t="s">
        <v>308</v>
      </c>
      <c r="AA55" s="1889"/>
      <c r="AB55" s="1889"/>
      <c r="AC55" s="1889"/>
      <c r="AD55" s="1889"/>
      <c r="AE55" s="1889"/>
      <c r="AF55" s="1890"/>
      <c r="AG55" s="2008" t="s">
        <v>307</v>
      </c>
      <c r="AH55" s="1889"/>
      <c r="AI55" s="1889"/>
      <c r="AJ55" s="1889"/>
      <c r="AK55" s="1889"/>
      <c r="AL55" s="1889"/>
      <c r="AM55" s="1890"/>
      <c r="AN55" s="2008" t="s">
        <v>306</v>
      </c>
      <c r="AO55" s="1889"/>
      <c r="AP55" s="1889"/>
      <c r="AQ55" s="1889"/>
      <c r="AR55" s="1889"/>
      <c r="AS55" s="1889"/>
      <c r="AT55" s="1890"/>
      <c r="AU55" s="250" t="s">
        <v>311</v>
      </c>
      <c r="AV55" s="245" t="s">
        <v>305</v>
      </c>
      <c r="AW55" s="247" t="s">
        <v>313</v>
      </c>
    </row>
    <row r="56" spans="1:49" ht="60.75" thickBot="1">
      <c r="A56" s="1802"/>
      <c r="B56" s="552" t="s">
        <v>232</v>
      </c>
      <c r="C56" s="553" t="s">
        <v>229</v>
      </c>
      <c r="D56" s="554" t="s">
        <v>229</v>
      </c>
      <c r="E56" s="555" t="s">
        <v>297</v>
      </c>
      <c r="F56" s="556" t="s">
        <v>297</v>
      </c>
      <c r="G56" s="557" t="s">
        <v>297</v>
      </c>
      <c r="H56" s="558" t="s">
        <v>17</v>
      </c>
      <c r="I56" s="506" t="s">
        <v>23</v>
      </c>
      <c r="J56" s="506" t="s">
        <v>19</v>
      </c>
      <c r="K56" s="506" t="s">
        <v>304</v>
      </c>
      <c r="L56" s="506" t="s">
        <v>9</v>
      </c>
      <c r="M56" s="559" t="s">
        <v>10</v>
      </c>
      <c r="N56" s="508" t="s">
        <v>17</v>
      </c>
      <c r="O56" s="506" t="s">
        <v>23</v>
      </c>
      <c r="P56" s="506" t="s">
        <v>19</v>
      </c>
      <c r="Q56" s="506" t="s">
        <v>304</v>
      </c>
      <c r="R56" s="506" t="s">
        <v>9</v>
      </c>
      <c r="S56" s="559" t="s">
        <v>10</v>
      </c>
      <c r="T56" s="508" t="s">
        <v>17</v>
      </c>
      <c r="U56" s="506" t="s">
        <v>23</v>
      </c>
      <c r="V56" s="506" t="s">
        <v>19</v>
      </c>
      <c r="W56" s="506" t="s">
        <v>304</v>
      </c>
      <c r="X56" s="506" t="s">
        <v>9</v>
      </c>
      <c r="Y56" s="559" t="s">
        <v>10</v>
      </c>
      <c r="Z56" s="210" t="s">
        <v>17</v>
      </c>
      <c r="AA56" s="211" t="s">
        <v>23</v>
      </c>
      <c r="AB56" s="211" t="s">
        <v>19</v>
      </c>
      <c r="AC56" s="211" t="s">
        <v>304</v>
      </c>
      <c r="AD56" s="211" t="s">
        <v>9</v>
      </c>
      <c r="AE56" s="211" t="s">
        <v>10</v>
      </c>
      <c r="AF56" s="234" t="s">
        <v>303</v>
      </c>
      <c r="AG56" s="232" t="s">
        <v>17</v>
      </c>
      <c r="AH56" s="233" t="s">
        <v>23</v>
      </c>
      <c r="AI56" s="233" t="s">
        <v>19</v>
      </c>
      <c r="AJ56" s="233" t="s">
        <v>304</v>
      </c>
      <c r="AK56" s="233" t="s">
        <v>9</v>
      </c>
      <c r="AL56" s="233" t="s">
        <v>10</v>
      </c>
      <c r="AM56" s="241" t="s">
        <v>303</v>
      </c>
      <c r="AN56" s="210" t="s">
        <v>17</v>
      </c>
      <c r="AO56" s="211" t="s">
        <v>23</v>
      </c>
      <c r="AP56" s="211" t="s">
        <v>19</v>
      </c>
      <c r="AQ56" s="211" t="s">
        <v>304</v>
      </c>
      <c r="AR56" s="211" t="s">
        <v>9</v>
      </c>
      <c r="AS56" s="211" t="s">
        <v>10</v>
      </c>
      <c r="AT56" s="234" t="s">
        <v>303</v>
      </c>
      <c r="AU56" s="251" t="s">
        <v>312</v>
      </c>
      <c r="AV56" s="244" t="s">
        <v>312</v>
      </c>
      <c r="AW56" s="248" t="s">
        <v>314</v>
      </c>
    </row>
    <row r="57" spans="1:49" ht="14.45" hidden="1" customHeight="1">
      <c r="A57" s="194">
        <f>'Input data'!A50</f>
        <v>1950</v>
      </c>
      <c r="B57" s="207">
        <f>'Input data'!B50</f>
        <v>5.3541578999999997</v>
      </c>
      <c r="C57" s="114">
        <f>'Input data'!F50</f>
        <v>0.71479999999999999</v>
      </c>
      <c r="D57" s="114">
        <f>'Input data'!G50</f>
        <v>0.28959999999999997</v>
      </c>
      <c r="E57" s="127"/>
      <c r="F57" s="236"/>
      <c r="G57" s="237">
        <f t="shared" ref="G57:G88" si="2">B57*$C$4*($C$7*$C$11+$C$8*$C$10+$C$7*$C$12)*10^6</f>
        <v>83334857.56152375</v>
      </c>
      <c r="H57" s="118">
        <f>$C$16</f>
        <v>0.1</v>
      </c>
      <c r="I57" s="118">
        <f t="shared" ref="I57:I88" si="3">$D$16</f>
        <v>0</v>
      </c>
      <c r="J57" s="118">
        <f t="shared" ref="J57:J88" si="4">$E$16</f>
        <v>0.1</v>
      </c>
      <c r="K57" s="118">
        <f t="shared" ref="K57:K88" si="5">$F$16</f>
        <v>0.28000000000000003</v>
      </c>
      <c r="L57" s="118">
        <f t="shared" ref="L57:L88" si="6">$G$16</f>
        <v>0.04</v>
      </c>
      <c r="M57" s="205">
        <f t="shared" ref="M57:M88" si="7">$H$16</f>
        <v>0.48</v>
      </c>
      <c r="N57" s="117">
        <f>$C$17</f>
        <v>0</v>
      </c>
      <c r="O57" s="118">
        <f t="shared" ref="O57:O88" si="8">$D$17</f>
        <v>0.7</v>
      </c>
      <c r="P57" s="118">
        <f t="shared" ref="P57:P88" si="9">$E$17</f>
        <v>0.15</v>
      </c>
      <c r="Q57" s="118">
        <f t="shared" ref="Q57:Q88" si="10">$F$17</f>
        <v>0.15</v>
      </c>
      <c r="R57" s="118">
        <f t="shared" ref="R57:R88" si="11">$G$17</f>
        <v>0</v>
      </c>
      <c r="S57" s="205">
        <f t="shared" ref="S57:S88" si="12">$H$17</f>
        <v>0</v>
      </c>
      <c r="T57" s="117">
        <f t="shared" ref="T57:T106" si="13">$C$18</f>
        <v>0.34</v>
      </c>
      <c r="U57" s="118">
        <f t="shared" ref="U57:U88" si="14">$D$18</f>
        <v>0</v>
      </c>
      <c r="V57" s="118">
        <f t="shared" ref="V57:V88" si="15">$E$18</f>
        <v>0.17</v>
      </c>
      <c r="W57" s="118">
        <f t="shared" ref="W57:W88" si="16">$F$18</f>
        <v>0.24</v>
      </c>
      <c r="X57" s="118">
        <f t="shared" ref="X57:X88" si="17">$G$18</f>
        <v>0.05</v>
      </c>
      <c r="Y57" s="205">
        <f t="shared" ref="Y57:Y88" si="18">$H$18</f>
        <v>0.2</v>
      </c>
      <c r="Z57" s="235">
        <f t="shared" ref="Z57:Z88" si="19">H57*$C$35*G57*$C$10</f>
        <v>975017.83346982789</v>
      </c>
      <c r="AA57" s="236">
        <f t="shared" ref="AA57:AA88" si="20">I57*$C$36*G57*$C$10</f>
        <v>0</v>
      </c>
      <c r="AB57" s="236">
        <f t="shared" ref="AB57:AB88" si="21">J57*$C$37*G57*$C$10</f>
        <v>975017.83346982789</v>
      </c>
      <c r="AC57" s="236">
        <f t="shared" ref="AC57:AC88" si="22">K57*$C$40*G57*$C$10</f>
        <v>546009.98674310371</v>
      </c>
      <c r="AD57" s="236">
        <f t="shared" ref="AD57:AD88" si="23">L57*$C$41*G57*$C$10</f>
        <v>78001.42667758622</v>
      </c>
      <c r="AE57" s="236">
        <f t="shared" ref="AE57:AE88" si="24">M57*$C$42*G57*$C$10</f>
        <v>0</v>
      </c>
      <c r="AF57" s="242">
        <f t="shared" ref="AF57:AF106" si="25">SUM(Z57:AE57)</f>
        <v>2574047.0803603455</v>
      </c>
      <c r="AG57" s="235">
        <f t="shared" ref="AG57:AG88" si="26">N57*$C$35*G57*$C$11</f>
        <v>0</v>
      </c>
      <c r="AH57" s="236">
        <f t="shared" ref="AH57:AH88" si="27">O57*$C$36*G57*$C$11</f>
        <v>0</v>
      </c>
      <c r="AI57" s="236">
        <f t="shared" ref="AI57:AI88" si="28">P57*$C$37*G57*$C$11</f>
        <v>450008.2308322282</v>
      </c>
      <c r="AJ57" s="236">
        <f t="shared" ref="AJ57:AJ88" si="29">Q57*$C$38*G57*$C$11</f>
        <v>90001.646166445644</v>
      </c>
      <c r="AK57" s="236">
        <f t="shared" ref="AK57:AK88" si="30">R57*$C$41*G57*$C$11</f>
        <v>0</v>
      </c>
      <c r="AL57" s="236">
        <f t="shared" ref="AL57:AL88" si="31">S57*$C$42*G57*$C$11</f>
        <v>0</v>
      </c>
      <c r="AM57" s="242">
        <f t="shared" ref="AM57:AM106" si="32">SUM(AG57:AL57)</f>
        <v>540009.87699867389</v>
      </c>
      <c r="AN57" s="235">
        <f t="shared" ref="AN57:AN88" si="33">T57*$C$35*G57*$C$12</f>
        <v>4165076.1809249572</v>
      </c>
      <c r="AO57" s="236">
        <f t="shared" ref="AO57:AO88" si="34">U57*$C$36*G57*$C$12</f>
        <v>0</v>
      </c>
      <c r="AP57" s="236">
        <f t="shared" ref="AP57:AP88" si="35">V57*$C$37*G57*$C$12</f>
        <v>2082538.0904624786</v>
      </c>
      <c r="AQ57" s="236">
        <f t="shared" ref="AQ57:AQ88" si="36">W57*$C$39*G57*$C$12</f>
        <v>2940053.7747705574</v>
      </c>
      <c r="AR57" s="236">
        <f t="shared" ref="AR57:AR88" si="37">X57*$C$41*G57*$C$12</f>
        <v>122502.24061543992</v>
      </c>
      <c r="AS57" s="236">
        <f t="shared" ref="AS57:AS106" si="38">Y57*$C$42*N57*$C$12</f>
        <v>0</v>
      </c>
      <c r="AT57" s="242">
        <f t="shared" ref="AT57:AT106" si="39">SUM(AN57:AS57)</f>
        <v>9310170.2867734339</v>
      </c>
      <c r="AU57" s="252"/>
      <c r="AV57" s="246">
        <f t="shared" ref="AV57:AV106" si="40">(AF57+AM57+AT57)/10^6</f>
        <v>12.424227244132453</v>
      </c>
      <c r="AW57" s="130"/>
    </row>
    <row r="58" spans="1:49" ht="14.45" hidden="1" customHeight="1">
      <c r="A58" s="193">
        <f>'Input data'!A51</f>
        <v>1951</v>
      </c>
      <c r="B58" s="208">
        <f>'Input data'!B51</f>
        <v>5.53942844</v>
      </c>
      <c r="C58" s="114">
        <f>'Input data'!F51</f>
        <v>0.71479999999999999</v>
      </c>
      <c r="D58" s="114">
        <f>'Input data'!G51</f>
        <v>0.28959999999999997</v>
      </c>
      <c r="E58" s="127"/>
      <c r="F58" s="236"/>
      <c r="G58" s="237">
        <f t="shared" si="2"/>
        <v>86218503.197235525</v>
      </c>
      <c r="H58" s="118">
        <f t="shared" ref="H58:H121" si="41">$C$16</f>
        <v>0.1</v>
      </c>
      <c r="I58" s="118">
        <f t="shared" si="3"/>
        <v>0</v>
      </c>
      <c r="J58" s="118">
        <f t="shared" si="4"/>
        <v>0.1</v>
      </c>
      <c r="K58" s="118">
        <f t="shared" si="5"/>
        <v>0.28000000000000003</v>
      </c>
      <c r="L58" s="118">
        <f t="shared" si="6"/>
        <v>0.04</v>
      </c>
      <c r="M58" s="205">
        <f t="shared" si="7"/>
        <v>0.48</v>
      </c>
      <c r="N58" s="117">
        <f t="shared" ref="N58:N121" si="42">$C$17</f>
        <v>0</v>
      </c>
      <c r="O58" s="118">
        <f t="shared" si="8"/>
        <v>0.7</v>
      </c>
      <c r="P58" s="118">
        <f t="shared" si="9"/>
        <v>0.15</v>
      </c>
      <c r="Q58" s="118">
        <f t="shared" si="10"/>
        <v>0.15</v>
      </c>
      <c r="R58" s="118">
        <f t="shared" si="11"/>
        <v>0</v>
      </c>
      <c r="S58" s="205">
        <f t="shared" si="12"/>
        <v>0</v>
      </c>
      <c r="T58" s="117">
        <f t="shared" si="13"/>
        <v>0.34</v>
      </c>
      <c r="U58" s="118">
        <f t="shared" si="14"/>
        <v>0</v>
      </c>
      <c r="V58" s="118">
        <f t="shared" si="15"/>
        <v>0.17</v>
      </c>
      <c r="W58" s="118">
        <f t="shared" si="16"/>
        <v>0.24</v>
      </c>
      <c r="X58" s="118">
        <f t="shared" si="17"/>
        <v>0.05</v>
      </c>
      <c r="Y58" s="205">
        <f t="shared" si="18"/>
        <v>0.2</v>
      </c>
      <c r="Z58" s="235">
        <f t="shared" si="19"/>
        <v>1008756.4874076556</v>
      </c>
      <c r="AA58" s="236">
        <f t="shared" si="20"/>
        <v>0</v>
      </c>
      <c r="AB58" s="236">
        <f t="shared" si="21"/>
        <v>1008756.4874076556</v>
      </c>
      <c r="AC58" s="236">
        <f t="shared" si="22"/>
        <v>564903.6329482873</v>
      </c>
      <c r="AD58" s="236">
        <f t="shared" si="23"/>
        <v>80700.518992612444</v>
      </c>
      <c r="AE58" s="236">
        <f t="shared" si="24"/>
        <v>0</v>
      </c>
      <c r="AF58" s="242">
        <f t="shared" si="25"/>
        <v>2663117.1267562113</v>
      </c>
      <c r="AG58" s="235">
        <f t="shared" si="26"/>
        <v>0</v>
      </c>
      <c r="AH58" s="236">
        <f t="shared" si="27"/>
        <v>0</v>
      </c>
      <c r="AI58" s="236">
        <f t="shared" si="28"/>
        <v>465579.91726507182</v>
      </c>
      <c r="AJ58" s="236">
        <f t="shared" si="29"/>
        <v>93115.983453014356</v>
      </c>
      <c r="AK58" s="236">
        <f t="shared" si="30"/>
        <v>0</v>
      </c>
      <c r="AL58" s="236">
        <f t="shared" si="31"/>
        <v>0</v>
      </c>
      <c r="AM58" s="242">
        <f t="shared" si="32"/>
        <v>558695.90071808617</v>
      </c>
      <c r="AN58" s="235">
        <f t="shared" si="33"/>
        <v>4309200.7897978313</v>
      </c>
      <c r="AO58" s="236">
        <f t="shared" si="34"/>
        <v>0</v>
      </c>
      <c r="AP58" s="236">
        <f t="shared" si="35"/>
        <v>2154600.3948989157</v>
      </c>
      <c r="AQ58" s="236">
        <f t="shared" si="36"/>
        <v>3041788.7927984693</v>
      </c>
      <c r="AR58" s="236">
        <f t="shared" si="37"/>
        <v>126741.19969993623</v>
      </c>
      <c r="AS58" s="236">
        <f t="shared" si="38"/>
        <v>0</v>
      </c>
      <c r="AT58" s="242">
        <f t="shared" si="39"/>
        <v>9632331.1771951523</v>
      </c>
      <c r="AU58" s="252"/>
      <c r="AV58" s="246">
        <f t="shared" si="40"/>
        <v>12.854144204669449</v>
      </c>
      <c r="AW58" s="130"/>
    </row>
    <row r="59" spans="1:49" ht="14.45" hidden="1" customHeight="1">
      <c r="A59" s="193">
        <f>'Input data'!A52</f>
        <v>1952</v>
      </c>
      <c r="B59" s="208">
        <f>'Input data'!B52</f>
        <v>5.7129272200000001</v>
      </c>
      <c r="C59" s="114">
        <f>'Input data'!F52</f>
        <v>0.71479999999999999</v>
      </c>
      <c r="D59" s="114">
        <f>'Input data'!G52</f>
        <v>0.28959999999999997</v>
      </c>
      <c r="E59" s="127"/>
      <c r="F59" s="236"/>
      <c r="G59" s="237">
        <f t="shared" si="2"/>
        <v>88918927.12728025</v>
      </c>
      <c r="H59" s="118">
        <f t="shared" si="41"/>
        <v>0.1</v>
      </c>
      <c r="I59" s="118">
        <f t="shared" si="3"/>
        <v>0</v>
      </c>
      <c r="J59" s="118">
        <f t="shared" si="4"/>
        <v>0.1</v>
      </c>
      <c r="K59" s="118">
        <f t="shared" si="5"/>
        <v>0.28000000000000003</v>
      </c>
      <c r="L59" s="118">
        <f t="shared" si="6"/>
        <v>0.04</v>
      </c>
      <c r="M59" s="205">
        <f t="shared" si="7"/>
        <v>0.48</v>
      </c>
      <c r="N59" s="117">
        <f t="shared" si="42"/>
        <v>0</v>
      </c>
      <c r="O59" s="118">
        <f t="shared" si="8"/>
        <v>0.7</v>
      </c>
      <c r="P59" s="118">
        <f t="shared" si="9"/>
        <v>0.15</v>
      </c>
      <c r="Q59" s="118">
        <f t="shared" si="10"/>
        <v>0.15</v>
      </c>
      <c r="R59" s="118">
        <f t="shared" si="11"/>
        <v>0</v>
      </c>
      <c r="S59" s="205">
        <f t="shared" si="12"/>
        <v>0</v>
      </c>
      <c r="T59" s="117">
        <f t="shared" si="13"/>
        <v>0.34</v>
      </c>
      <c r="U59" s="118">
        <f t="shared" si="14"/>
        <v>0</v>
      </c>
      <c r="V59" s="118">
        <f t="shared" si="15"/>
        <v>0.17</v>
      </c>
      <c r="W59" s="118">
        <f t="shared" si="16"/>
        <v>0.24</v>
      </c>
      <c r="X59" s="118">
        <f t="shared" si="17"/>
        <v>0.05</v>
      </c>
      <c r="Y59" s="205">
        <f t="shared" si="18"/>
        <v>0.2</v>
      </c>
      <c r="Z59" s="235">
        <f t="shared" si="19"/>
        <v>1040351.4473891789</v>
      </c>
      <c r="AA59" s="236">
        <f t="shared" si="20"/>
        <v>0</v>
      </c>
      <c r="AB59" s="236">
        <f t="shared" si="21"/>
        <v>1040351.4473891789</v>
      </c>
      <c r="AC59" s="236">
        <f t="shared" si="22"/>
        <v>582596.81053794024</v>
      </c>
      <c r="AD59" s="236">
        <f t="shared" si="23"/>
        <v>83228.115791134318</v>
      </c>
      <c r="AE59" s="236">
        <f t="shared" si="24"/>
        <v>0</v>
      </c>
      <c r="AF59" s="242">
        <f t="shared" si="25"/>
        <v>2746527.8211074327</v>
      </c>
      <c r="AG59" s="235">
        <f t="shared" si="26"/>
        <v>0</v>
      </c>
      <c r="AH59" s="236">
        <f t="shared" si="27"/>
        <v>0</v>
      </c>
      <c r="AI59" s="236">
        <f t="shared" si="28"/>
        <v>480162.20648731332</v>
      </c>
      <c r="AJ59" s="236">
        <f t="shared" si="29"/>
        <v>96032.441297462661</v>
      </c>
      <c r="AK59" s="236">
        <f t="shared" si="30"/>
        <v>0</v>
      </c>
      <c r="AL59" s="236">
        <f t="shared" si="31"/>
        <v>0</v>
      </c>
      <c r="AM59" s="242">
        <f t="shared" si="32"/>
        <v>576194.64778477594</v>
      </c>
      <c r="AN59" s="235">
        <f t="shared" si="33"/>
        <v>4444167.9778214674</v>
      </c>
      <c r="AO59" s="236">
        <f t="shared" si="34"/>
        <v>0</v>
      </c>
      <c r="AP59" s="236">
        <f t="shared" si="35"/>
        <v>2222083.9889107337</v>
      </c>
      <c r="AQ59" s="236">
        <f t="shared" si="36"/>
        <v>3137059.7490504473</v>
      </c>
      <c r="AR59" s="236">
        <f t="shared" si="37"/>
        <v>130710.82287710196</v>
      </c>
      <c r="AS59" s="236">
        <f t="shared" si="38"/>
        <v>0</v>
      </c>
      <c r="AT59" s="242">
        <f t="shared" si="39"/>
        <v>9934022.5386597496</v>
      </c>
      <c r="AU59" s="252"/>
      <c r="AV59" s="246">
        <f t="shared" si="40"/>
        <v>13.25674500755196</v>
      </c>
      <c r="AW59" s="130"/>
    </row>
    <row r="60" spans="1:49" ht="14.45" hidden="1" customHeight="1">
      <c r="A60" s="193">
        <f>'Input data'!A53</f>
        <v>1953</v>
      </c>
      <c r="B60" s="208">
        <f>'Input data'!B53</f>
        <v>5.9284297800000001</v>
      </c>
      <c r="C60" s="114">
        <f>'Input data'!F53</f>
        <v>0.71479999999999999</v>
      </c>
      <c r="D60" s="114">
        <f>'Input data'!G53</f>
        <v>0.28959999999999997</v>
      </c>
      <c r="E60" s="127"/>
      <c r="F60" s="236"/>
      <c r="G60" s="237">
        <f t="shared" si="2"/>
        <v>92273119.41618225</v>
      </c>
      <c r="H60" s="118">
        <f t="shared" si="41"/>
        <v>0.1</v>
      </c>
      <c r="I60" s="118">
        <f t="shared" si="3"/>
        <v>0</v>
      </c>
      <c r="J60" s="118">
        <f t="shared" si="4"/>
        <v>0.1</v>
      </c>
      <c r="K60" s="118">
        <f t="shared" si="5"/>
        <v>0.28000000000000003</v>
      </c>
      <c r="L60" s="118">
        <f t="shared" si="6"/>
        <v>0.04</v>
      </c>
      <c r="M60" s="205">
        <f t="shared" si="7"/>
        <v>0.48</v>
      </c>
      <c r="N60" s="117">
        <f t="shared" si="42"/>
        <v>0</v>
      </c>
      <c r="O60" s="118">
        <f t="shared" si="8"/>
        <v>0.7</v>
      </c>
      <c r="P60" s="118">
        <f t="shared" si="9"/>
        <v>0.15</v>
      </c>
      <c r="Q60" s="118">
        <f t="shared" si="10"/>
        <v>0.15</v>
      </c>
      <c r="R60" s="118">
        <f t="shared" si="11"/>
        <v>0</v>
      </c>
      <c r="S60" s="205">
        <f t="shared" si="12"/>
        <v>0</v>
      </c>
      <c r="T60" s="117">
        <f t="shared" si="13"/>
        <v>0.34</v>
      </c>
      <c r="U60" s="118">
        <f t="shared" si="14"/>
        <v>0</v>
      </c>
      <c r="V60" s="118">
        <f t="shared" si="15"/>
        <v>0.17</v>
      </c>
      <c r="W60" s="118">
        <f t="shared" si="16"/>
        <v>0.24</v>
      </c>
      <c r="X60" s="118">
        <f t="shared" si="17"/>
        <v>0.05</v>
      </c>
      <c r="Y60" s="205">
        <f t="shared" si="18"/>
        <v>0.2</v>
      </c>
      <c r="Z60" s="235">
        <f t="shared" si="19"/>
        <v>1079595.4971693323</v>
      </c>
      <c r="AA60" s="236">
        <f t="shared" si="20"/>
        <v>0</v>
      </c>
      <c r="AB60" s="236">
        <f t="shared" si="21"/>
        <v>1079595.4971693323</v>
      </c>
      <c r="AC60" s="236">
        <f t="shared" si="22"/>
        <v>604573.47841482621</v>
      </c>
      <c r="AD60" s="236">
        <f t="shared" si="23"/>
        <v>86367.639773546587</v>
      </c>
      <c r="AE60" s="236">
        <f t="shared" si="24"/>
        <v>0</v>
      </c>
      <c r="AF60" s="242">
        <f t="shared" si="25"/>
        <v>2850132.1125270375</v>
      </c>
      <c r="AG60" s="235">
        <f t="shared" si="26"/>
        <v>0</v>
      </c>
      <c r="AH60" s="236">
        <f t="shared" si="27"/>
        <v>0</v>
      </c>
      <c r="AI60" s="236">
        <f t="shared" si="28"/>
        <v>498274.84484738414</v>
      </c>
      <c r="AJ60" s="236">
        <f t="shared" si="29"/>
        <v>99654.968969476817</v>
      </c>
      <c r="AK60" s="236">
        <f t="shared" si="30"/>
        <v>0</v>
      </c>
      <c r="AL60" s="236">
        <f t="shared" si="31"/>
        <v>0</v>
      </c>
      <c r="AM60" s="242">
        <f t="shared" si="32"/>
        <v>597929.81381686102</v>
      </c>
      <c r="AN60" s="235">
        <f t="shared" si="33"/>
        <v>4611810.5084207896</v>
      </c>
      <c r="AO60" s="236">
        <f t="shared" si="34"/>
        <v>0</v>
      </c>
      <c r="AP60" s="236">
        <f t="shared" si="35"/>
        <v>2305905.2542103948</v>
      </c>
      <c r="AQ60" s="236">
        <f t="shared" si="36"/>
        <v>3255395.6530029094</v>
      </c>
      <c r="AR60" s="236">
        <f t="shared" si="37"/>
        <v>135641.48554178793</v>
      </c>
      <c r="AS60" s="236">
        <f t="shared" si="38"/>
        <v>0</v>
      </c>
      <c r="AT60" s="242">
        <f t="shared" si="39"/>
        <v>10308752.901175883</v>
      </c>
      <c r="AU60" s="252"/>
      <c r="AV60" s="246">
        <f t="shared" si="40"/>
        <v>13.756814827519781</v>
      </c>
      <c r="AW60" s="130"/>
    </row>
    <row r="61" spans="1:49" ht="14.45" hidden="1" customHeight="1">
      <c r="A61" s="193">
        <f>'Input data'!A54</f>
        <v>1954</v>
      </c>
      <c r="B61" s="208">
        <f>'Input data'!B54</f>
        <v>6.1065695599999996</v>
      </c>
      <c r="C61" s="114">
        <f>'Input data'!F54</f>
        <v>0.71479999999999999</v>
      </c>
      <c r="D61" s="114">
        <f>'Input data'!G54</f>
        <v>0.28959999999999997</v>
      </c>
      <c r="E61" s="127"/>
      <c r="F61" s="236"/>
      <c r="G61" s="237">
        <f t="shared" si="2"/>
        <v>95045778.248739511</v>
      </c>
      <c r="H61" s="118">
        <f t="shared" si="41"/>
        <v>0.1</v>
      </c>
      <c r="I61" s="118">
        <f t="shared" si="3"/>
        <v>0</v>
      </c>
      <c r="J61" s="118">
        <f t="shared" si="4"/>
        <v>0.1</v>
      </c>
      <c r="K61" s="118">
        <f t="shared" si="5"/>
        <v>0.28000000000000003</v>
      </c>
      <c r="L61" s="118">
        <f t="shared" si="6"/>
        <v>0.04</v>
      </c>
      <c r="M61" s="205">
        <f t="shared" si="7"/>
        <v>0.48</v>
      </c>
      <c r="N61" s="117">
        <f t="shared" si="42"/>
        <v>0</v>
      </c>
      <c r="O61" s="118">
        <f t="shared" si="8"/>
        <v>0.7</v>
      </c>
      <c r="P61" s="118">
        <f t="shared" si="9"/>
        <v>0.15</v>
      </c>
      <c r="Q61" s="118">
        <f t="shared" si="10"/>
        <v>0.15</v>
      </c>
      <c r="R61" s="118">
        <f t="shared" si="11"/>
        <v>0</v>
      </c>
      <c r="S61" s="205">
        <f t="shared" si="12"/>
        <v>0</v>
      </c>
      <c r="T61" s="117">
        <f t="shared" si="13"/>
        <v>0.34</v>
      </c>
      <c r="U61" s="118">
        <f t="shared" si="14"/>
        <v>0</v>
      </c>
      <c r="V61" s="118">
        <f t="shared" si="15"/>
        <v>0.17</v>
      </c>
      <c r="W61" s="118">
        <f t="shared" si="16"/>
        <v>0.24</v>
      </c>
      <c r="X61" s="118">
        <f t="shared" si="17"/>
        <v>0.05</v>
      </c>
      <c r="Y61" s="205">
        <f t="shared" si="18"/>
        <v>0.2</v>
      </c>
      <c r="Z61" s="235">
        <f t="shared" si="19"/>
        <v>1112035.6055102523</v>
      </c>
      <c r="AA61" s="236">
        <f t="shared" si="20"/>
        <v>0</v>
      </c>
      <c r="AB61" s="236">
        <f t="shared" si="21"/>
        <v>1112035.6055102523</v>
      </c>
      <c r="AC61" s="236">
        <f t="shared" si="22"/>
        <v>622739.93908574141</v>
      </c>
      <c r="AD61" s="236">
        <f t="shared" si="23"/>
        <v>88962.848440820177</v>
      </c>
      <c r="AE61" s="236">
        <f t="shared" si="24"/>
        <v>0</v>
      </c>
      <c r="AF61" s="242">
        <f t="shared" si="25"/>
        <v>2935773.9985470665</v>
      </c>
      <c r="AG61" s="235">
        <f t="shared" si="26"/>
        <v>0</v>
      </c>
      <c r="AH61" s="236">
        <f t="shared" si="27"/>
        <v>0</v>
      </c>
      <c r="AI61" s="236">
        <f t="shared" si="28"/>
        <v>513247.20254319336</v>
      </c>
      <c r="AJ61" s="236">
        <f t="shared" si="29"/>
        <v>102649.44050863867</v>
      </c>
      <c r="AK61" s="236">
        <f t="shared" si="30"/>
        <v>0</v>
      </c>
      <c r="AL61" s="236">
        <f t="shared" si="31"/>
        <v>0</v>
      </c>
      <c r="AM61" s="242">
        <f t="shared" si="32"/>
        <v>615896.64305183198</v>
      </c>
      <c r="AN61" s="235">
        <f t="shared" si="33"/>
        <v>4750387.9968720013</v>
      </c>
      <c r="AO61" s="236">
        <f t="shared" si="34"/>
        <v>0</v>
      </c>
      <c r="AP61" s="236">
        <f t="shared" si="35"/>
        <v>2375193.9984360007</v>
      </c>
      <c r="AQ61" s="236">
        <f t="shared" si="36"/>
        <v>3353215.0566155296</v>
      </c>
      <c r="AR61" s="236">
        <f t="shared" si="37"/>
        <v>139717.29402564708</v>
      </c>
      <c r="AS61" s="236">
        <f t="shared" si="38"/>
        <v>0</v>
      </c>
      <c r="AT61" s="242">
        <f t="shared" si="39"/>
        <v>10618514.345949179</v>
      </c>
      <c r="AU61" s="252"/>
      <c r="AV61" s="246">
        <f t="shared" si="40"/>
        <v>14.170184987548078</v>
      </c>
      <c r="AW61" s="130"/>
    </row>
    <row r="62" spans="1:49" ht="14.45" hidden="1" customHeight="1">
      <c r="A62" s="193">
        <f>'Input data'!A55</f>
        <v>1955</v>
      </c>
      <c r="B62" s="208">
        <f>'Input data'!B55</f>
        <v>6.2725644799999998</v>
      </c>
      <c r="C62" s="114">
        <f>'Input data'!F55</f>
        <v>0.71479999999999999</v>
      </c>
      <c r="D62" s="114">
        <f>'Input data'!G55</f>
        <v>0.28959999999999997</v>
      </c>
      <c r="E62" s="127"/>
      <c r="F62" s="236"/>
      <c r="G62" s="237">
        <f t="shared" si="2"/>
        <v>97629408.256016001</v>
      </c>
      <c r="H62" s="118">
        <f t="shared" si="41"/>
        <v>0.1</v>
      </c>
      <c r="I62" s="118">
        <f t="shared" si="3"/>
        <v>0</v>
      </c>
      <c r="J62" s="118">
        <f t="shared" si="4"/>
        <v>0.1</v>
      </c>
      <c r="K62" s="118">
        <f t="shared" si="5"/>
        <v>0.28000000000000003</v>
      </c>
      <c r="L62" s="118">
        <f t="shared" si="6"/>
        <v>0.04</v>
      </c>
      <c r="M62" s="205">
        <f t="shared" si="7"/>
        <v>0.48</v>
      </c>
      <c r="N62" s="117">
        <f t="shared" si="42"/>
        <v>0</v>
      </c>
      <c r="O62" s="118">
        <f t="shared" si="8"/>
        <v>0.7</v>
      </c>
      <c r="P62" s="118">
        <f t="shared" si="9"/>
        <v>0.15</v>
      </c>
      <c r="Q62" s="118">
        <f t="shared" si="10"/>
        <v>0.15</v>
      </c>
      <c r="R62" s="118">
        <f t="shared" si="11"/>
        <v>0</v>
      </c>
      <c r="S62" s="205">
        <f t="shared" si="12"/>
        <v>0</v>
      </c>
      <c r="T62" s="117">
        <f t="shared" si="13"/>
        <v>0.34</v>
      </c>
      <c r="U62" s="118">
        <f t="shared" si="14"/>
        <v>0</v>
      </c>
      <c r="V62" s="118">
        <f t="shared" si="15"/>
        <v>0.17</v>
      </c>
      <c r="W62" s="118">
        <f t="shared" si="16"/>
        <v>0.24</v>
      </c>
      <c r="X62" s="118">
        <f t="shared" si="17"/>
        <v>0.05</v>
      </c>
      <c r="Y62" s="205">
        <f t="shared" si="18"/>
        <v>0.2</v>
      </c>
      <c r="Z62" s="235">
        <f t="shared" si="19"/>
        <v>1142264.0765953872</v>
      </c>
      <c r="AA62" s="236">
        <f t="shared" si="20"/>
        <v>0</v>
      </c>
      <c r="AB62" s="236">
        <f t="shared" si="21"/>
        <v>1142264.0765953872</v>
      </c>
      <c r="AC62" s="236">
        <f t="shared" si="22"/>
        <v>639667.88289341691</v>
      </c>
      <c r="AD62" s="236">
        <f t="shared" si="23"/>
        <v>91381.126127630982</v>
      </c>
      <c r="AE62" s="236">
        <f t="shared" si="24"/>
        <v>0</v>
      </c>
      <c r="AF62" s="242">
        <f t="shared" si="25"/>
        <v>3015577.1622118223</v>
      </c>
      <c r="AG62" s="235">
        <f t="shared" si="26"/>
        <v>0</v>
      </c>
      <c r="AH62" s="236">
        <f t="shared" si="27"/>
        <v>0</v>
      </c>
      <c r="AI62" s="236">
        <f t="shared" si="28"/>
        <v>527198.80458248628</v>
      </c>
      <c r="AJ62" s="236">
        <f t="shared" si="29"/>
        <v>105439.76091649728</v>
      </c>
      <c r="AK62" s="236">
        <f t="shared" si="30"/>
        <v>0</v>
      </c>
      <c r="AL62" s="236">
        <f t="shared" si="31"/>
        <v>0</v>
      </c>
      <c r="AM62" s="242">
        <f t="shared" si="32"/>
        <v>632638.5654989836</v>
      </c>
      <c r="AN62" s="235">
        <f t="shared" si="33"/>
        <v>4879517.8246356808</v>
      </c>
      <c r="AO62" s="236">
        <f t="shared" si="34"/>
        <v>0</v>
      </c>
      <c r="AP62" s="236">
        <f t="shared" si="35"/>
        <v>2439758.9123178404</v>
      </c>
      <c r="AQ62" s="236">
        <f t="shared" si="36"/>
        <v>3444365.5232722443</v>
      </c>
      <c r="AR62" s="236">
        <f t="shared" si="37"/>
        <v>143515.23013634354</v>
      </c>
      <c r="AS62" s="236">
        <f t="shared" si="38"/>
        <v>0</v>
      </c>
      <c r="AT62" s="242">
        <f t="shared" si="39"/>
        <v>10907157.49036211</v>
      </c>
      <c r="AU62" s="252"/>
      <c r="AV62" s="246">
        <f t="shared" si="40"/>
        <v>14.555373218072916</v>
      </c>
      <c r="AW62" s="130"/>
    </row>
    <row r="63" spans="1:49" ht="14.45" hidden="1" customHeight="1">
      <c r="A63" s="193">
        <f>'Input data'!A56</f>
        <v>1956</v>
      </c>
      <c r="B63" s="208">
        <f>'Input data'!B56</f>
        <v>6.4651860000000001</v>
      </c>
      <c r="C63" s="114">
        <f>'Input data'!F56</f>
        <v>0.71479999999999999</v>
      </c>
      <c r="D63" s="114">
        <f>'Input data'!G56</f>
        <v>0.28959999999999997</v>
      </c>
      <c r="E63" s="127"/>
      <c r="F63" s="236"/>
      <c r="G63" s="237">
        <f t="shared" si="2"/>
        <v>100627468.31182501</v>
      </c>
      <c r="H63" s="118">
        <f t="shared" si="41"/>
        <v>0.1</v>
      </c>
      <c r="I63" s="118">
        <f t="shared" si="3"/>
        <v>0</v>
      </c>
      <c r="J63" s="118">
        <f t="shared" si="4"/>
        <v>0.1</v>
      </c>
      <c r="K63" s="118">
        <f t="shared" si="5"/>
        <v>0.28000000000000003</v>
      </c>
      <c r="L63" s="118">
        <f t="shared" si="6"/>
        <v>0.04</v>
      </c>
      <c r="M63" s="205">
        <f t="shared" si="7"/>
        <v>0.48</v>
      </c>
      <c r="N63" s="117">
        <f t="shared" si="42"/>
        <v>0</v>
      </c>
      <c r="O63" s="118">
        <f t="shared" si="8"/>
        <v>0.7</v>
      </c>
      <c r="P63" s="118">
        <f t="shared" si="9"/>
        <v>0.15</v>
      </c>
      <c r="Q63" s="118">
        <f t="shared" si="10"/>
        <v>0.15</v>
      </c>
      <c r="R63" s="118">
        <f t="shared" si="11"/>
        <v>0</v>
      </c>
      <c r="S63" s="205">
        <f t="shared" si="12"/>
        <v>0</v>
      </c>
      <c r="T63" s="117">
        <f t="shared" si="13"/>
        <v>0.34</v>
      </c>
      <c r="U63" s="118">
        <f t="shared" si="14"/>
        <v>0</v>
      </c>
      <c r="V63" s="118">
        <f t="shared" si="15"/>
        <v>0.17</v>
      </c>
      <c r="W63" s="118">
        <f t="shared" si="16"/>
        <v>0.24</v>
      </c>
      <c r="X63" s="118">
        <f t="shared" si="17"/>
        <v>0.05</v>
      </c>
      <c r="Y63" s="205">
        <f t="shared" si="18"/>
        <v>0.2</v>
      </c>
      <c r="Z63" s="235">
        <f t="shared" si="19"/>
        <v>1177341.3792483527</v>
      </c>
      <c r="AA63" s="236">
        <f t="shared" si="20"/>
        <v>0</v>
      </c>
      <c r="AB63" s="236">
        <f t="shared" si="21"/>
        <v>1177341.3792483527</v>
      </c>
      <c r="AC63" s="236">
        <f t="shared" si="22"/>
        <v>659311.17237907765</v>
      </c>
      <c r="AD63" s="236">
        <f t="shared" si="23"/>
        <v>94187.3103398682</v>
      </c>
      <c r="AE63" s="236">
        <f t="shared" si="24"/>
        <v>0</v>
      </c>
      <c r="AF63" s="242">
        <f t="shared" si="25"/>
        <v>3108181.2412156509</v>
      </c>
      <c r="AG63" s="235">
        <f t="shared" si="26"/>
        <v>0</v>
      </c>
      <c r="AH63" s="236">
        <f t="shared" si="27"/>
        <v>0</v>
      </c>
      <c r="AI63" s="236">
        <f t="shared" si="28"/>
        <v>543388.32888385502</v>
      </c>
      <c r="AJ63" s="236">
        <f t="shared" si="29"/>
        <v>108677.665776771</v>
      </c>
      <c r="AK63" s="236">
        <f t="shared" si="30"/>
        <v>0</v>
      </c>
      <c r="AL63" s="236">
        <f t="shared" si="31"/>
        <v>0</v>
      </c>
      <c r="AM63" s="242">
        <f t="shared" si="32"/>
        <v>652065.99466062605</v>
      </c>
      <c r="AN63" s="235">
        <f t="shared" si="33"/>
        <v>5029360.8662250144</v>
      </c>
      <c r="AO63" s="236">
        <f t="shared" si="34"/>
        <v>0</v>
      </c>
      <c r="AP63" s="236">
        <f t="shared" si="35"/>
        <v>2514680.4331125072</v>
      </c>
      <c r="AQ63" s="236">
        <f t="shared" si="36"/>
        <v>3550137.0820411863</v>
      </c>
      <c r="AR63" s="236">
        <f t="shared" si="37"/>
        <v>147922.37841838275</v>
      </c>
      <c r="AS63" s="236">
        <f t="shared" si="38"/>
        <v>0</v>
      </c>
      <c r="AT63" s="242">
        <f t="shared" si="39"/>
        <v>11242100.759797089</v>
      </c>
      <c r="AU63" s="252"/>
      <c r="AV63" s="246">
        <f t="shared" si="40"/>
        <v>15.002347995673366</v>
      </c>
      <c r="AW63" s="130"/>
    </row>
    <row r="64" spans="1:49" ht="14.45" hidden="1" customHeight="1">
      <c r="A64" s="193">
        <f>'Input data'!A57</f>
        <v>1957</v>
      </c>
      <c r="B64" s="208">
        <f>'Input data'!B57</f>
        <v>6.6592707999999998</v>
      </c>
      <c r="C64" s="114">
        <f>'Input data'!F57</f>
        <v>0.71479999999999999</v>
      </c>
      <c r="D64" s="114">
        <f>'Input data'!G57</f>
        <v>0.28959999999999997</v>
      </c>
      <c r="E64" s="127"/>
      <c r="F64" s="236"/>
      <c r="G64" s="237">
        <f t="shared" si="2"/>
        <v>103648303.60748503</v>
      </c>
      <c r="H64" s="118">
        <f t="shared" si="41"/>
        <v>0.1</v>
      </c>
      <c r="I64" s="118">
        <f t="shared" si="3"/>
        <v>0</v>
      </c>
      <c r="J64" s="118">
        <f t="shared" si="4"/>
        <v>0.1</v>
      </c>
      <c r="K64" s="118">
        <f t="shared" si="5"/>
        <v>0.28000000000000003</v>
      </c>
      <c r="L64" s="118">
        <f t="shared" si="6"/>
        <v>0.04</v>
      </c>
      <c r="M64" s="205">
        <f t="shared" si="7"/>
        <v>0.48</v>
      </c>
      <c r="N64" s="117">
        <f t="shared" si="42"/>
        <v>0</v>
      </c>
      <c r="O64" s="118">
        <f t="shared" si="8"/>
        <v>0.7</v>
      </c>
      <c r="P64" s="118">
        <f t="shared" si="9"/>
        <v>0.15</v>
      </c>
      <c r="Q64" s="118">
        <f t="shared" si="10"/>
        <v>0.15</v>
      </c>
      <c r="R64" s="118">
        <f t="shared" si="11"/>
        <v>0</v>
      </c>
      <c r="S64" s="205">
        <f t="shared" si="12"/>
        <v>0</v>
      </c>
      <c r="T64" s="117">
        <f t="shared" si="13"/>
        <v>0.34</v>
      </c>
      <c r="U64" s="118">
        <f t="shared" si="14"/>
        <v>0</v>
      </c>
      <c r="V64" s="118">
        <f t="shared" si="15"/>
        <v>0.17</v>
      </c>
      <c r="W64" s="118">
        <f t="shared" si="16"/>
        <v>0.24</v>
      </c>
      <c r="X64" s="118">
        <f t="shared" si="17"/>
        <v>0.05</v>
      </c>
      <c r="Y64" s="205">
        <f t="shared" si="18"/>
        <v>0.2</v>
      </c>
      <c r="Z64" s="235">
        <f t="shared" si="19"/>
        <v>1212685.1522075748</v>
      </c>
      <c r="AA64" s="236">
        <f t="shared" si="20"/>
        <v>0</v>
      </c>
      <c r="AB64" s="236">
        <f t="shared" si="21"/>
        <v>1212685.1522075748</v>
      </c>
      <c r="AC64" s="236">
        <f t="shared" si="22"/>
        <v>679103.68523624202</v>
      </c>
      <c r="AD64" s="236">
        <f t="shared" si="23"/>
        <v>97014.812176605978</v>
      </c>
      <c r="AE64" s="236">
        <f t="shared" si="24"/>
        <v>0</v>
      </c>
      <c r="AF64" s="242">
        <f t="shared" si="25"/>
        <v>3201488.8018279979</v>
      </c>
      <c r="AG64" s="235">
        <f t="shared" si="26"/>
        <v>0</v>
      </c>
      <c r="AH64" s="236">
        <f t="shared" si="27"/>
        <v>0</v>
      </c>
      <c r="AI64" s="236">
        <f t="shared" si="28"/>
        <v>559700.83948041918</v>
      </c>
      <c r="AJ64" s="236">
        <f t="shared" si="29"/>
        <v>111940.16789608382</v>
      </c>
      <c r="AK64" s="236">
        <f t="shared" si="30"/>
        <v>0</v>
      </c>
      <c r="AL64" s="236">
        <f t="shared" si="31"/>
        <v>0</v>
      </c>
      <c r="AM64" s="242">
        <f t="shared" si="32"/>
        <v>671641.00737650297</v>
      </c>
      <c r="AN64" s="235">
        <f t="shared" si="33"/>
        <v>5180342.2143021021</v>
      </c>
      <c r="AO64" s="236">
        <f t="shared" si="34"/>
        <v>0</v>
      </c>
      <c r="AP64" s="236">
        <f t="shared" si="35"/>
        <v>2590171.1071510511</v>
      </c>
      <c r="AQ64" s="236">
        <f t="shared" si="36"/>
        <v>3656712.1512720715</v>
      </c>
      <c r="AR64" s="236">
        <f t="shared" si="37"/>
        <v>152363.00630300297</v>
      </c>
      <c r="AS64" s="236">
        <f t="shared" si="38"/>
        <v>0</v>
      </c>
      <c r="AT64" s="242">
        <f t="shared" si="39"/>
        <v>11579588.479028227</v>
      </c>
      <c r="AU64" s="252"/>
      <c r="AV64" s="246">
        <f t="shared" si="40"/>
        <v>15.452718288232729</v>
      </c>
      <c r="AW64" s="130"/>
    </row>
    <row r="65" spans="1:49" ht="14.45" hidden="1" customHeight="1">
      <c r="A65" s="193">
        <f>'Input data'!A58</f>
        <v>1958</v>
      </c>
      <c r="B65" s="208">
        <f>'Input data'!B58</f>
        <v>6.8699176</v>
      </c>
      <c r="C65" s="114">
        <f>'Input data'!F58</f>
        <v>0.71479999999999999</v>
      </c>
      <c r="D65" s="114">
        <f>'Input data'!G58</f>
        <v>0.28959999999999997</v>
      </c>
      <c r="E65" s="127"/>
      <c r="F65" s="236"/>
      <c r="G65" s="237">
        <f t="shared" si="2"/>
        <v>106926918.35917002</v>
      </c>
      <c r="H65" s="118">
        <f t="shared" si="41"/>
        <v>0.1</v>
      </c>
      <c r="I65" s="118">
        <f t="shared" si="3"/>
        <v>0</v>
      </c>
      <c r="J65" s="118">
        <f t="shared" si="4"/>
        <v>0.1</v>
      </c>
      <c r="K65" s="118">
        <f t="shared" si="5"/>
        <v>0.28000000000000003</v>
      </c>
      <c r="L65" s="118">
        <f t="shared" si="6"/>
        <v>0.04</v>
      </c>
      <c r="M65" s="205">
        <f t="shared" si="7"/>
        <v>0.48</v>
      </c>
      <c r="N65" s="117">
        <f t="shared" si="42"/>
        <v>0</v>
      </c>
      <c r="O65" s="118">
        <f t="shared" si="8"/>
        <v>0.7</v>
      </c>
      <c r="P65" s="118">
        <f t="shared" si="9"/>
        <v>0.15</v>
      </c>
      <c r="Q65" s="118">
        <f t="shared" si="10"/>
        <v>0.15</v>
      </c>
      <c r="R65" s="118">
        <f t="shared" si="11"/>
        <v>0</v>
      </c>
      <c r="S65" s="205">
        <f t="shared" si="12"/>
        <v>0</v>
      </c>
      <c r="T65" s="117">
        <f t="shared" si="13"/>
        <v>0.34</v>
      </c>
      <c r="U65" s="118">
        <f t="shared" si="14"/>
        <v>0</v>
      </c>
      <c r="V65" s="118">
        <f t="shared" si="15"/>
        <v>0.17</v>
      </c>
      <c r="W65" s="118">
        <f t="shared" si="16"/>
        <v>0.24</v>
      </c>
      <c r="X65" s="118">
        <f t="shared" si="17"/>
        <v>0.05</v>
      </c>
      <c r="Y65" s="205">
        <f t="shared" si="18"/>
        <v>0.2</v>
      </c>
      <c r="Z65" s="235">
        <f t="shared" si="19"/>
        <v>1251044.9448022891</v>
      </c>
      <c r="AA65" s="236">
        <f t="shared" si="20"/>
        <v>0</v>
      </c>
      <c r="AB65" s="236">
        <f t="shared" si="21"/>
        <v>1251044.9448022891</v>
      </c>
      <c r="AC65" s="236">
        <f t="shared" si="22"/>
        <v>700585.16908928205</v>
      </c>
      <c r="AD65" s="236">
        <f t="shared" si="23"/>
        <v>100083.59558418313</v>
      </c>
      <c r="AE65" s="236">
        <f t="shared" si="24"/>
        <v>0</v>
      </c>
      <c r="AF65" s="242">
        <f t="shared" si="25"/>
        <v>3302758.6542780432</v>
      </c>
      <c r="AG65" s="235">
        <f t="shared" si="26"/>
        <v>0</v>
      </c>
      <c r="AH65" s="236">
        <f t="shared" si="27"/>
        <v>0</v>
      </c>
      <c r="AI65" s="236">
        <f t="shared" si="28"/>
        <v>577405.359139518</v>
      </c>
      <c r="AJ65" s="236">
        <f t="shared" si="29"/>
        <v>115481.07182790361</v>
      </c>
      <c r="AK65" s="236">
        <f t="shared" si="30"/>
        <v>0</v>
      </c>
      <c r="AL65" s="236">
        <f t="shared" si="31"/>
        <v>0</v>
      </c>
      <c r="AM65" s="242">
        <f t="shared" si="32"/>
        <v>692886.43096742162</v>
      </c>
      <c r="AN65" s="235">
        <f t="shared" si="33"/>
        <v>5344207.3795913178</v>
      </c>
      <c r="AO65" s="236">
        <f t="shared" si="34"/>
        <v>0</v>
      </c>
      <c r="AP65" s="236">
        <f t="shared" si="35"/>
        <v>2672103.6897956589</v>
      </c>
      <c r="AQ65" s="236">
        <f t="shared" si="36"/>
        <v>3772381.6797115179</v>
      </c>
      <c r="AR65" s="236">
        <f t="shared" si="37"/>
        <v>157182.56998797995</v>
      </c>
      <c r="AS65" s="236">
        <f t="shared" si="38"/>
        <v>0</v>
      </c>
      <c r="AT65" s="242">
        <f t="shared" si="39"/>
        <v>11945875.319086475</v>
      </c>
      <c r="AU65" s="252"/>
      <c r="AV65" s="246">
        <f t="shared" si="40"/>
        <v>15.941520404331941</v>
      </c>
      <c r="AW65" s="130"/>
    </row>
    <row r="66" spans="1:49" ht="14.45" hidden="1" customHeight="1">
      <c r="A66" s="193">
        <f>'Input data'!A59</f>
        <v>1959</v>
      </c>
      <c r="B66" s="208">
        <f>'Input data'!B59</f>
        <v>7.0827593200000001</v>
      </c>
      <c r="C66" s="114">
        <f>'Input data'!F59</f>
        <v>0.71479999999999999</v>
      </c>
      <c r="D66" s="114">
        <f>'Input data'!G59</f>
        <v>0.28959999999999997</v>
      </c>
      <c r="E66" s="127"/>
      <c r="F66" s="236"/>
      <c r="G66" s="237">
        <f t="shared" si="2"/>
        <v>110239695.97063151</v>
      </c>
      <c r="H66" s="118">
        <f t="shared" si="41"/>
        <v>0.1</v>
      </c>
      <c r="I66" s="118">
        <f t="shared" si="3"/>
        <v>0</v>
      </c>
      <c r="J66" s="118">
        <f t="shared" si="4"/>
        <v>0.1</v>
      </c>
      <c r="K66" s="118">
        <f t="shared" si="5"/>
        <v>0.28000000000000003</v>
      </c>
      <c r="L66" s="118">
        <f t="shared" si="6"/>
        <v>0.04</v>
      </c>
      <c r="M66" s="205">
        <f t="shared" si="7"/>
        <v>0.48</v>
      </c>
      <c r="N66" s="117">
        <f t="shared" si="42"/>
        <v>0</v>
      </c>
      <c r="O66" s="118">
        <f t="shared" si="8"/>
        <v>0.7</v>
      </c>
      <c r="P66" s="118">
        <f t="shared" si="9"/>
        <v>0.15</v>
      </c>
      <c r="Q66" s="118">
        <f t="shared" si="10"/>
        <v>0.15</v>
      </c>
      <c r="R66" s="118">
        <f t="shared" si="11"/>
        <v>0</v>
      </c>
      <c r="S66" s="205">
        <f t="shared" si="12"/>
        <v>0</v>
      </c>
      <c r="T66" s="117">
        <f t="shared" si="13"/>
        <v>0.34</v>
      </c>
      <c r="U66" s="118">
        <f t="shared" si="14"/>
        <v>0</v>
      </c>
      <c r="V66" s="118">
        <f t="shared" si="15"/>
        <v>0.17</v>
      </c>
      <c r="W66" s="118">
        <f t="shared" si="16"/>
        <v>0.24</v>
      </c>
      <c r="X66" s="118">
        <f t="shared" si="17"/>
        <v>0.05</v>
      </c>
      <c r="Y66" s="205">
        <f t="shared" si="18"/>
        <v>0.2</v>
      </c>
      <c r="Z66" s="235">
        <f t="shared" si="19"/>
        <v>1289804.4428563886</v>
      </c>
      <c r="AA66" s="236">
        <f t="shared" si="20"/>
        <v>0</v>
      </c>
      <c r="AB66" s="236">
        <f t="shared" si="21"/>
        <v>1289804.4428563886</v>
      </c>
      <c r="AC66" s="236">
        <f t="shared" si="22"/>
        <v>722290.48799957777</v>
      </c>
      <c r="AD66" s="236">
        <f t="shared" si="23"/>
        <v>103184.3554285111</v>
      </c>
      <c r="AE66" s="236">
        <f t="shared" si="24"/>
        <v>0</v>
      </c>
      <c r="AF66" s="242">
        <f t="shared" si="25"/>
        <v>3405083.7291408665</v>
      </c>
      <c r="AG66" s="235">
        <f t="shared" si="26"/>
        <v>0</v>
      </c>
      <c r="AH66" s="236">
        <f t="shared" si="27"/>
        <v>0</v>
      </c>
      <c r="AI66" s="236">
        <f t="shared" si="28"/>
        <v>595294.35824141011</v>
      </c>
      <c r="AJ66" s="236">
        <f t="shared" si="29"/>
        <v>119058.87164828202</v>
      </c>
      <c r="AK66" s="236">
        <f t="shared" si="30"/>
        <v>0</v>
      </c>
      <c r="AL66" s="236">
        <f t="shared" si="31"/>
        <v>0</v>
      </c>
      <c r="AM66" s="242">
        <f t="shared" si="32"/>
        <v>714353.22988969216</v>
      </c>
      <c r="AN66" s="235">
        <f t="shared" si="33"/>
        <v>5509780.0046121627</v>
      </c>
      <c r="AO66" s="236">
        <f t="shared" si="34"/>
        <v>0</v>
      </c>
      <c r="AP66" s="236">
        <f t="shared" si="35"/>
        <v>2754890.0023060814</v>
      </c>
      <c r="AQ66" s="236">
        <f t="shared" si="36"/>
        <v>3889256.4738438795</v>
      </c>
      <c r="AR66" s="236">
        <f t="shared" si="37"/>
        <v>162052.35307682832</v>
      </c>
      <c r="AS66" s="236">
        <f t="shared" si="38"/>
        <v>0</v>
      </c>
      <c r="AT66" s="242">
        <f t="shared" si="39"/>
        <v>12315978.833838953</v>
      </c>
      <c r="AU66" s="252"/>
      <c r="AV66" s="246">
        <f t="shared" si="40"/>
        <v>16.435415792869513</v>
      </c>
      <c r="AW66" s="130"/>
    </row>
    <row r="67" spans="1:49" ht="14.45" hidden="1" customHeight="1">
      <c r="A67" s="193">
        <f>'Input data'!A60</f>
        <v>1960</v>
      </c>
      <c r="B67" s="208">
        <f>'Input data'!B60</f>
        <v>7.2819655999999995</v>
      </c>
      <c r="C67" s="114">
        <f>'Input data'!F60</f>
        <v>0.71479999999999999</v>
      </c>
      <c r="D67" s="114">
        <f>'Input data'!G60</f>
        <v>0.28959999999999997</v>
      </c>
      <c r="E67" s="127"/>
      <c r="F67" s="236"/>
      <c r="G67" s="237">
        <f t="shared" si="2"/>
        <v>113340244.60576999</v>
      </c>
      <c r="H67" s="118">
        <f t="shared" si="41"/>
        <v>0.1</v>
      </c>
      <c r="I67" s="118">
        <f t="shared" si="3"/>
        <v>0</v>
      </c>
      <c r="J67" s="118">
        <f t="shared" si="4"/>
        <v>0.1</v>
      </c>
      <c r="K67" s="118">
        <f t="shared" si="5"/>
        <v>0.28000000000000003</v>
      </c>
      <c r="L67" s="118">
        <f t="shared" si="6"/>
        <v>0.04</v>
      </c>
      <c r="M67" s="205">
        <f t="shared" si="7"/>
        <v>0.48</v>
      </c>
      <c r="N67" s="117">
        <f t="shared" si="42"/>
        <v>0</v>
      </c>
      <c r="O67" s="118">
        <f t="shared" si="8"/>
        <v>0.7</v>
      </c>
      <c r="P67" s="118">
        <f t="shared" si="9"/>
        <v>0.15</v>
      </c>
      <c r="Q67" s="118">
        <f t="shared" si="10"/>
        <v>0.15</v>
      </c>
      <c r="R67" s="118">
        <f t="shared" si="11"/>
        <v>0</v>
      </c>
      <c r="S67" s="205">
        <f t="shared" si="12"/>
        <v>0</v>
      </c>
      <c r="T67" s="117">
        <f t="shared" si="13"/>
        <v>0.34</v>
      </c>
      <c r="U67" s="118">
        <f t="shared" si="14"/>
        <v>0</v>
      </c>
      <c r="V67" s="118">
        <f t="shared" si="15"/>
        <v>0.17</v>
      </c>
      <c r="W67" s="118">
        <f t="shared" si="16"/>
        <v>0.24</v>
      </c>
      <c r="X67" s="118">
        <f t="shared" si="17"/>
        <v>0.05</v>
      </c>
      <c r="Y67" s="205">
        <f t="shared" si="18"/>
        <v>0.2</v>
      </c>
      <c r="Z67" s="235">
        <f t="shared" si="19"/>
        <v>1326080.861887509</v>
      </c>
      <c r="AA67" s="236">
        <f t="shared" si="20"/>
        <v>0</v>
      </c>
      <c r="AB67" s="236">
        <f t="shared" si="21"/>
        <v>1326080.861887509</v>
      </c>
      <c r="AC67" s="236">
        <f t="shared" si="22"/>
        <v>742605.28265700513</v>
      </c>
      <c r="AD67" s="236">
        <f t="shared" si="23"/>
        <v>106086.46895100072</v>
      </c>
      <c r="AE67" s="236">
        <f t="shared" si="24"/>
        <v>0</v>
      </c>
      <c r="AF67" s="242">
        <f t="shared" si="25"/>
        <v>3500853.4753830237</v>
      </c>
      <c r="AG67" s="235">
        <f t="shared" si="26"/>
        <v>0</v>
      </c>
      <c r="AH67" s="236">
        <f t="shared" si="27"/>
        <v>0</v>
      </c>
      <c r="AI67" s="236">
        <f t="shared" si="28"/>
        <v>612037.32087115792</v>
      </c>
      <c r="AJ67" s="236">
        <f t="shared" si="29"/>
        <v>122407.46417423157</v>
      </c>
      <c r="AK67" s="236">
        <f t="shared" si="30"/>
        <v>0</v>
      </c>
      <c r="AL67" s="236">
        <f t="shared" si="31"/>
        <v>0</v>
      </c>
      <c r="AM67" s="242">
        <f t="shared" si="32"/>
        <v>734444.78504538955</v>
      </c>
      <c r="AN67" s="235">
        <f t="shared" si="33"/>
        <v>5664745.4253963847</v>
      </c>
      <c r="AO67" s="236">
        <f t="shared" si="34"/>
        <v>0</v>
      </c>
      <c r="AP67" s="236">
        <f t="shared" si="35"/>
        <v>2832372.7126981923</v>
      </c>
      <c r="AQ67" s="236">
        <f t="shared" si="36"/>
        <v>3998643.8296915651</v>
      </c>
      <c r="AR67" s="236">
        <f t="shared" si="37"/>
        <v>166610.15957048186</v>
      </c>
      <c r="AS67" s="236">
        <f t="shared" si="38"/>
        <v>0</v>
      </c>
      <c r="AT67" s="242">
        <f t="shared" si="39"/>
        <v>12662372.127356624</v>
      </c>
      <c r="AU67" s="252"/>
      <c r="AV67" s="246">
        <f t="shared" si="40"/>
        <v>16.897670387785041</v>
      </c>
      <c r="AW67" s="130"/>
    </row>
    <row r="68" spans="1:49" ht="14.45" hidden="1" customHeight="1">
      <c r="A68" s="193">
        <f>'Input data'!A61</f>
        <v>1961</v>
      </c>
      <c r="B68" s="208">
        <f>'Input data'!B61</f>
        <v>7.6498422000000001</v>
      </c>
      <c r="C68" s="114">
        <f>'Input data'!F61</f>
        <v>0.71479999999999999</v>
      </c>
      <c r="D68" s="114">
        <f>'Input data'!G61</f>
        <v>0.28959999999999997</v>
      </c>
      <c r="E68" s="127"/>
      <c r="F68" s="236"/>
      <c r="G68" s="237">
        <f t="shared" si="2"/>
        <v>119066064.54492751</v>
      </c>
      <c r="H68" s="118">
        <f t="shared" si="41"/>
        <v>0.1</v>
      </c>
      <c r="I68" s="118">
        <f t="shared" si="3"/>
        <v>0</v>
      </c>
      <c r="J68" s="118">
        <f t="shared" si="4"/>
        <v>0.1</v>
      </c>
      <c r="K68" s="118">
        <f t="shared" si="5"/>
        <v>0.28000000000000003</v>
      </c>
      <c r="L68" s="118">
        <f t="shared" si="6"/>
        <v>0.04</v>
      </c>
      <c r="M68" s="205">
        <f t="shared" si="7"/>
        <v>0.48</v>
      </c>
      <c r="N68" s="117">
        <f t="shared" si="42"/>
        <v>0</v>
      </c>
      <c r="O68" s="118">
        <f t="shared" si="8"/>
        <v>0.7</v>
      </c>
      <c r="P68" s="118">
        <f t="shared" si="9"/>
        <v>0.15</v>
      </c>
      <c r="Q68" s="118">
        <f t="shared" si="10"/>
        <v>0.15</v>
      </c>
      <c r="R68" s="118">
        <f t="shared" si="11"/>
        <v>0</v>
      </c>
      <c r="S68" s="205">
        <f t="shared" si="12"/>
        <v>0</v>
      </c>
      <c r="T68" s="117">
        <f t="shared" si="13"/>
        <v>0.34</v>
      </c>
      <c r="U68" s="118">
        <f t="shared" si="14"/>
        <v>0</v>
      </c>
      <c r="V68" s="118">
        <f t="shared" si="15"/>
        <v>0.17</v>
      </c>
      <c r="W68" s="118">
        <f t="shared" si="16"/>
        <v>0.24</v>
      </c>
      <c r="X68" s="118">
        <f t="shared" si="17"/>
        <v>0.05</v>
      </c>
      <c r="Y68" s="205">
        <f t="shared" si="18"/>
        <v>0.2</v>
      </c>
      <c r="Z68" s="235">
        <f t="shared" si="19"/>
        <v>1393072.9551756517</v>
      </c>
      <c r="AA68" s="236">
        <f t="shared" si="20"/>
        <v>0</v>
      </c>
      <c r="AB68" s="236">
        <f t="shared" si="21"/>
        <v>1393072.9551756517</v>
      </c>
      <c r="AC68" s="236">
        <f t="shared" si="22"/>
        <v>780120.85489836521</v>
      </c>
      <c r="AD68" s="236">
        <f t="shared" si="23"/>
        <v>111445.83641405214</v>
      </c>
      <c r="AE68" s="236">
        <f t="shared" si="24"/>
        <v>0</v>
      </c>
      <c r="AF68" s="242">
        <f t="shared" si="25"/>
        <v>3677712.6016637208</v>
      </c>
      <c r="AG68" s="235">
        <f t="shared" si="26"/>
        <v>0</v>
      </c>
      <c r="AH68" s="236">
        <f t="shared" si="27"/>
        <v>0</v>
      </c>
      <c r="AI68" s="236">
        <f t="shared" si="28"/>
        <v>642956.74854260846</v>
      </c>
      <c r="AJ68" s="236">
        <f t="shared" si="29"/>
        <v>128591.34970852171</v>
      </c>
      <c r="AK68" s="236">
        <f t="shared" si="30"/>
        <v>0</v>
      </c>
      <c r="AL68" s="236">
        <f t="shared" si="31"/>
        <v>0</v>
      </c>
      <c r="AM68" s="242">
        <f t="shared" si="32"/>
        <v>771548.0982511302</v>
      </c>
      <c r="AN68" s="235">
        <f t="shared" si="33"/>
        <v>5950921.9059554767</v>
      </c>
      <c r="AO68" s="236">
        <f t="shared" si="34"/>
        <v>0</v>
      </c>
      <c r="AP68" s="236">
        <f t="shared" si="35"/>
        <v>2975460.9529777383</v>
      </c>
      <c r="AQ68" s="236">
        <f t="shared" si="36"/>
        <v>4200650.7571450425</v>
      </c>
      <c r="AR68" s="236">
        <f t="shared" si="37"/>
        <v>175027.11488104344</v>
      </c>
      <c r="AS68" s="236">
        <f t="shared" si="38"/>
        <v>0</v>
      </c>
      <c r="AT68" s="242">
        <f t="shared" si="39"/>
        <v>13302060.730959302</v>
      </c>
      <c r="AU68" s="252"/>
      <c r="AV68" s="246">
        <f t="shared" si="40"/>
        <v>17.751321430874153</v>
      </c>
      <c r="AW68" s="130"/>
    </row>
    <row r="69" spans="1:49" ht="14.45" hidden="1" customHeight="1">
      <c r="A69" s="193">
        <f>'Input data'!A62</f>
        <v>1962</v>
      </c>
      <c r="B69" s="208">
        <f>'Input data'!B62</f>
        <v>7.8559936000000006</v>
      </c>
      <c r="C69" s="114">
        <f>'Input data'!F62</f>
        <v>0.71479999999999999</v>
      </c>
      <c r="D69" s="114">
        <f>'Input data'!G62</f>
        <v>0.28959999999999997</v>
      </c>
      <c r="E69" s="127"/>
      <c r="F69" s="236"/>
      <c r="G69" s="237">
        <f t="shared" si="2"/>
        <v>122274710.58712003</v>
      </c>
      <c r="H69" s="118">
        <f t="shared" si="41"/>
        <v>0.1</v>
      </c>
      <c r="I69" s="118">
        <f t="shared" si="3"/>
        <v>0</v>
      </c>
      <c r="J69" s="118">
        <f t="shared" si="4"/>
        <v>0.1</v>
      </c>
      <c r="K69" s="118">
        <f t="shared" si="5"/>
        <v>0.28000000000000003</v>
      </c>
      <c r="L69" s="118">
        <f t="shared" si="6"/>
        <v>0.04</v>
      </c>
      <c r="M69" s="205">
        <f t="shared" si="7"/>
        <v>0.48</v>
      </c>
      <c r="N69" s="117">
        <f t="shared" si="42"/>
        <v>0</v>
      </c>
      <c r="O69" s="118">
        <f t="shared" si="8"/>
        <v>0.7</v>
      </c>
      <c r="P69" s="118">
        <f t="shared" si="9"/>
        <v>0.15</v>
      </c>
      <c r="Q69" s="118">
        <f t="shared" si="10"/>
        <v>0.15</v>
      </c>
      <c r="R69" s="118">
        <f t="shared" si="11"/>
        <v>0</v>
      </c>
      <c r="S69" s="205">
        <f t="shared" si="12"/>
        <v>0</v>
      </c>
      <c r="T69" s="117">
        <f t="shared" si="13"/>
        <v>0.34</v>
      </c>
      <c r="U69" s="118">
        <f t="shared" si="14"/>
        <v>0</v>
      </c>
      <c r="V69" s="118">
        <f t="shared" si="15"/>
        <v>0.17</v>
      </c>
      <c r="W69" s="118">
        <f t="shared" si="16"/>
        <v>0.24</v>
      </c>
      <c r="X69" s="118">
        <f t="shared" si="17"/>
        <v>0.05</v>
      </c>
      <c r="Y69" s="205">
        <f t="shared" si="18"/>
        <v>0.2</v>
      </c>
      <c r="Z69" s="235">
        <f t="shared" si="19"/>
        <v>1430614.1138693043</v>
      </c>
      <c r="AA69" s="236">
        <f t="shared" si="20"/>
        <v>0</v>
      </c>
      <c r="AB69" s="236">
        <f t="shared" si="21"/>
        <v>1430614.1138693043</v>
      </c>
      <c r="AC69" s="236">
        <f t="shared" si="22"/>
        <v>801143.90376681054</v>
      </c>
      <c r="AD69" s="236">
        <f t="shared" si="23"/>
        <v>114449.12910954433</v>
      </c>
      <c r="AE69" s="236">
        <f t="shared" si="24"/>
        <v>0</v>
      </c>
      <c r="AF69" s="242">
        <f t="shared" si="25"/>
        <v>3776821.2606149632</v>
      </c>
      <c r="AG69" s="235">
        <f t="shared" si="26"/>
        <v>0</v>
      </c>
      <c r="AH69" s="236">
        <f t="shared" si="27"/>
        <v>0</v>
      </c>
      <c r="AI69" s="236">
        <f t="shared" si="28"/>
        <v>660283.43717044801</v>
      </c>
      <c r="AJ69" s="236">
        <f t="shared" si="29"/>
        <v>132056.6874340896</v>
      </c>
      <c r="AK69" s="236">
        <f t="shared" si="30"/>
        <v>0</v>
      </c>
      <c r="AL69" s="236">
        <f t="shared" si="31"/>
        <v>0</v>
      </c>
      <c r="AM69" s="242">
        <f t="shared" si="32"/>
        <v>792340.12460453762</v>
      </c>
      <c r="AN69" s="235">
        <f t="shared" si="33"/>
        <v>6111290.0351442592</v>
      </c>
      <c r="AO69" s="236">
        <f t="shared" si="34"/>
        <v>0</v>
      </c>
      <c r="AP69" s="236">
        <f t="shared" si="35"/>
        <v>3055645.0175721296</v>
      </c>
      <c r="AQ69" s="236">
        <f t="shared" si="36"/>
        <v>4313851.7895135945</v>
      </c>
      <c r="AR69" s="236">
        <f t="shared" si="37"/>
        <v>179743.82456306645</v>
      </c>
      <c r="AS69" s="236">
        <f t="shared" si="38"/>
        <v>0</v>
      </c>
      <c r="AT69" s="242">
        <f t="shared" si="39"/>
        <v>13660530.66679305</v>
      </c>
      <c r="AU69" s="252"/>
      <c r="AV69" s="246">
        <f t="shared" si="40"/>
        <v>18.229692052012552</v>
      </c>
      <c r="AW69" s="130"/>
    </row>
    <row r="70" spans="1:49" ht="14.45" hidden="1" customHeight="1">
      <c r="A70" s="193">
        <f>'Input data'!A63</f>
        <v>1963</v>
      </c>
      <c r="B70" s="208">
        <f>'Input data'!B63</f>
        <v>8.062145000000001</v>
      </c>
      <c r="C70" s="114">
        <f>'Input data'!F63</f>
        <v>0.71479999999999999</v>
      </c>
      <c r="D70" s="114">
        <f>'Input data'!G63</f>
        <v>0.28959999999999997</v>
      </c>
      <c r="E70" s="127"/>
      <c r="F70" s="236"/>
      <c r="G70" s="237">
        <f t="shared" si="2"/>
        <v>125483356.62931253</v>
      </c>
      <c r="H70" s="118">
        <f t="shared" si="41"/>
        <v>0.1</v>
      </c>
      <c r="I70" s="118">
        <f t="shared" si="3"/>
        <v>0</v>
      </c>
      <c r="J70" s="118">
        <f t="shared" si="4"/>
        <v>0.1</v>
      </c>
      <c r="K70" s="118">
        <f t="shared" si="5"/>
        <v>0.28000000000000003</v>
      </c>
      <c r="L70" s="118">
        <f t="shared" si="6"/>
        <v>0.04</v>
      </c>
      <c r="M70" s="205">
        <f t="shared" si="7"/>
        <v>0.48</v>
      </c>
      <c r="N70" s="117">
        <f t="shared" si="42"/>
        <v>0</v>
      </c>
      <c r="O70" s="118">
        <f t="shared" si="8"/>
        <v>0.7</v>
      </c>
      <c r="P70" s="118">
        <f t="shared" si="9"/>
        <v>0.15</v>
      </c>
      <c r="Q70" s="118">
        <f t="shared" si="10"/>
        <v>0.15</v>
      </c>
      <c r="R70" s="118">
        <f t="shared" si="11"/>
        <v>0</v>
      </c>
      <c r="S70" s="205">
        <f t="shared" si="12"/>
        <v>0</v>
      </c>
      <c r="T70" s="117">
        <f t="shared" si="13"/>
        <v>0.34</v>
      </c>
      <c r="U70" s="118">
        <f t="shared" si="14"/>
        <v>0</v>
      </c>
      <c r="V70" s="118">
        <f t="shared" si="15"/>
        <v>0.17</v>
      </c>
      <c r="W70" s="118">
        <f t="shared" si="16"/>
        <v>0.24</v>
      </c>
      <c r="X70" s="118">
        <f t="shared" si="17"/>
        <v>0.05</v>
      </c>
      <c r="Y70" s="205">
        <f t="shared" si="18"/>
        <v>0.2</v>
      </c>
      <c r="Z70" s="235">
        <f t="shared" si="19"/>
        <v>1468155.2725629564</v>
      </c>
      <c r="AA70" s="236">
        <f t="shared" si="20"/>
        <v>0</v>
      </c>
      <c r="AB70" s="236">
        <f t="shared" si="21"/>
        <v>1468155.2725629564</v>
      </c>
      <c r="AC70" s="236">
        <f t="shared" si="22"/>
        <v>822166.95263525576</v>
      </c>
      <c r="AD70" s="236">
        <f t="shared" si="23"/>
        <v>117452.42180503653</v>
      </c>
      <c r="AE70" s="236">
        <f t="shared" si="24"/>
        <v>0</v>
      </c>
      <c r="AF70" s="242">
        <f t="shared" si="25"/>
        <v>3875929.9195662052</v>
      </c>
      <c r="AG70" s="235">
        <f t="shared" si="26"/>
        <v>0</v>
      </c>
      <c r="AH70" s="236">
        <f t="shared" si="27"/>
        <v>0</v>
      </c>
      <c r="AI70" s="236">
        <f t="shared" si="28"/>
        <v>677610.12579828769</v>
      </c>
      <c r="AJ70" s="236">
        <f t="shared" si="29"/>
        <v>135522.02515965753</v>
      </c>
      <c r="AK70" s="236">
        <f t="shared" si="30"/>
        <v>0</v>
      </c>
      <c r="AL70" s="236">
        <f t="shared" si="31"/>
        <v>0</v>
      </c>
      <c r="AM70" s="242">
        <f t="shared" si="32"/>
        <v>813132.15095794527</v>
      </c>
      <c r="AN70" s="235">
        <f t="shared" si="33"/>
        <v>6271658.1643330399</v>
      </c>
      <c r="AO70" s="236">
        <f t="shared" si="34"/>
        <v>0</v>
      </c>
      <c r="AP70" s="236">
        <f t="shared" si="35"/>
        <v>3135829.0821665199</v>
      </c>
      <c r="AQ70" s="236">
        <f t="shared" si="36"/>
        <v>4427052.8218821464</v>
      </c>
      <c r="AR70" s="236">
        <f t="shared" si="37"/>
        <v>184460.53424508939</v>
      </c>
      <c r="AS70" s="236">
        <f t="shared" si="38"/>
        <v>0</v>
      </c>
      <c r="AT70" s="242">
        <f t="shared" si="39"/>
        <v>14019000.602626797</v>
      </c>
      <c r="AU70" s="252"/>
      <c r="AV70" s="246">
        <f t="shared" si="40"/>
        <v>18.708062673150948</v>
      </c>
      <c r="AW70" s="130"/>
    </row>
    <row r="71" spans="1:49" ht="14.45" hidden="1" customHeight="1">
      <c r="A71" s="193">
        <f>'Input data'!A64</f>
        <v>1964</v>
      </c>
      <c r="B71" s="208">
        <f>'Input data'!B64</f>
        <v>8.2682964000000005</v>
      </c>
      <c r="C71" s="114">
        <f>'Input data'!F64</f>
        <v>0.71479999999999999</v>
      </c>
      <c r="D71" s="114">
        <f>'Input data'!G64</f>
        <v>0.28959999999999997</v>
      </c>
      <c r="E71" s="127"/>
      <c r="F71" s="236"/>
      <c r="G71" s="237">
        <f t="shared" si="2"/>
        <v>128692002.671505</v>
      </c>
      <c r="H71" s="118">
        <f t="shared" si="41"/>
        <v>0.1</v>
      </c>
      <c r="I71" s="118">
        <f t="shared" si="3"/>
        <v>0</v>
      </c>
      <c r="J71" s="118">
        <f t="shared" si="4"/>
        <v>0.1</v>
      </c>
      <c r="K71" s="118">
        <f t="shared" si="5"/>
        <v>0.28000000000000003</v>
      </c>
      <c r="L71" s="118">
        <f t="shared" si="6"/>
        <v>0.04</v>
      </c>
      <c r="M71" s="205">
        <f t="shared" si="7"/>
        <v>0.48</v>
      </c>
      <c r="N71" s="117">
        <f t="shared" si="42"/>
        <v>0</v>
      </c>
      <c r="O71" s="118">
        <f t="shared" si="8"/>
        <v>0.7</v>
      </c>
      <c r="P71" s="118">
        <f t="shared" si="9"/>
        <v>0.15</v>
      </c>
      <c r="Q71" s="118">
        <f t="shared" si="10"/>
        <v>0.15</v>
      </c>
      <c r="R71" s="118">
        <f t="shared" si="11"/>
        <v>0</v>
      </c>
      <c r="S71" s="205">
        <f t="shared" si="12"/>
        <v>0</v>
      </c>
      <c r="T71" s="117">
        <f t="shared" si="13"/>
        <v>0.34</v>
      </c>
      <c r="U71" s="118">
        <f t="shared" si="14"/>
        <v>0</v>
      </c>
      <c r="V71" s="118">
        <f t="shared" si="15"/>
        <v>0.17</v>
      </c>
      <c r="W71" s="118">
        <f t="shared" si="16"/>
        <v>0.24</v>
      </c>
      <c r="X71" s="118">
        <f t="shared" si="17"/>
        <v>0.05</v>
      </c>
      <c r="Y71" s="205">
        <f t="shared" si="18"/>
        <v>0.2</v>
      </c>
      <c r="Z71" s="235">
        <f t="shared" si="19"/>
        <v>1505696.4312566086</v>
      </c>
      <c r="AA71" s="236">
        <f t="shared" si="20"/>
        <v>0</v>
      </c>
      <c r="AB71" s="236">
        <f t="shared" si="21"/>
        <v>1505696.4312566086</v>
      </c>
      <c r="AC71" s="236">
        <f t="shared" si="22"/>
        <v>843190.00150370097</v>
      </c>
      <c r="AD71" s="236">
        <f t="shared" si="23"/>
        <v>120455.71450052867</v>
      </c>
      <c r="AE71" s="236">
        <f t="shared" si="24"/>
        <v>0</v>
      </c>
      <c r="AF71" s="242">
        <f t="shared" si="25"/>
        <v>3975038.5785174468</v>
      </c>
      <c r="AG71" s="235">
        <f t="shared" si="26"/>
        <v>0</v>
      </c>
      <c r="AH71" s="236">
        <f t="shared" si="27"/>
        <v>0</v>
      </c>
      <c r="AI71" s="236">
        <f t="shared" si="28"/>
        <v>694936.81442612689</v>
      </c>
      <c r="AJ71" s="236">
        <f t="shared" si="29"/>
        <v>138987.36288522539</v>
      </c>
      <c r="AK71" s="236">
        <f t="shared" si="30"/>
        <v>0</v>
      </c>
      <c r="AL71" s="236">
        <f t="shared" si="31"/>
        <v>0</v>
      </c>
      <c r="AM71" s="242">
        <f t="shared" si="32"/>
        <v>833924.17731135222</v>
      </c>
      <c r="AN71" s="235">
        <f t="shared" si="33"/>
        <v>6432026.2935218206</v>
      </c>
      <c r="AO71" s="236">
        <f t="shared" si="34"/>
        <v>0</v>
      </c>
      <c r="AP71" s="236">
        <f t="shared" si="35"/>
        <v>3216013.1467609103</v>
      </c>
      <c r="AQ71" s="236">
        <f t="shared" si="36"/>
        <v>4540253.8542506956</v>
      </c>
      <c r="AR71" s="236">
        <f t="shared" si="37"/>
        <v>189177.24392711237</v>
      </c>
      <c r="AS71" s="236">
        <f t="shared" si="38"/>
        <v>0</v>
      </c>
      <c r="AT71" s="242">
        <f t="shared" si="39"/>
        <v>14377470.538460538</v>
      </c>
      <c r="AU71" s="252"/>
      <c r="AV71" s="246">
        <f t="shared" si="40"/>
        <v>19.186433294289337</v>
      </c>
      <c r="AW71" s="130"/>
    </row>
    <row r="72" spans="1:49" ht="14.45" hidden="1" customHeight="1">
      <c r="A72" s="193">
        <f>'Input data'!A65</f>
        <v>1965</v>
      </c>
      <c r="B72" s="208">
        <f>'Input data'!B65</f>
        <v>8.4744478000000001</v>
      </c>
      <c r="C72" s="114">
        <f>'Input data'!F65</f>
        <v>0.71479999999999999</v>
      </c>
      <c r="D72" s="114">
        <f>'Input data'!G65</f>
        <v>0.28959999999999997</v>
      </c>
      <c r="E72" s="127"/>
      <c r="F72" s="236"/>
      <c r="G72" s="237">
        <f t="shared" si="2"/>
        <v>131900648.71369754</v>
      </c>
      <c r="H72" s="118">
        <f t="shared" si="41"/>
        <v>0.1</v>
      </c>
      <c r="I72" s="118">
        <f t="shared" si="3"/>
        <v>0</v>
      </c>
      <c r="J72" s="118">
        <f t="shared" si="4"/>
        <v>0.1</v>
      </c>
      <c r="K72" s="118">
        <f t="shared" si="5"/>
        <v>0.28000000000000003</v>
      </c>
      <c r="L72" s="118">
        <f t="shared" si="6"/>
        <v>0.04</v>
      </c>
      <c r="M72" s="205">
        <f t="shared" si="7"/>
        <v>0.48</v>
      </c>
      <c r="N72" s="117">
        <f t="shared" si="42"/>
        <v>0</v>
      </c>
      <c r="O72" s="118">
        <f t="shared" si="8"/>
        <v>0.7</v>
      </c>
      <c r="P72" s="118">
        <f t="shared" si="9"/>
        <v>0.15</v>
      </c>
      <c r="Q72" s="118">
        <f t="shared" si="10"/>
        <v>0.15</v>
      </c>
      <c r="R72" s="118">
        <f t="shared" si="11"/>
        <v>0</v>
      </c>
      <c r="S72" s="205">
        <f t="shared" si="12"/>
        <v>0</v>
      </c>
      <c r="T72" s="117">
        <f t="shared" si="13"/>
        <v>0.34</v>
      </c>
      <c r="U72" s="118">
        <f t="shared" si="14"/>
        <v>0</v>
      </c>
      <c r="V72" s="118">
        <f t="shared" si="15"/>
        <v>0.17</v>
      </c>
      <c r="W72" s="118">
        <f t="shared" si="16"/>
        <v>0.24</v>
      </c>
      <c r="X72" s="118">
        <f t="shared" si="17"/>
        <v>0.05</v>
      </c>
      <c r="Y72" s="205">
        <f t="shared" si="18"/>
        <v>0.2</v>
      </c>
      <c r="Z72" s="235">
        <f t="shared" si="19"/>
        <v>1543237.5899502612</v>
      </c>
      <c r="AA72" s="236">
        <f t="shared" si="20"/>
        <v>0</v>
      </c>
      <c r="AB72" s="236">
        <f t="shared" si="21"/>
        <v>1543237.5899502612</v>
      </c>
      <c r="AC72" s="236">
        <f t="shared" si="22"/>
        <v>864213.05037214642</v>
      </c>
      <c r="AD72" s="236">
        <f t="shared" si="23"/>
        <v>123459.00719602089</v>
      </c>
      <c r="AE72" s="236">
        <f t="shared" si="24"/>
        <v>0</v>
      </c>
      <c r="AF72" s="242">
        <f t="shared" si="25"/>
        <v>4074147.2374686897</v>
      </c>
      <c r="AG72" s="235">
        <f t="shared" si="26"/>
        <v>0</v>
      </c>
      <c r="AH72" s="236">
        <f t="shared" si="27"/>
        <v>0</v>
      </c>
      <c r="AI72" s="236">
        <f t="shared" si="28"/>
        <v>712263.50305396668</v>
      </c>
      <c r="AJ72" s="236">
        <f t="shared" si="29"/>
        <v>142452.70061079331</v>
      </c>
      <c r="AK72" s="236">
        <f t="shared" si="30"/>
        <v>0</v>
      </c>
      <c r="AL72" s="236">
        <f t="shared" si="31"/>
        <v>0</v>
      </c>
      <c r="AM72" s="242">
        <f t="shared" si="32"/>
        <v>854716.20366475999</v>
      </c>
      <c r="AN72" s="235">
        <f t="shared" si="33"/>
        <v>6592394.4227106031</v>
      </c>
      <c r="AO72" s="236">
        <f t="shared" si="34"/>
        <v>0</v>
      </c>
      <c r="AP72" s="236">
        <f t="shared" si="35"/>
        <v>3296197.2113553016</v>
      </c>
      <c r="AQ72" s="236">
        <f t="shared" si="36"/>
        <v>4653454.8866192484</v>
      </c>
      <c r="AR72" s="236">
        <f t="shared" si="37"/>
        <v>193893.95360913538</v>
      </c>
      <c r="AS72" s="236">
        <f t="shared" si="38"/>
        <v>0</v>
      </c>
      <c r="AT72" s="242">
        <f t="shared" si="39"/>
        <v>14735940.474294286</v>
      </c>
      <c r="AU72" s="252"/>
      <c r="AV72" s="246">
        <f t="shared" si="40"/>
        <v>19.664803915427736</v>
      </c>
      <c r="AW72" s="130"/>
    </row>
    <row r="73" spans="1:49" ht="14.45" hidden="1" customHeight="1">
      <c r="A73" s="193">
        <f>'Input data'!A66</f>
        <v>1966</v>
      </c>
      <c r="B73" s="208">
        <f>'Input data'!B66</f>
        <v>8.7407319999999995</v>
      </c>
      <c r="C73" s="114">
        <f>'Input data'!F66</f>
        <v>0.71479999999999999</v>
      </c>
      <c r="D73" s="114">
        <f>'Input data'!G66</f>
        <v>0.28959999999999997</v>
      </c>
      <c r="E73" s="127"/>
      <c r="F73" s="236"/>
      <c r="G73" s="237">
        <f t="shared" si="2"/>
        <v>136045232.47315001</v>
      </c>
      <c r="H73" s="118">
        <f t="shared" si="41"/>
        <v>0.1</v>
      </c>
      <c r="I73" s="118">
        <f t="shared" si="3"/>
        <v>0</v>
      </c>
      <c r="J73" s="118">
        <f t="shared" si="4"/>
        <v>0.1</v>
      </c>
      <c r="K73" s="118">
        <f t="shared" si="5"/>
        <v>0.28000000000000003</v>
      </c>
      <c r="L73" s="118">
        <f t="shared" si="6"/>
        <v>0.04</v>
      </c>
      <c r="M73" s="205">
        <f t="shared" si="7"/>
        <v>0.48</v>
      </c>
      <c r="N73" s="117">
        <f t="shared" si="42"/>
        <v>0</v>
      </c>
      <c r="O73" s="118">
        <f t="shared" si="8"/>
        <v>0.7</v>
      </c>
      <c r="P73" s="118">
        <f t="shared" si="9"/>
        <v>0.15</v>
      </c>
      <c r="Q73" s="118">
        <f t="shared" si="10"/>
        <v>0.15</v>
      </c>
      <c r="R73" s="118">
        <f t="shared" si="11"/>
        <v>0</v>
      </c>
      <c r="S73" s="205">
        <f t="shared" si="12"/>
        <v>0</v>
      </c>
      <c r="T73" s="117">
        <f t="shared" si="13"/>
        <v>0.34</v>
      </c>
      <c r="U73" s="118">
        <f t="shared" si="14"/>
        <v>0</v>
      </c>
      <c r="V73" s="118">
        <f t="shared" si="15"/>
        <v>0.17</v>
      </c>
      <c r="W73" s="118">
        <f t="shared" si="16"/>
        <v>0.24</v>
      </c>
      <c r="X73" s="118">
        <f t="shared" si="17"/>
        <v>0.05</v>
      </c>
      <c r="Y73" s="205">
        <f t="shared" si="18"/>
        <v>0.2</v>
      </c>
      <c r="Z73" s="235">
        <f t="shared" si="19"/>
        <v>1591729.2199358551</v>
      </c>
      <c r="AA73" s="236">
        <f t="shared" si="20"/>
        <v>0</v>
      </c>
      <c r="AB73" s="236">
        <f t="shared" si="21"/>
        <v>1591729.2199358551</v>
      </c>
      <c r="AC73" s="236">
        <f t="shared" si="22"/>
        <v>891368.36316407903</v>
      </c>
      <c r="AD73" s="236">
        <f t="shared" si="23"/>
        <v>127338.33759486841</v>
      </c>
      <c r="AE73" s="236">
        <f t="shared" si="24"/>
        <v>0</v>
      </c>
      <c r="AF73" s="242">
        <f t="shared" si="25"/>
        <v>4202165.1406306578</v>
      </c>
      <c r="AG73" s="235">
        <f t="shared" si="26"/>
        <v>0</v>
      </c>
      <c r="AH73" s="236">
        <f t="shared" si="27"/>
        <v>0</v>
      </c>
      <c r="AI73" s="236">
        <f t="shared" si="28"/>
        <v>734644.25535501004</v>
      </c>
      <c r="AJ73" s="236">
        <f t="shared" si="29"/>
        <v>146928.85107100199</v>
      </c>
      <c r="AK73" s="236">
        <f t="shared" si="30"/>
        <v>0</v>
      </c>
      <c r="AL73" s="236">
        <f t="shared" si="31"/>
        <v>0</v>
      </c>
      <c r="AM73" s="242">
        <f t="shared" si="32"/>
        <v>881573.106426012</v>
      </c>
      <c r="AN73" s="235">
        <f t="shared" si="33"/>
        <v>6799540.7190080378</v>
      </c>
      <c r="AO73" s="236">
        <f t="shared" si="34"/>
        <v>0</v>
      </c>
      <c r="AP73" s="236">
        <f t="shared" si="35"/>
        <v>3399770.3595040189</v>
      </c>
      <c r="AQ73" s="236">
        <f t="shared" si="36"/>
        <v>4799675.8016527323</v>
      </c>
      <c r="AR73" s="236">
        <f t="shared" si="37"/>
        <v>199986.49173553052</v>
      </c>
      <c r="AS73" s="236">
        <f t="shared" si="38"/>
        <v>0</v>
      </c>
      <c r="AT73" s="242">
        <f t="shared" si="39"/>
        <v>15198973.371900322</v>
      </c>
      <c r="AU73" s="252"/>
      <c r="AV73" s="246">
        <f t="shared" si="40"/>
        <v>20.282711618956991</v>
      </c>
      <c r="AW73" s="130"/>
    </row>
    <row r="74" spans="1:49" ht="14.45" hidden="1" customHeight="1">
      <c r="A74" s="193">
        <f>'Input data'!A67</f>
        <v>1967</v>
      </c>
      <c r="B74" s="208">
        <f>'Input data'!B67</f>
        <v>9.0098299199999996</v>
      </c>
      <c r="C74" s="114">
        <f>'Input data'!F67</f>
        <v>0.71479999999999999</v>
      </c>
      <c r="D74" s="114">
        <f>'Input data'!G67</f>
        <v>0.28959999999999997</v>
      </c>
      <c r="E74" s="127"/>
      <c r="F74" s="236"/>
      <c r="G74" s="237">
        <f t="shared" si="2"/>
        <v>140233610.412714</v>
      </c>
      <c r="H74" s="118">
        <f t="shared" si="41"/>
        <v>0.1</v>
      </c>
      <c r="I74" s="118">
        <f t="shared" si="3"/>
        <v>0</v>
      </c>
      <c r="J74" s="118">
        <f t="shared" si="4"/>
        <v>0.1</v>
      </c>
      <c r="K74" s="118">
        <f t="shared" si="5"/>
        <v>0.28000000000000003</v>
      </c>
      <c r="L74" s="118">
        <f t="shared" si="6"/>
        <v>0.04</v>
      </c>
      <c r="M74" s="205">
        <f t="shared" si="7"/>
        <v>0.48</v>
      </c>
      <c r="N74" s="117">
        <f t="shared" si="42"/>
        <v>0</v>
      </c>
      <c r="O74" s="118">
        <f t="shared" si="8"/>
        <v>0.7</v>
      </c>
      <c r="P74" s="118">
        <f t="shared" si="9"/>
        <v>0.15</v>
      </c>
      <c r="Q74" s="118">
        <f t="shared" si="10"/>
        <v>0.15</v>
      </c>
      <c r="R74" s="118">
        <f t="shared" si="11"/>
        <v>0</v>
      </c>
      <c r="S74" s="205">
        <f t="shared" si="12"/>
        <v>0</v>
      </c>
      <c r="T74" s="117">
        <f t="shared" si="13"/>
        <v>0.34</v>
      </c>
      <c r="U74" s="118">
        <f t="shared" si="14"/>
        <v>0</v>
      </c>
      <c r="V74" s="118">
        <f t="shared" si="15"/>
        <v>0.17</v>
      </c>
      <c r="W74" s="118">
        <f t="shared" si="16"/>
        <v>0.24</v>
      </c>
      <c r="X74" s="118">
        <f t="shared" si="17"/>
        <v>0.05</v>
      </c>
      <c r="Y74" s="205">
        <f t="shared" si="18"/>
        <v>0.2</v>
      </c>
      <c r="Z74" s="235">
        <f t="shared" si="19"/>
        <v>1640733.2418287541</v>
      </c>
      <c r="AA74" s="236">
        <f t="shared" si="20"/>
        <v>0</v>
      </c>
      <c r="AB74" s="236">
        <f t="shared" si="21"/>
        <v>1640733.2418287541</v>
      </c>
      <c r="AC74" s="236">
        <f t="shared" si="22"/>
        <v>918810.61542410229</v>
      </c>
      <c r="AD74" s="236">
        <f t="shared" si="23"/>
        <v>131258.65934630029</v>
      </c>
      <c r="AE74" s="236">
        <f t="shared" si="24"/>
        <v>0</v>
      </c>
      <c r="AF74" s="242">
        <f t="shared" si="25"/>
        <v>4331535.7584279105</v>
      </c>
      <c r="AG74" s="235">
        <f t="shared" si="26"/>
        <v>0</v>
      </c>
      <c r="AH74" s="236">
        <f t="shared" si="27"/>
        <v>0</v>
      </c>
      <c r="AI74" s="236">
        <f t="shared" si="28"/>
        <v>757261.49622865557</v>
      </c>
      <c r="AJ74" s="236">
        <f t="shared" si="29"/>
        <v>151452.29924573112</v>
      </c>
      <c r="AK74" s="236">
        <f t="shared" si="30"/>
        <v>0</v>
      </c>
      <c r="AL74" s="236">
        <f t="shared" si="31"/>
        <v>0</v>
      </c>
      <c r="AM74" s="242">
        <f t="shared" si="32"/>
        <v>908713.79547438666</v>
      </c>
      <c r="AN74" s="235">
        <f t="shared" si="33"/>
        <v>7008875.8484274466</v>
      </c>
      <c r="AO74" s="236">
        <f t="shared" si="34"/>
        <v>0</v>
      </c>
      <c r="AP74" s="236">
        <f t="shared" si="35"/>
        <v>3504437.9242137233</v>
      </c>
      <c r="AQ74" s="236">
        <f t="shared" si="36"/>
        <v>4947441.7753605498</v>
      </c>
      <c r="AR74" s="236">
        <f t="shared" si="37"/>
        <v>206143.40730668959</v>
      </c>
      <c r="AS74" s="236">
        <f t="shared" si="38"/>
        <v>0</v>
      </c>
      <c r="AT74" s="242">
        <f t="shared" si="39"/>
        <v>15666898.955308411</v>
      </c>
      <c r="AU74" s="252"/>
      <c r="AV74" s="246">
        <f t="shared" si="40"/>
        <v>20.90714850921071</v>
      </c>
      <c r="AW74" s="130"/>
    </row>
    <row r="75" spans="1:49" ht="14.45" hidden="1" customHeight="1">
      <c r="A75" s="193">
        <f>'Input data'!A68</f>
        <v>1968</v>
      </c>
      <c r="B75" s="208">
        <f>'Input data'!B68</f>
        <v>9.2808861600000014</v>
      </c>
      <c r="C75" s="114">
        <f>'Input data'!F68</f>
        <v>0.71479999999999999</v>
      </c>
      <c r="D75" s="114">
        <f>'Input data'!G68</f>
        <v>0.28959999999999997</v>
      </c>
      <c r="E75" s="127"/>
      <c r="F75" s="236"/>
      <c r="G75" s="237">
        <f t="shared" si="2"/>
        <v>144452468.64839706</v>
      </c>
      <c r="H75" s="118">
        <f t="shared" si="41"/>
        <v>0.1</v>
      </c>
      <c r="I75" s="118">
        <f t="shared" si="3"/>
        <v>0</v>
      </c>
      <c r="J75" s="118">
        <f t="shared" si="4"/>
        <v>0.1</v>
      </c>
      <c r="K75" s="118">
        <f t="shared" si="5"/>
        <v>0.28000000000000003</v>
      </c>
      <c r="L75" s="118">
        <f t="shared" si="6"/>
        <v>0.04</v>
      </c>
      <c r="M75" s="205">
        <f t="shared" si="7"/>
        <v>0.48</v>
      </c>
      <c r="N75" s="117">
        <f t="shared" si="42"/>
        <v>0</v>
      </c>
      <c r="O75" s="118">
        <f t="shared" si="8"/>
        <v>0.7</v>
      </c>
      <c r="P75" s="118">
        <f t="shared" si="9"/>
        <v>0.15</v>
      </c>
      <c r="Q75" s="118">
        <f t="shared" si="10"/>
        <v>0.15</v>
      </c>
      <c r="R75" s="118">
        <f t="shared" si="11"/>
        <v>0</v>
      </c>
      <c r="S75" s="205">
        <f t="shared" si="12"/>
        <v>0</v>
      </c>
      <c r="T75" s="117">
        <f t="shared" si="13"/>
        <v>0.34</v>
      </c>
      <c r="U75" s="118">
        <f t="shared" si="14"/>
        <v>0</v>
      </c>
      <c r="V75" s="118">
        <f t="shared" si="15"/>
        <v>0.17</v>
      </c>
      <c r="W75" s="118">
        <f t="shared" si="16"/>
        <v>0.24</v>
      </c>
      <c r="X75" s="118">
        <f t="shared" si="17"/>
        <v>0.05</v>
      </c>
      <c r="Y75" s="205">
        <f t="shared" si="18"/>
        <v>0.2</v>
      </c>
      <c r="Z75" s="235">
        <f t="shared" si="19"/>
        <v>1690093.8831862456</v>
      </c>
      <c r="AA75" s="236">
        <f t="shared" si="20"/>
        <v>0</v>
      </c>
      <c r="AB75" s="236">
        <f t="shared" si="21"/>
        <v>1690093.8831862456</v>
      </c>
      <c r="AC75" s="236">
        <f t="shared" si="22"/>
        <v>946452.57458429784</v>
      </c>
      <c r="AD75" s="236">
        <f t="shared" si="23"/>
        <v>135207.51065489964</v>
      </c>
      <c r="AE75" s="236">
        <f t="shared" si="24"/>
        <v>0</v>
      </c>
      <c r="AF75" s="242">
        <f t="shared" si="25"/>
        <v>4461847.8516116878</v>
      </c>
      <c r="AG75" s="235">
        <f t="shared" si="26"/>
        <v>0</v>
      </c>
      <c r="AH75" s="236">
        <f t="shared" si="27"/>
        <v>0</v>
      </c>
      <c r="AI75" s="236">
        <f t="shared" si="28"/>
        <v>780043.33070134406</v>
      </c>
      <c r="AJ75" s="236">
        <f t="shared" si="29"/>
        <v>156008.66614026882</v>
      </c>
      <c r="AK75" s="236">
        <f t="shared" si="30"/>
        <v>0</v>
      </c>
      <c r="AL75" s="236">
        <f t="shared" si="31"/>
        <v>0</v>
      </c>
      <c r="AM75" s="242">
        <f t="shared" si="32"/>
        <v>936051.99684161285</v>
      </c>
      <c r="AN75" s="235">
        <f t="shared" si="33"/>
        <v>7219734.383046886</v>
      </c>
      <c r="AO75" s="236">
        <f t="shared" si="34"/>
        <v>0</v>
      </c>
      <c r="AP75" s="236">
        <f t="shared" si="35"/>
        <v>3609867.191523443</v>
      </c>
      <c r="AQ75" s="236">
        <f t="shared" si="36"/>
        <v>5096283.0939154476</v>
      </c>
      <c r="AR75" s="236">
        <f t="shared" si="37"/>
        <v>212345.12891314368</v>
      </c>
      <c r="AS75" s="236">
        <f t="shared" si="38"/>
        <v>0</v>
      </c>
      <c r="AT75" s="242">
        <f t="shared" si="39"/>
        <v>16138229.797398919</v>
      </c>
      <c r="AU75" s="252"/>
      <c r="AV75" s="246">
        <f t="shared" si="40"/>
        <v>21.53612964585222</v>
      </c>
      <c r="AW75" s="130"/>
    </row>
    <row r="76" spans="1:49" ht="14.45" hidden="1" customHeight="1">
      <c r="A76" s="193">
        <f>'Input data'!A69</f>
        <v>1969</v>
      </c>
      <c r="B76" s="208">
        <f>'Input data'!B69</f>
        <v>9.5539007199999997</v>
      </c>
      <c r="C76" s="114">
        <f>'Input data'!F69</f>
        <v>0.71479999999999999</v>
      </c>
      <c r="D76" s="114">
        <f>'Input data'!G69</f>
        <v>0.28959999999999997</v>
      </c>
      <c r="E76" s="127"/>
      <c r="F76" s="236"/>
      <c r="G76" s="237">
        <f t="shared" si="2"/>
        <v>148701807.18019903</v>
      </c>
      <c r="H76" s="118">
        <f t="shared" si="41"/>
        <v>0.1</v>
      </c>
      <c r="I76" s="118">
        <f t="shared" si="3"/>
        <v>0</v>
      </c>
      <c r="J76" s="118">
        <f t="shared" si="4"/>
        <v>0.1</v>
      </c>
      <c r="K76" s="118">
        <f t="shared" si="5"/>
        <v>0.28000000000000003</v>
      </c>
      <c r="L76" s="118">
        <f t="shared" si="6"/>
        <v>0.04</v>
      </c>
      <c r="M76" s="205">
        <f t="shared" si="7"/>
        <v>0.48</v>
      </c>
      <c r="N76" s="117">
        <f t="shared" si="42"/>
        <v>0</v>
      </c>
      <c r="O76" s="118">
        <f t="shared" si="8"/>
        <v>0.7</v>
      </c>
      <c r="P76" s="118">
        <f t="shared" si="9"/>
        <v>0.15</v>
      </c>
      <c r="Q76" s="118">
        <f t="shared" si="10"/>
        <v>0.15</v>
      </c>
      <c r="R76" s="118">
        <f t="shared" si="11"/>
        <v>0</v>
      </c>
      <c r="S76" s="205">
        <f t="shared" si="12"/>
        <v>0</v>
      </c>
      <c r="T76" s="117">
        <f t="shared" si="13"/>
        <v>0.34</v>
      </c>
      <c r="U76" s="118">
        <f t="shared" si="14"/>
        <v>0</v>
      </c>
      <c r="V76" s="118">
        <f t="shared" si="15"/>
        <v>0.17</v>
      </c>
      <c r="W76" s="118">
        <f t="shared" si="16"/>
        <v>0.24</v>
      </c>
      <c r="X76" s="118">
        <f t="shared" si="17"/>
        <v>0.05</v>
      </c>
      <c r="Y76" s="205">
        <f t="shared" si="18"/>
        <v>0.2</v>
      </c>
      <c r="Z76" s="235">
        <f t="shared" si="19"/>
        <v>1739811.1440083287</v>
      </c>
      <c r="AA76" s="236">
        <f t="shared" si="20"/>
        <v>0</v>
      </c>
      <c r="AB76" s="236">
        <f t="shared" si="21"/>
        <v>1739811.1440083287</v>
      </c>
      <c r="AC76" s="236">
        <f t="shared" si="22"/>
        <v>974294.24064466415</v>
      </c>
      <c r="AD76" s="236">
        <f t="shared" si="23"/>
        <v>139184.89152066628</v>
      </c>
      <c r="AE76" s="236">
        <f t="shared" si="24"/>
        <v>0</v>
      </c>
      <c r="AF76" s="242">
        <f t="shared" si="25"/>
        <v>4593101.4201819878</v>
      </c>
      <c r="AG76" s="235">
        <f t="shared" si="26"/>
        <v>0</v>
      </c>
      <c r="AH76" s="236">
        <f t="shared" si="27"/>
        <v>0</v>
      </c>
      <c r="AI76" s="236">
        <f t="shared" si="28"/>
        <v>802989.75877307472</v>
      </c>
      <c r="AJ76" s="236">
        <f t="shared" si="29"/>
        <v>160597.95175461494</v>
      </c>
      <c r="AK76" s="236">
        <f t="shared" si="30"/>
        <v>0</v>
      </c>
      <c r="AL76" s="236">
        <f t="shared" si="31"/>
        <v>0</v>
      </c>
      <c r="AM76" s="242">
        <f t="shared" si="32"/>
        <v>963587.71052768966</v>
      </c>
      <c r="AN76" s="235">
        <f t="shared" si="33"/>
        <v>7432116.3228663476</v>
      </c>
      <c r="AO76" s="236">
        <f t="shared" si="34"/>
        <v>0</v>
      </c>
      <c r="AP76" s="236">
        <f t="shared" si="35"/>
        <v>3716058.1614331738</v>
      </c>
      <c r="AQ76" s="236">
        <f t="shared" si="36"/>
        <v>5246199.757317421</v>
      </c>
      <c r="AR76" s="236">
        <f t="shared" si="37"/>
        <v>218591.65655489257</v>
      </c>
      <c r="AS76" s="236">
        <f t="shared" si="38"/>
        <v>0</v>
      </c>
      <c r="AT76" s="242">
        <f t="shared" si="39"/>
        <v>16612965.898171835</v>
      </c>
      <c r="AU76" s="252"/>
      <c r="AV76" s="246">
        <f t="shared" si="40"/>
        <v>22.169655028881511</v>
      </c>
      <c r="AW76" s="130"/>
    </row>
    <row r="77" spans="1:49" ht="14.45" hidden="1" customHeight="1">
      <c r="A77" s="193">
        <f>'Input data'!A70</f>
        <v>1970</v>
      </c>
      <c r="B77" s="208">
        <f>'Input data'!B70</f>
        <v>9.8288735999999997</v>
      </c>
      <c r="C77" s="114">
        <f>'Input data'!F70</f>
        <v>0.71479999999999999</v>
      </c>
      <c r="D77" s="114">
        <f>'Input data'!G70</f>
        <v>0.28959999999999997</v>
      </c>
      <c r="E77" s="127"/>
      <c r="F77" s="236"/>
      <c r="G77" s="237">
        <f t="shared" si="2"/>
        <v>152981626.00812003</v>
      </c>
      <c r="H77" s="118">
        <f t="shared" si="41"/>
        <v>0.1</v>
      </c>
      <c r="I77" s="118">
        <f t="shared" si="3"/>
        <v>0</v>
      </c>
      <c r="J77" s="118">
        <f t="shared" si="4"/>
        <v>0.1</v>
      </c>
      <c r="K77" s="118">
        <f t="shared" si="5"/>
        <v>0.28000000000000003</v>
      </c>
      <c r="L77" s="118">
        <f t="shared" si="6"/>
        <v>0.04</v>
      </c>
      <c r="M77" s="205">
        <f t="shared" si="7"/>
        <v>0.48</v>
      </c>
      <c r="N77" s="117">
        <f t="shared" si="42"/>
        <v>0</v>
      </c>
      <c r="O77" s="118">
        <f t="shared" si="8"/>
        <v>0.7</v>
      </c>
      <c r="P77" s="118">
        <f t="shared" si="9"/>
        <v>0.15</v>
      </c>
      <c r="Q77" s="118">
        <f t="shared" si="10"/>
        <v>0.15</v>
      </c>
      <c r="R77" s="118">
        <f t="shared" si="11"/>
        <v>0</v>
      </c>
      <c r="S77" s="205">
        <f t="shared" si="12"/>
        <v>0</v>
      </c>
      <c r="T77" s="117">
        <f t="shared" si="13"/>
        <v>0.34</v>
      </c>
      <c r="U77" s="118">
        <f t="shared" si="14"/>
        <v>0</v>
      </c>
      <c r="V77" s="118">
        <f t="shared" si="15"/>
        <v>0.17</v>
      </c>
      <c r="W77" s="118">
        <f t="shared" si="16"/>
        <v>0.24</v>
      </c>
      <c r="X77" s="118">
        <f t="shared" si="17"/>
        <v>0.05</v>
      </c>
      <c r="Y77" s="205">
        <f t="shared" si="18"/>
        <v>0.2</v>
      </c>
      <c r="Z77" s="235">
        <f t="shared" si="19"/>
        <v>1789885.0242950043</v>
      </c>
      <c r="AA77" s="236">
        <f t="shared" si="20"/>
        <v>0</v>
      </c>
      <c r="AB77" s="236">
        <f t="shared" si="21"/>
        <v>1789885.0242950043</v>
      </c>
      <c r="AC77" s="236">
        <f t="shared" si="22"/>
        <v>1002335.6136052026</v>
      </c>
      <c r="AD77" s="236">
        <f t="shared" si="23"/>
        <v>143190.80194360035</v>
      </c>
      <c r="AE77" s="236">
        <f t="shared" si="24"/>
        <v>0</v>
      </c>
      <c r="AF77" s="242">
        <f t="shared" si="25"/>
        <v>4725296.4641388115</v>
      </c>
      <c r="AG77" s="235">
        <f t="shared" si="26"/>
        <v>0</v>
      </c>
      <c r="AH77" s="236">
        <f t="shared" si="27"/>
        <v>0</v>
      </c>
      <c r="AI77" s="236">
        <f t="shared" si="28"/>
        <v>826100.78044384811</v>
      </c>
      <c r="AJ77" s="236">
        <f t="shared" si="29"/>
        <v>165220.15608876964</v>
      </c>
      <c r="AK77" s="236">
        <f t="shared" si="30"/>
        <v>0</v>
      </c>
      <c r="AL77" s="236">
        <f t="shared" si="31"/>
        <v>0</v>
      </c>
      <c r="AM77" s="242">
        <f t="shared" si="32"/>
        <v>991320.93653261778</v>
      </c>
      <c r="AN77" s="235">
        <f t="shared" si="33"/>
        <v>7646021.667885839</v>
      </c>
      <c r="AO77" s="236">
        <f t="shared" si="34"/>
        <v>0</v>
      </c>
      <c r="AP77" s="236">
        <f t="shared" si="35"/>
        <v>3823010.8339429195</v>
      </c>
      <c r="AQ77" s="236">
        <f t="shared" si="36"/>
        <v>5397191.7655664748</v>
      </c>
      <c r="AR77" s="236">
        <f t="shared" si="37"/>
        <v>224882.99023193645</v>
      </c>
      <c r="AS77" s="236">
        <f t="shared" si="38"/>
        <v>0</v>
      </c>
      <c r="AT77" s="242">
        <f t="shared" si="39"/>
        <v>17091107.257627167</v>
      </c>
      <c r="AU77" s="252"/>
      <c r="AV77" s="246">
        <f t="shared" si="40"/>
        <v>22.807724658298596</v>
      </c>
      <c r="AW77" s="130"/>
    </row>
    <row r="78" spans="1:49" ht="14.45" hidden="1" customHeight="1">
      <c r="A78" s="193">
        <f>'Input data'!A71</f>
        <v>1971</v>
      </c>
      <c r="B78" s="208">
        <f>'Input data'!B71</f>
        <v>20.567820000000001</v>
      </c>
      <c r="C78" s="114">
        <f>'Input data'!F71</f>
        <v>0.71479999999999999</v>
      </c>
      <c r="D78" s="114">
        <f>'Input data'!G71</f>
        <v>0.28959999999999997</v>
      </c>
      <c r="E78" s="127"/>
      <c r="F78" s="236"/>
      <c r="G78" s="237">
        <f t="shared" si="2"/>
        <v>320128091.48775005</v>
      </c>
      <c r="H78" s="118">
        <f t="shared" si="41"/>
        <v>0.1</v>
      </c>
      <c r="I78" s="118">
        <f t="shared" si="3"/>
        <v>0</v>
      </c>
      <c r="J78" s="118">
        <f t="shared" si="4"/>
        <v>0.1</v>
      </c>
      <c r="K78" s="118">
        <f t="shared" si="5"/>
        <v>0.28000000000000003</v>
      </c>
      <c r="L78" s="118">
        <f t="shared" si="6"/>
        <v>0.04</v>
      </c>
      <c r="M78" s="205">
        <f t="shared" si="7"/>
        <v>0.48</v>
      </c>
      <c r="N78" s="117">
        <f t="shared" si="42"/>
        <v>0</v>
      </c>
      <c r="O78" s="118">
        <f t="shared" si="8"/>
        <v>0.7</v>
      </c>
      <c r="P78" s="118">
        <f t="shared" si="9"/>
        <v>0.15</v>
      </c>
      <c r="Q78" s="118">
        <f t="shared" si="10"/>
        <v>0.15</v>
      </c>
      <c r="R78" s="118">
        <f t="shared" si="11"/>
        <v>0</v>
      </c>
      <c r="S78" s="205">
        <f t="shared" si="12"/>
        <v>0</v>
      </c>
      <c r="T78" s="117">
        <f t="shared" si="13"/>
        <v>0.34</v>
      </c>
      <c r="U78" s="118">
        <f t="shared" si="14"/>
        <v>0</v>
      </c>
      <c r="V78" s="118">
        <f t="shared" si="15"/>
        <v>0.17</v>
      </c>
      <c r="W78" s="118">
        <f t="shared" si="16"/>
        <v>0.24</v>
      </c>
      <c r="X78" s="118">
        <f t="shared" si="17"/>
        <v>0.05</v>
      </c>
      <c r="Y78" s="205">
        <f t="shared" si="18"/>
        <v>0.2</v>
      </c>
      <c r="Z78" s="235">
        <f t="shared" si="19"/>
        <v>3745498.6704066754</v>
      </c>
      <c r="AA78" s="236">
        <f t="shared" si="20"/>
        <v>0</v>
      </c>
      <c r="AB78" s="236">
        <f t="shared" si="21"/>
        <v>3745498.6704066754</v>
      </c>
      <c r="AC78" s="236">
        <f t="shared" si="22"/>
        <v>2097479.2554277387</v>
      </c>
      <c r="AD78" s="236">
        <f t="shared" si="23"/>
        <v>299639.89363253402</v>
      </c>
      <c r="AE78" s="236">
        <f t="shared" si="24"/>
        <v>0</v>
      </c>
      <c r="AF78" s="242">
        <f t="shared" si="25"/>
        <v>9888116.4898736253</v>
      </c>
      <c r="AG78" s="235">
        <f t="shared" si="26"/>
        <v>0</v>
      </c>
      <c r="AH78" s="236">
        <f t="shared" si="27"/>
        <v>0</v>
      </c>
      <c r="AI78" s="236">
        <f t="shared" si="28"/>
        <v>1728691.6940338502</v>
      </c>
      <c r="AJ78" s="236">
        <f t="shared" si="29"/>
        <v>345738.33880677004</v>
      </c>
      <c r="AK78" s="236">
        <f t="shared" si="30"/>
        <v>0</v>
      </c>
      <c r="AL78" s="236">
        <f t="shared" si="31"/>
        <v>0</v>
      </c>
      <c r="AM78" s="242">
        <f t="shared" si="32"/>
        <v>2074430.0328406203</v>
      </c>
      <c r="AN78" s="235">
        <f t="shared" si="33"/>
        <v>16000002.012557749</v>
      </c>
      <c r="AO78" s="236">
        <f t="shared" si="34"/>
        <v>0</v>
      </c>
      <c r="AP78" s="236">
        <f t="shared" si="35"/>
        <v>8000001.0062788744</v>
      </c>
      <c r="AQ78" s="236">
        <f t="shared" si="36"/>
        <v>11294119.067687821</v>
      </c>
      <c r="AR78" s="236">
        <f t="shared" si="37"/>
        <v>470588.29448699259</v>
      </c>
      <c r="AS78" s="236">
        <f t="shared" si="38"/>
        <v>0</v>
      </c>
      <c r="AT78" s="242">
        <f t="shared" si="39"/>
        <v>35764710.381011434</v>
      </c>
      <c r="AU78" s="252"/>
      <c r="AV78" s="246">
        <f t="shared" si="40"/>
        <v>47.727256903725682</v>
      </c>
      <c r="AW78" s="130"/>
    </row>
    <row r="79" spans="1:49" ht="14.45" hidden="1" customHeight="1">
      <c r="A79" s="193">
        <f>'Input data'!A72</f>
        <v>1972</v>
      </c>
      <c r="B79" s="208">
        <f>'Input data'!B72</f>
        <v>21.04466</v>
      </c>
      <c r="C79" s="114">
        <f>'Input data'!F72</f>
        <v>0.71479999999999999</v>
      </c>
      <c r="D79" s="114">
        <f>'Input data'!G72</f>
        <v>0.28959999999999997</v>
      </c>
      <c r="E79" s="127"/>
      <c r="F79" s="236"/>
      <c r="G79" s="237">
        <f t="shared" si="2"/>
        <v>327549873.62825006</v>
      </c>
      <c r="H79" s="118">
        <f t="shared" si="41"/>
        <v>0.1</v>
      </c>
      <c r="I79" s="118">
        <f t="shared" si="3"/>
        <v>0</v>
      </c>
      <c r="J79" s="118">
        <f t="shared" si="4"/>
        <v>0.1</v>
      </c>
      <c r="K79" s="118">
        <f t="shared" si="5"/>
        <v>0.28000000000000003</v>
      </c>
      <c r="L79" s="118">
        <f t="shared" si="6"/>
        <v>0.04</v>
      </c>
      <c r="M79" s="205">
        <f t="shared" si="7"/>
        <v>0.48</v>
      </c>
      <c r="N79" s="117">
        <f t="shared" si="42"/>
        <v>0</v>
      </c>
      <c r="O79" s="118">
        <f t="shared" si="8"/>
        <v>0.7</v>
      </c>
      <c r="P79" s="118">
        <f t="shared" si="9"/>
        <v>0.15</v>
      </c>
      <c r="Q79" s="118">
        <f t="shared" si="10"/>
        <v>0.15</v>
      </c>
      <c r="R79" s="118">
        <f t="shared" si="11"/>
        <v>0</v>
      </c>
      <c r="S79" s="205">
        <f t="shared" si="12"/>
        <v>0</v>
      </c>
      <c r="T79" s="117">
        <f t="shared" si="13"/>
        <v>0.34</v>
      </c>
      <c r="U79" s="118">
        <f t="shared" si="14"/>
        <v>0</v>
      </c>
      <c r="V79" s="118">
        <f t="shared" si="15"/>
        <v>0.17</v>
      </c>
      <c r="W79" s="118">
        <f t="shared" si="16"/>
        <v>0.24</v>
      </c>
      <c r="X79" s="118">
        <f t="shared" si="17"/>
        <v>0.05</v>
      </c>
      <c r="Y79" s="205">
        <f t="shared" si="18"/>
        <v>0.2</v>
      </c>
      <c r="Z79" s="235">
        <f t="shared" si="19"/>
        <v>3832333.5214505261</v>
      </c>
      <c r="AA79" s="236">
        <f t="shared" si="20"/>
        <v>0</v>
      </c>
      <c r="AB79" s="236">
        <f t="shared" si="21"/>
        <v>3832333.5214505261</v>
      </c>
      <c r="AC79" s="236">
        <f t="shared" si="22"/>
        <v>2146106.7720122947</v>
      </c>
      <c r="AD79" s="236">
        <f t="shared" si="23"/>
        <v>306586.68171604205</v>
      </c>
      <c r="AE79" s="236">
        <f t="shared" si="24"/>
        <v>0</v>
      </c>
      <c r="AF79" s="242">
        <f t="shared" si="25"/>
        <v>10117360.496629389</v>
      </c>
      <c r="AG79" s="235">
        <f t="shared" si="26"/>
        <v>0</v>
      </c>
      <c r="AH79" s="236">
        <f t="shared" si="27"/>
        <v>0</v>
      </c>
      <c r="AI79" s="236">
        <f t="shared" si="28"/>
        <v>1768769.3175925503</v>
      </c>
      <c r="AJ79" s="236">
        <f t="shared" si="29"/>
        <v>353753.86351851001</v>
      </c>
      <c r="AK79" s="236">
        <f t="shared" si="30"/>
        <v>0</v>
      </c>
      <c r="AL79" s="236">
        <f t="shared" si="31"/>
        <v>0</v>
      </c>
      <c r="AM79" s="242">
        <f t="shared" si="32"/>
        <v>2122523.1811110601</v>
      </c>
      <c r="AN79" s="235">
        <f t="shared" si="33"/>
        <v>16370942.683939939</v>
      </c>
      <c r="AO79" s="236">
        <f t="shared" si="34"/>
        <v>0</v>
      </c>
      <c r="AP79" s="236">
        <f t="shared" si="35"/>
        <v>8185471.3419699697</v>
      </c>
      <c r="AQ79" s="236">
        <f t="shared" si="36"/>
        <v>11555959.54160466</v>
      </c>
      <c r="AR79" s="236">
        <f t="shared" si="37"/>
        <v>481498.31423352758</v>
      </c>
      <c r="AS79" s="236">
        <f t="shared" si="38"/>
        <v>0</v>
      </c>
      <c r="AT79" s="242">
        <f t="shared" si="39"/>
        <v>36593871.881748095</v>
      </c>
      <c r="AU79" s="252"/>
      <c r="AV79" s="246">
        <f t="shared" si="40"/>
        <v>48.833755559488544</v>
      </c>
      <c r="AW79" s="130"/>
    </row>
    <row r="80" spans="1:49" ht="14.45" hidden="1" customHeight="1">
      <c r="A80" s="193">
        <f>'Input data'!A73</f>
        <v>1973</v>
      </c>
      <c r="B80" s="208">
        <f>'Input data'!B73</f>
        <v>21.526959999999999</v>
      </c>
      <c r="C80" s="114">
        <f>'Input data'!F73</f>
        <v>0.71479999999999999</v>
      </c>
      <c r="D80" s="114">
        <f>'Input data'!G73</f>
        <v>0.28959999999999997</v>
      </c>
      <c r="E80" s="127"/>
      <c r="F80" s="236"/>
      <c r="G80" s="237">
        <f t="shared" si="2"/>
        <v>335056638.00700003</v>
      </c>
      <c r="H80" s="118">
        <f t="shared" si="41"/>
        <v>0.1</v>
      </c>
      <c r="I80" s="118">
        <f t="shared" si="3"/>
        <v>0</v>
      </c>
      <c r="J80" s="118">
        <f t="shared" si="4"/>
        <v>0.1</v>
      </c>
      <c r="K80" s="118">
        <f t="shared" si="5"/>
        <v>0.28000000000000003</v>
      </c>
      <c r="L80" s="118">
        <f t="shared" si="6"/>
        <v>0.04</v>
      </c>
      <c r="M80" s="205">
        <f t="shared" si="7"/>
        <v>0.48</v>
      </c>
      <c r="N80" s="117">
        <f t="shared" si="42"/>
        <v>0</v>
      </c>
      <c r="O80" s="118">
        <f t="shared" si="8"/>
        <v>0.7</v>
      </c>
      <c r="P80" s="118">
        <f t="shared" si="9"/>
        <v>0.15</v>
      </c>
      <c r="Q80" s="118">
        <f t="shared" si="10"/>
        <v>0.15</v>
      </c>
      <c r="R80" s="118">
        <f t="shared" si="11"/>
        <v>0</v>
      </c>
      <c r="S80" s="205">
        <f t="shared" si="12"/>
        <v>0</v>
      </c>
      <c r="T80" s="117">
        <f t="shared" si="13"/>
        <v>0.34</v>
      </c>
      <c r="U80" s="118">
        <f t="shared" si="14"/>
        <v>0</v>
      </c>
      <c r="V80" s="118">
        <f t="shared" si="15"/>
        <v>0.17</v>
      </c>
      <c r="W80" s="118">
        <f t="shared" si="16"/>
        <v>0.24</v>
      </c>
      <c r="X80" s="118">
        <f t="shared" si="17"/>
        <v>0.05</v>
      </c>
      <c r="Y80" s="205">
        <f t="shared" si="18"/>
        <v>0.2</v>
      </c>
      <c r="Z80" s="235">
        <f t="shared" si="19"/>
        <v>3920162.6646819003</v>
      </c>
      <c r="AA80" s="236">
        <f t="shared" si="20"/>
        <v>0</v>
      </c>
      <c r="AB80" s="236">
        <f t="shared" si="21"/>
        <v>3920162.6646819003</v>
      </c>
      <c r="AC80" s="236">
        <f t="shared" si="22"/>
        <v>2195291.0922218645</v>
      </c>
      <c r="AD80" s="236">
        <f t="shared" si="23"/>
        <v>313613.013174552</v>
      </c>
      <c r="AE80" s="236">
        <f t="shared" si="24"/>
        <v>0</v>
      </c>
      <c r="AF80" s="242">
        <f t="shared" si="25"/>
        <v>10349229.434760217</v>
      </c>
      <c r="AG80" s="235">
        <f t="shared" si="26"/>
        <v>0</v>
      </c>
      <c r="AH80" s="236">
        <f t="shared" si="27"/>
        <v>0</v>
      </c>
      <c r="AI80" s="236">
        <f t="shared" si="28"/>
        <v>1809305.8452377999</v>
      </c>
      <c r="AJ80" s="236">
        <f t="shared" si="29"/>
        <v>361861.16904755996</v>
      </c>
      <c r="AK80" s="236">
        <f t="shared" si="30"/>
        <v>0</v>
      </c>
      <c r="AL80" s="236">
        <f t="shared" si="31"/>
        <v>0</v>
      </c>
      <c r="AM80" s="242">
        <f t="shared" si="32"/>
        <v>2171167.01428536</v>
      </c>
      <c r="AN80" s="235">
        <f t="shared" si="33"/>
        <v>16746130.767589863</v>
      </c>
      <c r="AO80" s="236">
        <f t="shared" si="34"/>
        <v>0</v>
      </c>
      <c r="AP80" s="236">
        <f t="shared" si="35"/>
        <v>8373065.3837949317</v>
      </c>
      <c r="AQ80" s="236">
        <f t="shared" si="36"/>
        <v>11820798.188886959</v>
      </c>
      <c r="AR80" s="236">
        <f t="shared" si="37"/>
        <v>492533.25787029008</v>
      </c>
      <c r="AS80" s="236">
        <f t="shared" si="38"/>
        <v>0</v>
      </c>
      <c r="AT80" s="242">
        <f t="shared" si="39"/>
        <v>37432527.598142043</v>
      </c>
      <c r="AU80" s="252"/>
      <c r="AV80" s="246">
        <f t="shared" si="40"/>
        <v>49.952924047187622</v>
      </c>
      <c r="AW80" s="130"/>
    </row>
    <row r="81" spans="1:49" ht="14.45" hidden="1" customHeight="1">
      <c r="A81" s="193">
        <f>'Input data'!A74</f>
        <v>1974</v>
      </c>
      <c r="B81" s="208">
        <f>'Input data'!B74</f>
        <v>22.012900000000002</v>
      </c>
      <c r="C81" s="114">
        <f>'Input data'!F74</f>
        <v>0.71479999999999999</v>
      </c>
      <c r="D81" s="114">
        <f>'Input data'!G74</f>
        <v>0.28959999999999997</v>
      </c>
      <c r="E81" s="127"/>
      <c r="F81" s="236"/>
      <c r="G81" s="237">
        <f t="shared" si="2"/>
        <v>342620057.21125007</v>
      </c>
      <c r="H81" s="118">
        <f t="shared" si="41"/>
        <v>0.1</v>
      </c>
      <c r="I81" s="118">
        <f t="shared" si="3"/>
        <v>0</v>
      </c>
      <c r="J81" s="118">
        <f t="shared" si="4"/>
        <v>0.1</v>
      </c>
      <c r="K81" s="118">
        <f t="shared" si="5"/>
        <v>0.28000000000000003</v>
      </c>
      <c r="L81" s="118">
        <f t="shared" si="6"/>
        <v>0.04</v>
      </c>
      <c r="M81" s="205">
        <f t="shared" si="7"/>
        <v>0.48</v>
      </c>
      <c r="N81" s="117">
        <f t="shared" si="42"/>
        <v>0</v>
      </c>
      <c r="O81" s="118">
        <f t="shared" si="8"/>
        <v>0.7</v>
      </c>
      <c r="P81" s="118">
        <f t="shared" si="9"/>
        <v>0.15</v>
      </c>
      <c r="Q81" s="118">
        <f t="shared" si="10"/>
        <v>0.15</v>
      </c>
      <c r="R81" s="118">
        <f t="shared" si="11"/>
        <v>0</v>
      </c>
      <c r="S81" s="205">
        <f t="shared" si="12"/>
        <v>0</v>
      </c>
      <c r="T81" s="117">
        <f t="shared" si="13"/>
        <v>0.34</v>
      </c>
      <c r="U81" s="118">
        <f t="shared" si="14"/>
        <v>0</v>
      </c>
      <c r="V81" s="118">
        <f t="shared" si="15"/>
        <v>0.17</v>
      </c>
      <c r="W81" s="118">
        <f t="shared" si="16"/>
        <v>0.24</v>
      </c>
      <c r="X81" s="118">
        <f t="shared" si="17"/>
        <v>0.05</v>
      </c>
      <c r="Y81" s="205">
        <f t="shared" si="18"/>
        <v>0.2</v>
      </c>
      <c r="Z81" s="235">
        <f t="shared" si="19"/>
        <v>4008654.6693716259</v>
      </c>
      <c r="AA81" s="236">
        <f t="shared" si="20"/>
        <v>0</v>
      </c>
      <c r="AB81" s="236">
        <f t="shared" si="21"/>
        <v>4008654.6693716259</v>
      </c>
      <c r="AC81" s="236">
        <f t="shared" si="22"/>
        <v>2244846.6148481108</v>
      </c>
      <c r="AD81" s="236">
        <f t="shared" si="23"/>
        <v>320692.37354973005</v>
      </c>
      <c r="AE81" s="236">
        <f t="shared" si="24"/>
        <v>0</v>
      </c>
      <c r="AF81" s="242">
        <f t="shared" si="25"/>
        <v>10582848.327141091</v>
      </c>
      <c r="AG81" s="235">
        <f t="shared" si="26"/>
        <v>0</v>
      </c>
      <c r="AH81" s="236">
        <f t="shared" si="27"/>
        <v>0</v>
      </c>
      <c r="AI81" s="236">
        <f t="shared" si="28"/>
        <v>1850148.3089407503</v>
      </c>
      <c r="AJ81" s="236">
        <f t="shared" si="29"/>
        <v>370029.66178815003</v>
      </c>
      <c r="AK81" s="236">
        <f t="shared" si="30"/>
        <v>0</v>
      </c>
      <c r="AL81" s="236">
        <f t="shared" si="31"/>
        <v>0</v>
      </c>
      <c r="AM81" s="242">
        <f t="shared" si="32"/>
        <v>2220177.9707289003</v>
      </c>
      <c r="AN81" s="235">
        <f t="shared" si="33"/>
        <v>17124150.459418278</v>
      </c>
      <c r="AO81" s="236">
        <f t="shared" si="34"/>
        <v>0</v>
      </c>
      <c r="AP81" s="236">
        <f t="shared" si="35"/>
        <v>8562075.2297091391</v>
      </c>
      <c r="AQ81" s="236">
        <f t="shared" si="36"/>
        <v>12087635.618412901</v>
      </c>
      <c r="AR81" s="236">
        <f t="shared" si="37"/>
        <v>503651.48410053761</v>
      </c>
      <c r="AS81" s="236">
        <f t="shared" si="38"/>
        <v>0</v>
      </c>
      <c r="AT81" s="242">
        <f t="shared" si="39"/>
        <v>38277512.791640848</v>
      </c>
      <c r="AU81" s="252"/>
      <c r="AV81" s="246">
        <f t="shared" si="40"/>
        <v>51.080539089510843</v>
      </c>
      <c r="AW81" s="130"/>
    </row>
    <row r="82" spans="1:49" ht="14.45" hidden="1" customHeight="1">
      <c r="A82" s="193">
        <f>'Input data'!A75</f>
        <v>1975</v>
      </c>
      <c r="B82" s="208">
        <f>'Input data'!B75</f>
        <v>22.502480000000002</v>
      </c>
      <c r="C82" s="114">
        <f>'Input data'!F75</f>
        <v>0.71479999999999999</v>
      </c>
      <c r="D82" s="114">
        <f>'Input data'!G75</f>
        <v>0.28959999999999997</v>
      </c>
      <c r="E82" s="127"/>
      <c r="F82" s="236"/>
      <c r="G82" s="237">
        <f t="shared" si="2"/>
        <v>350240131.24100006</v>
      </c>
      <c r="H82" s="118">
        <f t="shared" si="41"/>
        <v>0.1</v>
      </c>
      <c r="I82" s="118">
        <f t="shared" si="3"/>
        <v>0</v>
      </c>
      <c r="J82" s="118">
        <f t="shared" si="4"/>
        <v>0.1</v>
      </c>
      <c r="K82" s="118">
        <f t="shared" si="5"/>
        <v>0.28000000000000003</v>
      </c>
      <c r="L82" s="118">
        <f t="shared" si="6"/>
        <v>0.04</v>
      </c>
      <c r="M82" s="205">
        <f t="shared" si="7"/>
        <v>0.48</v>
      </c>
      <c r="N82" s="117">
        <f t="shared" si="42"/>
        <v>0</v>
      </c>
      <c r="O82" s="118">
        <f t="shared" si="8"/>
        <v>0.7</v>
      </c>
      <c r="P82" s="118">
        <f t="shared" si="9"/>
        <v>0.15</v>
      </c>
      <c r="Q82" s="118">
        <f t="shared" si="10"/>
        <v>0.15</v>
      </c>
      <c r="R82" s="118">
        <f t="shared" si="11"/>
        <v>0</v>
      </c>
      <c r="S82" s="205">
        <f t="shared" si="12"/>
        <v>0</v>
      </c>
      <c r="T82" s="117">
        <f t="shared" si="13"/>
        <v>0.34</v>
      </c>
      <c r="U82" s="118">
        <f t="shared" si="14"/>
        <v>0</v>
      </c>
      <c r="V82" s="118">
        <f t="shared" si="15"/>
        <v>0.17</v>
      </c>
      <c r="W82" s="118">
        <f t="shared" si="16"/>
        <v>0.24</v>
      </c>
      <c r="X82" s="118">
        <f t="shared" si="17"/>
        <v>0.05</v>
      </c>
      <c r="Y82" s="205">
        <f t="shared" si="18"/>
        <v>0.2</v>
      </c>
      <c r="Z82" s="235">
        <f t="shared" si="19"/>
        <v>4097809.535519701</v>
      </c>
      <c r="AA82" s="236">
        <f t="shared" si="20"/>
        <v>0</v>
      </c>
      <c r="AB82" s="236">
        <f t="shared" si="21"/>
        <v>4097809.535519701</v>
      </c>
      <c r="AC82" s="236">
        <f t="shared" si="22"/>
        <v>2294773.3398910328</v>
      </c>
      <c r="AD82" s="236">
        <f t="shared" si="23"/>
        <v>327824.76284157601</v>
      </c>
      <c r="AE82" s="236">
        <f t="shared" si="24"/>
        <v>0</v>
      </c>
      <c r="AF82" s="242">
        <f t="shared" si="25"/>
        <v>10818217.173772011</v>
      </c>
      <c r="AG82" s="235">
        <f t="shared" si="26"/>
        <v>0</v>
      </c>
      <c r="AH82" s="236">
        <f t="shared" si="27"/>
        <v>0</v>
      </c>
      <c r="AI82" s="236">
        <f t="shared" si="28"/>
        <v>1891296.7087014001</v>
      </c>
      <c r="AJ82" s="236">
        <f t="shared" si="29"/>
        <v>378259.34174028004</v>
      </c>
      <c r="AK82" s="236">
        <f t="shared" si="30"/>
        <v>0</v>
      </c>
      <c r="AL82" s="236">
        <f t="shared" si="31"/>
        <v>0</v>
      </c>
      <c r="AM82" s="242">
        <f t="shared" si="32"/>
        <v>2269556.05044168</v>
      </c>
      <c r="AN82" s="235">
        <f t="shared" si="33"/>
        <v>17505001.759425186</v>
      </c>
      <c r="AO82" s="236">
        <f t="shared" si="34"/>
        <v>0</v>
      </c>
      <c r="AP82" s="236">
        <f t="shared" si="35"/>
        <v>8752500.8797125928</v>
      </c>
      <c r="AQ82" s="236">
        <f t="shared" si="36"/>
        <v>12356471.830182482</v>
      </c>
      <c r="AR82" s="236">
        <f t="shared" si="37"/>
        <v>514852.99292427016</v>
      </c>
      <c r="AS82" s="236">
        <f t="shared" si="38"/>
        <v>0</v>
      </c>
      <c r="AT82" s="242">
        <f t="shared" si="39"/>
        <v>39128827.462244533</v>
      </c>
      <c r="AU82" s="252"/>
      <c r="AV82" s="246">
        <f t="shared" si="40"/>
        <v>52.216600686458222</v>
      </c>
      <c r="AW82" s="130"/>
    </row>
    <row r="83" spans="1:49" ht="14.45" hidden="1" customHeight="1">
      <c r="A83" s="193">
        <f>'Input data'!A76</f>
        <v>1976</v>
      </c>
      <c r="B83" s="208">
        <f>'Input data'!B76</f>
        <v>22.993880000000001</v>
      </c>
      <c r="C83" s="114">
        <f>'Input data'!F76</f>
        <v>0.71479999999999999</v>
      </c>
      <c r="D83" s="114">
        <f>'Input data'!G76</f>
        <v>0.28959999999999997</v>
      </c>
      <c r="E83" s="127"/>
      <c r="F83" s="236"/>
      <c r="G83" s="237">
        <f t="shared" si="2"/>
        <v>357888532.68350011</v>
      </c>
      <c r="H83" s="118">
        <f t="shared" si="41"/>
        <v>0.1</v>
      </c>
      <c r="I83" s="118">
        <f t="shared" si="3"/>
        <v>0</v>
      </c>
      <c r="J83" s="118">
        <f t="shared" si="4"/>
        <v>0.1</v>
      </c>
      <c r="K83" s="118">
        <f t="shared" si="5"/>
        <v>0.28000000000000003</v>
      </c>
      <c r="L83" s="118">
        <f t="shared" si="6"/>
        <v>0.04</v>
      </c>
      <c r="M83" s="205">
        <f t="shared" si="7"/>
        <v>0.48</v>
      </c>
      <c r="N83" s="117">
        <f t="shared" si="42"/>
        <v>0</v>
      </c>
      <c r="O83" s="118">
        <f t="shared" si="8"/>
        <v>0.7</v>
      </c>
      <c r="P83" s="118">
        <f t="shared" si="9"/>
        <v>0.15</v>
      </c>
      <c r="Q83" s="118">
        <f t="shared" si="10"/>
        <v>0.15</v>
      </c>
      <c r="R83" s="118">
        <f t="shared" si="11"/>
        <v>0</v>
      </c>
      <c r="S83" s="205">
        <f t="shared" si="12"/>
        <v>0</v>
      </c>
      <c r="T83" s="117">
        <f t="shared" si="13"/>
        <v>0.34</v>
      </c>
      <c r="U83" s="118">
        <f t="shared" si="14"/>
        <v>0</v>
      </c>
      <c r="V83" s="118">
        <f t="shared" si="15"/>
        <v>0.17</v>
      </c>
      <c r="W83" s="118">
        <f t="shared" si="16"/>
        <v>0.24</v>
      </c>
      <c r="X83" s="118">
        <f t="shared" si="17"/>
        <v>0.05</v>
      </c>
      <c r="Y83" s="205">
        <f t="shared" si="18"/>
        <v>0.2</v>
      </c>
      <c r="Z83" s="235">
        <f t="shared" si="19"/>
        <v>4187295.832396951</v>
      </c>
      <c r="AA83" s="236">
        <f t="shared" si="20"/>
        <v>0</v>
      </c>
      <c r="AB83" s="236">
        <f t="shared" si="21"/>
        <v>4187295.832396951</v>
      </c>
      <c r="AC83" s="236">
        <f t="shared" si="22"/>
        <v>2344885.6661422933</v>
      </c>
      <c r="AD83" s="236">
        <f t="shared" si="23"/>
        <v>334983.6665917561</v>
      </c>
      <c r="AE83" s="236">
        <f t="shared" si="24"/>
        <v>0</v>
      </c>
      <c r="AF83" s="242">
        <f t="shared" si="25"/>
        <v>11054460.997527951</v>
      </c>
      <c r="AG83" s="235">
        <f t="shared" si="26"/>
        <v>0</v>
      </c>
      <c r="AH83" s="236">
        <f t="shared" si="27"/>
        <v>0</v>
      </c>
      <c r="AI83" s="236">
        <f t="shared" si="28"/>
        <v>1932598.0764909005</v>
      </c>
      <c r="AJ83" s="236">
        <f t="shared" si="29"/>
        <v>386519.61529818008</v>
      </c>
      <c r="AK83" s="236">
        <f t="shared" si="30"/>
        <v>0</v>
      </c>
      <c r="AL83" s="236">
        <f t="shared" si="31"/>
        <v>0</v>
      </c>
      <c r="AM83" s="242">
        <f t="shared" si="32"/>
        <v>2319117.6917890804</v>
      </c>
      <c r="AN83" s="235">
        <f t="shared" si="33"/>
        <v>17887268.863521334</v>
      </c>
      <c r="AO83" s="236">
        <f t="shared" si="34"/>
        <v>0</v>
      </c>
      <c r="AP83" s="236">
        <f t="shared" si="35"/>
        <v>8943634.4317606669</v>
      </c>
      <c r="AQ83" s="236">
        <f t="shared" si="36"/>
        <v>12626307.433073882</v>
      </c>
      <c r="AR83" s="236">
        <f t="shared" si="37"/>
        <v>526096.14304474508</v>
      </c>
      <c r="AS83" s="236">
        <f t="shared" si="38"/>
        <v>0</v>
      </c>
      <c r="AT83" s="242">
        <f t="shared" si="39"/>
        <v>39983306.871400632</v>
      </c>
      <c r="AU83" s="252"/>
      <c r="AV83" s="246">
        <f t="shared" si="40"/>
        <v>53.356885560717664</v>
      </c>
      <c r="AW83" s="130"/>
    </row>
    <row r="84" spans="1:49" ht="14.45" hidden="1" customHeight="1">
      <c r="A84" s="193">
        <f>'Input data'!A77</f>
        <v>1977</v>
      </c>
      <c r="B84" s="208">
        <f>'Input data'!B77</f>
        <v>23.483460000000001</v>
      </c>
      <c r="C84" s="114">
        <f>'Input data'!F77</f>
        <v>0.71479999999999999</v>
      </c>
      <c r="D84" s="114">
        <f>'Input data'!G77</f>
        <v>0.28959999999999997</v>
      </c>
      <c r="E84" s="127"/>
      <c r="F84" s="236"/>
      <c r="G84" s="237">
        <f t="shared" si="2"/>
        <v>365508606.71325004</v>
      </c>
      <c r="H84" s="118">
        <f t="shared" si="41"/>
        <v>0.1</v>
      </c>
      <c r="I84" s="118">
        <f t="shared" si="3"/>
        <v>0</v>
      </c>
      <c r="J84" s="118">
        <f t="shared" si="4"/>
        <v>0.1</v>
      </c>
      <c r="K84" s="118">
        <f t="shared" si="5"/>
        <v>0.28000000000000003</v>
      </c>
      <c r="L84" s="118">
        <f t="shared" si="6"/>
        <v>0.04</v>
      </c>
      <c r="M84" s="205">
        <f t="shared" si="7"/>
        <v>0.48</v>
      </c>
      <c r="N84" s="117">
        <f t="shared" si="42"/>
        <v>0</v>
      </c>
      <c r="O84" s="118">
        <f t="shared" si="8"/>
        <v>0.7</v>
      </c>
      <c r="P84" s="118">
        <f t="shared" si="9"/>
        <v>0.15</v>
      </c>
      <c r="Q84" s="118">
        <f t="shared" si="10"/>
        <v>0.15</v>
      </c>
      <c r="R84" s="118">
        <f t="shared" si="11"/>
        <v>0</v>
      </c>
      <c r="S84" s="205">
        <f t="shared" si="12"/>
        <v>0</v>
      </c>
      <c r="T84" s="117">
        <f t="shared" si="13"/>
        <v>0.34</v>
      </c>
      <c r="U84" s="118">
        <f t="shared" si="14"/>
        <v>0</v>
      </c>
      <c r="V84" s="118">
        <f t="shared" si="15"/>
        <v>0.17</v>
      </c>
      <c r="W84" s="118">
        <f t="shared" si="16"/>
        <v>0.24</v>
      </c>
      <c r="X84" s="118">
        <f t="shared" si="17"/>
        <v>0.05</v>
      </c>
      <c r="Y84" s="205">
        <f t="shared" si="18"/>
        <v>0.2</v>
      </c>
      <c r="Z84" s="235">
        <f t="shared" si="19"/>
        <v>4276450.6985450257</v>
      </c>
      <c r="AA84" s="236">
        <f t="shared" si="20"/>
        <v>0</v>
      </c>
      <c r="AB84" s="236">
        <f t="shared" si="21"/>
        <v>4276450.6985450257</v>
      </c>
      <c r="AC84" s="236">
        <f t="shared" si="22"/>
        <v>2394812.3911852147</v>
      </c>
      <c r="AD84" s="236">
        <f t="shared" si="23"/>
        <v>342116.05588360201</v>
      </c>
      <c r="AE84" s="236">
        <f t="shared" si="24"/>
        <v>0</v>
      </c>
      <c r="AF84" s="242">
        <f t="shared" si="25"/>
        <v>11289829.844158867</v>
      </c>
      <c r="AG84" s="235">
        <f t="shared" si="26"/>
        <v>0</v>
      </c>
      <c r="AH84" s="236">
        <f t="shared" si="27"/>
        <v>0</v>
      </c>
      <c r="AI84" s="236">
        <f t="shared" si="28"/>
        <v>1973746.47625155</v>
      </c>
      <c r="AJ84" s="236">
        <f t="shared" si="29"/>
        <v>394749.29525030998</v>
      </c>
      <c r="AK84" s="236">
        <f t="shared" si="30"/>
        <v>0</v>
      </c>
      <c r="AL84" s="236">
        <f t="shared" si="31"/>
        <v>0</v>
      </c>
      <c r="AM84" s="242">
        <f t="shared" si="32"/>
        <v>2368495.7715018601</v>
      </c>
      <c r="AN84" s="235">
        <f t="shared" si="33"/>
        <v>18268120.163528237</v>
      </c>
      <c r="AO84" s="236">
        <f t="shared" si="34"/>
        <v>0</v>
      </c>
      <c r="AP84" s="236">
        <f t="shared" si="35"/>
        <v>9134060.0817641187</v>
      </c>
      <c r="AQ84" s="236">
        <f t="shared" si="36"/>
        <v>12895143.644843461</v>
      </c>
      <c r="AR84" s="236">
        <f t="shared" si="37"/>
        <v>537297.65186847758</v>
      </c>
      <c r="AS84" s="236">
        <f t="shared" si="38"/>
        <v>0</v>
      </c>
      <c r="AT84" s="242">
        <f t="shared" si="39"/>
        <v>40834621.542004295</v>
      </c>
      <c r="AU84" s="252"/>
      <c r="AV84" s="246">
        <f t="shared" si="40"/>
        <v>54.492947157665022</v>
      </c>
      <c r="AW84" s="130"/>
    </row>
    <row r="85" spans="1:49" ht="14.45" hidden="1" customHeight="1">
      <c r="A85" s="193">
        <f>'Input data'!A78</f>
        <v>1978</v>
      </c>
      <c r="B85" s="208">
        <f>'Input data'!B78</f>
        <v>23.983049999999999</v>
      </c>
      <c r="C85" s="114">
        <f>'Input data'!F78</f>
        <v>0.71479999999999999</v>
      </c>
      <c r="D85" s="114">
        <f>'Input data'!G78</f>
        <v>0.28959999999999997</v>
      </c>
      <c r="E85" s="127"/>
      <c r="F85" s="236"/>
      <c r="G85" s="237">
        <f t="shared" si="2"/>
        <v>373284481.513125</v>
      </c>
      <c r="H85" s="118">
        <f t="shared" si="41"/>
        <v>0.1</v>
      </c>
      <c r="I85" s="118">
        <f t="shared" si="3"/>
        <v>0</v>
      </c>
      <c r="J85" s="118">
        <f t="shared" si="4"/>
        <v>0.1</v>
      </c>
      <c r="K85" s="118">
        <f t="shared" si="5"/>
        <v>0.28000000000000003</v>
      </c>
      <c r="L85" s="118">
        <f t="shared" si="6"/>
        <v>0.04</v>
      </c>
      <c r="M85" s="205">
        <f t="shared" si="7"/>
        <v>0.48</v>
      </c>
      <c r="N85" s="117">
        <f t="shared" si="42"/>
        <v>0</v>
      </c>
      <c r="O85" s="118">
        <f t="shared" si="8"/>
        <v>0.7</v>
      </c>
      <c r="P85" s="118">
        <f t="shared" si="9"/>
        <v>0.15</v>
      </c>
      <c r="Q85" s="118">
        <f t="shared" si="10"/>
        <v>0.15</v>
      </c>
      <c r="R85" s="118">
        <f t="shared" si="11"/>
        <v>0</v>
      </c>
      <c r="S85" s="205">
        <f t="shared" si="12"/>
        <v>0</v>
      </c>
      <c r="T85" s="117">
        <f t="shared" si="13"/>
        <v>0.34</v>
      </c>
      <c r="U85" s="118">
        <f t="shared" si="14"/>
        <v>0</v>
      </c>
      <c r="V85" s="118">
        <f t="shared" si="15"/>
        <v>0.17</v>
      </c>
      <c r="W85" s="118">
        <f t="shared" si="16"/>
        <v>0.24</v>
      </c>
      <c r="X85" s="118">
        <f t="shared" si="17"/>
        <v>0.05</v>
      </c>
      <c r="Y85" s="205">
        <f t="shared" si="18"/>
        <v>0.2</v>
      </c>
      <c r="Z85" s="235">
        <f t="shared" si="19"/>
        <v>4367428.4337035632</v>
      </c>
      <c r="AA85" s="236">
        <f t="shared" si="20"/>
        <v>0</v>
      </c>
      <c r="AB85" s="236">
        <f t="shared" si="21"/>
        <v>4367428.4337035632</v>
      </c>
      <c r="AC85" s="236">
        <f t="shared" si="22"/>
        <v>2445759.9228739957</v>
      </c>
      <c r="AD85" s="236">
        <f t="shared" si="23"/>
        <v>349394.27469628496</v>
      </c>
      <c r="AE85" s="236">
        <f t="shared" si="24"/>
        <v>0</v>
      </c>
      <c r="AF85" s="242">
        <f t="shared" si="25"/>
        <v>11530011.064977407</v>
      </c>
      <c r="AG85" s="235">
        <f t="shared" si="26"/>
        <v>0</v>
      </c>
      <c r="AH85" s="236">
        <f t="shared" si="27"/>
        <v>0</v>
      </c>
      <c r="AI85" s="236">
        <f t="shared" si="28"/>
        <v>2015736.2001708746</v>
      </c>
      <c r="AJ85" s="236">
        <f t="shared" si="29"/>
        <v>403147.24003417499</v>
      </c>
      <c r="AK85" s="236">
        <f t="shared" si="30"/>
        <v>0</v>
      </c>
      <c r="AL85" s="236">
        <f t="shared" si="31"/>
        <v>0</v>
      </c>
      <c r="AM85" s="242">
        <f t="shared" si="32"/>
        <v>2418883.4402050497</v>
      </c>
      <c r="AN85" s="235">
        <f t="shared" si="33"/>
        <v>18656758.386025991</v>
      </c>
      <c r="AO85" s="236">
        <f t="shared" si="34"/>
        <v>0</v>
      </c>
      <c r="AP85" s="236">
        <f t="shared" si="35"/>
        <v>9328379.1930129956</v>
      </c>
      <c r="AQ85" s="236">
        <f t="shared" si="36"/>
        <v>13169476.50778305</v>
      </c>
      <c r="AR85" s="236">
        <f t="shared" si="37"/>
        <v>548728.18782429385</v>
      </c>
      <c r="AS85" s="236">
        <f t="shared" si="38"/>
        <v>0</v>
      </c>
      <c r="AT85" s="242">
        <f t="shared" si="39"/>
        <v>41703342.274646327</v>
      </c>
      <c r="AU85" s="252"/>
      <c r="AV85" s="246">
        <f t="shared" si="40"/>
        <v>55.65223677982879</v>
      </c>
      <c r="AW85" s="130"/>
    </row>
    <row r="86" spans="1:49" ht="14.45" hidden="1" customHeight="1">
      <c r="A86" s="193">
        <f>'Input data'!A79</f>
        <v>1979</v>
      </c>
      <c r="B86" s="208">
        <f>'Input data'!B79</f>
        <v>24.516309999999997</v>
      </c>
      <c r="C86" s="114">
        <f>'Input data'!F79</f>
        <v>0.71479999999999999</v>
      </c>
      <c r="D86" s="114">
        <f>'Input data'!G79</f>
        <v>0.28959999999999997</v>
      </c>
      <c r="E86" s="127"/>
      <c r="F86" s="236"/>
      <c r="G86" s="237">
        <f t="shared" si="2"/>
        <v>381584413.44887501</v>
      </c>
      <c r="H86" s="118">
        <f t="shared" si="41"/>
        <v>0.1</v>
      </c>
      <c r="I86" s="118">
        <f t="shared" si="3"/>
        <v>0</v>
      </c>
      <c r="J86" s="118">
        <f t="shared" si="4"/>
        <v>0.1</v>
      </c>
      <c r="K86" s="118">
        <f t="shared" si="5"/>
        <v>0.28000000000000003</v>
      </c>
      <c r="L86" s="118">
        <f t="shared" si="6"/>
        <v>0.04</v>
      </c>
      <c r="M86" s="205">
        <f t="shared" si="7"/>
        <v>0.48</v>
      </c>
      <c r="N86" s="117">
        <f t="shared" si="42"/>
        <v>0</v>
      </c>
      <c r="O86" s="118">
        <f t="shared" si="8"/>
        <v>0.7</v>
      </c>
      <c r="P86" s="118">
        <f t="shared" si="9"/>
        <v>0.15</v>
      </c>
      <c r="Q86" s="118">
        <f t="shared" si="10"/>
        <v>0.15</v>
      </c>
      <c r="R86" s="118">
        <f t="shared" si="11"/>
        <v>0</v>
      </c>
      <c r="S86" s="205">
        <f t="shared" si="12"/>
        <v>0</v>
      </c>
      <c r="T86" s="117">
        <f t="shared" si="13"/>
        <v>0.34</v>
      </c>
      <c r="U86" s="118">
        <f t="shared" si="14"/>
        <v>0</v>
      </c>
      <c r="V86" s="118">
        <f t="shared" si="15"/>
        <v>0.17</v>
      </c>
      <c r="W86" s="118">
        <f t="shared" si="16"/>
        <v>0.24</v>
      </c>
      <c r="X86" s="118">
        <f t="shared" si="17"/>
        <v>0.05</v>
      </c>
      <c r="Y86" s="205">
        <f t="shared" si="18"/>
        <v>0.2</v>
      </c>
      <c r="Z86" s="235">
        <f t="shared" si="19"/>
        <v>4464537.6373518379</v>
      </c>
      <c r="AA86" s="236">
        <f t="shared" si="20"/>
        <v>0</v>
      </c>
      <c r="AB86" s="236">
        <f t="shared" si="21"/>
        <v>4464537.6373518379</v>
      </c>
      <c r="AC86" s="236">
        <f t="shared" si="22"/>
        <v>2500141.0769170295</v>
      </c>
      <c r="AD86" s="236">
        <f t="shared" si="23"/>
        <v>357163.010988147</v>
      </c>
      <c r="AE86" s="236">
        <f t="shared" si="24"/>
        <v>0</v>
      </c>
      <c r="AF86" s="242">
        <f t="shared" si="25"/>
        <v>11786379.362608854</v>
      </c>
      <c r="AG86" s="235">
        <f t="shared" si="26"/>
        <v>0</v>
      </c>
      <c r="AH86" s="236">
        <f t="shared" si="27"/>
        <v>0</v>
      </c>
      <c r="AI86" s="236">
        <f t="shared" si="28"/>
        <v>2060555.8326239248</v>
      </c>
      <c r="AJ86" s="236">
        <f t="shared" si="29"/>
        <v>412111.16652478499</v>
      </c>
      <c r="AK86" s="236">
        <f t="shared" si="30"/>
        <v>0</v>
      </c>
      <c r="AL86" s="236">
        <f t="shared" si="31"/>
        <v>0</v>
      </c>
      <c r="AM86" s="242">
        <f t="shared" si="32"/>
        <v>2472666.9991487097</v>
      </c>
      <c r="AN86" s="235">
        <f t="shared" si="33"/>
        <v>19071588.984174773</v>
      </c>
      <c r="AO86" s="236">
        <f t="shared" si="34"/>
        <v>0</v>
      </c>
      <c r="AP86" s="236">
        <f t="shared" si="35"/>
        <v>9535794.4920873865</v>
      </c>
      <c r="AQ86" s="236">
        <f t="shared" si="36"/>
        <v>13462298.106476309</v>
      </c>
      <c r="AR86" s="236">
        <f t="shared" si="37"/>
        <v>560929.0877698462</v>
      </c>
      <c r="AS86" s="236">
        <f t="shared" si="38"/>
        <v>0</v>
      </c>
      <c r="AT86" s="242">
        <f t="shared" si="39"/>
        <v>42630610.67050831</v>
      </c>
      <c r="AU86" s="252"/>
      <c r="AV86" s="246">
        <f t="shared" si="40"/>
        <v>56.889657032265873</v>
      </c>
      <c r="AW86" s="130"/>
    </row>
    <row r="87" spans="1:49" ht="14.45" hidden="1" customHeight="1">
      <c r="A87" s="193">
        <f>'Input data'!A80</f>
        <v>1980</v>
      </c>
      <c r="B87" s="208">
        <f>'Input data'!B80</f>
        <v>25.094160000000002</v>
      </c>
      <c r="C87" s="114">
        <f>'Input data'!F80</f>
        <v>0.71479999999999999</v>
      </c>
      <c r="D87" s="114">
        <f>'Input data'!G80</f>
        <v>0.28959999999999997</v>
      </c>
      <c r="E87" s="127"/>
      <c r="F87" s="236"/>
      <c r="G87" s="237">
        <f t="shared" si="2"/>
        <v>390578366.99700004</v>
      </c>
      <c r="H87" s="118">
        <f t="shared" si="41"/>
        <v>0.1</v>
      </c>
      <c r="I87" s="118">
        <f t="shared" si="3"/>
        <v>0</v>
      </c>
      <c r="J87" s="118">
        <f t="shared" si="4"/>
        <v>0.1</v>
      </c>
      <c r="K87" s="118">
        <f t="shared" si="5"/>
        <v>0.28000000000000003</v>
      </c>
      <c r="L87" s="118">
        <f t="shared" si="6"/>
        <v>0.04</v>
      </c>
      <c r="M87" s="205">
        <f t="shared" si="7"/>
        <v>0.48</v>
      </c>
      <c r="N87" s="117">
        <f t="shared" si="42"/>
        <v>0</v>
      </c>
      <c r="O87" s="118">
        <f t="shared" si="8"/>
        <v>0.7</v>
      </c>
      <c r="P87" s="118">
        <f t="shared" si="9"/>
        <v>0.15</v>
      </c>
      <c r="Q87" s="118">
        <f t="shared" si="10"/>
        <v>0.15</v>
      </c>
      <c r="R87" s="118">
        <f t="shared" si="11"/>
        <v>0</v>
      </c>
      <c r="S87" s="205">
        <f t="shared" si="12"/>
        <v>0</v>
      </c>
      <c r="T87" s="117">
        <f t="shared" si="13"/>
        <v>0.34</v>
      </c>
      <c r="U87" s="118">
        <f t="shared" si="14"/>
        <v>0</v>
      </c>
      <c r="V87" s="118">
        <f t="shared" si="15"/>
        <v>0.17</v>
      </c>
      <c r="W87" s="118">
        <f t="shared" si="16"/>
        <v>0.24</v>
      </c>
      <c r="X87" s="118">
        <f t="shared" si="17"/>
        <v>0.05</v>
      </c>
      <c r="Y87" s="205">
        <f t="shared" si="18"/>
        <v>0.2</v>
      </c>
      <c r="Z87" s="235">
        <f t="shared" si="19"/>
        <v>4569766.8938649008</v>
      </c>
      <c r="AA87" s="236">
        <f t="shared" si="20"/>
        <v>0</v>
      </c>
      <c r="AB87" s="236">
        <f t="shared" si="21"/>
        <v>4569766.8938649008</v>
      </c>
      <c r="AC87" s="236">
        <f t="shared" si="22"/>
        <v>2559069.4605643447</v>
      </c>
      <c r="AD87" s="236">
        <f t="shared" si="23"/>
        <v>365581.35150919203</v>
      </c>
      <c r="AE87" s="236">
        <f t="shared" si="24"/>
        <v>0</v>
      </c>
      <c r="AF87" s="242">
        <f t="shared" si="25"/>
        <v>12064184.59980334</v>
      </c>
      <c r="AG87" s="235">
        <f t="shared" si="26"/>
        <v>0</v>
      </c>
      <c r="AH87" s="236">
        <f t="shared" si="27"/>
        <v>0</v>
      </c>
      <c r="AI87" s="236">
        <f t="shared" si="28"/>
        <v>2109123.1817838</v>
      </c>
      <c r="AJ87" s="236">
        <f t="shared" si="29"/>
        <v>421824.63635675999</v>
      </c>
      <c r="AK87" s="236">
        <f t="shared" si="30"/>
        <v>0</v>
      </c>
      <c r="AL87" s="236">
        <f t="shared" si="31"/>
        <v>0</v>
      </c>
      <c r="AM87" s="242">
        <f t="shared" si="32"/>
        <v>2530947.8181405598</v>
      </c>
      <c r="AN87" s="235">
        <f t="shared" si="33"/>
        <v>19521106.782510061</v>
      </c>
      <c r="AO87" s="236">
        <f t="shared" si="34"/>
        <v>0</v>
      </c>
      <c r="AP87" s="236">
        <f t="shared" si="35"/>
        <v>9760553.3912550304</v>
      </c>
      <c r="AQ87" s="236">
        <f t="shared" si="36"/>
        <v>13779604.78765416</v>
      </c>
      <c r="AR87" s="236">
        <f t="shared" si="37"/>
        <v>574150.1994855901</v>
      </c>
      <c r="AS87" s="236">
        <f t="shared" si="38"/>
        <v>0</v>
      </c>
      <c r="AT87" s="242">
        <f t="shared" si="39"/>
        <v>43635415.160904847</v>
      </c>
      <c r="AU87" s="252"/>
      <c r="AV87" s="246">
        <f t="shared" si="40"/>
        <v>58.23054757884875</v>
      </c>
      <c r="AW87" s="130"/>
    </row>
    <row r="88" spans="1:49" ht="14.45" hidden="1" customHeight="1">
      <c r="A88" s="193">
        <f>'Input data'!A81</f>
        <v>1981</v>
      </c>
      <c r="B88" s="208">
        <f>'Input data'!B81</f>
        <v>25.712049999999998</v>
      </c>
      <c r="C88" s="114">
        <f>'Input data'!F81</f>
        <v>0.71479999999999999</v>
      </c>
      <c r="D88" s="114">
        <f>'Input data'!G81</f>
        <v>0.28959999999999997</v>
      </c>
      <c r="E88" s="127"/>
      <c r="F88" s="236"/>
      <c r="G88" s="237">
        <f t="shared" si="2"/>
        <v>400195523.62562501</v>
      </c>
      <c r="H88" s="118">
        <f t="shared" si="41"/>
        <v>0.1</v>
      </c>
      <c r="I88" s="118">
        <f t="shared" si="3"/>
        <v>0</v>
      </c>
      <c r="J88" s="118">
        <f t="shared" si="4"/>
        <v>0.1</v>
      </c>
      <c r="K88" s="118">
        <f t="shared" si="5"/>
        <v>0.28000000000000003</v>
      </c>
      <c r="L88" s="118">
        <f t="shared" si="6"/>
        <v>0.04</v>
      </c>
      <c r="M88" s="205">
        <f t="shared" si="7"/>
        <v>0.48</v>
      </c>
      <c r="N88" s="117">
        <f t="shared" si="42"/>
        <v>0</v>
      </c>
      <c r="O88" s="118">
        <f t="shared" si="8"/>
        <v>0.7</v>
      </c>
      <c r="P88" s="118">
        <f t="shared" si="9"/>
        <v>0.15</v>
      </c>
      <c r="Q88" s="118">
        <f t="shared" si="10"/>
        <v>0.15</v>
      </c>
      <c r="R88" s="118">
        <f t="shared" si="11"/>
        <v>0</v>
      </c>
      <c r="S88" s="205">
        <f t="shared" si="12"/>
        <v>0</v>
      </c>
      <c r="T88" s="117">
        <f t="shared" si="13"/>
        <v>0.34</v>
      </c>
      <c r="U88" s="118">
        <f t="shared" si="14"/>
        <v>0</v>
      </c>
      <c r="V88" s="118">
        <f t="shared" si="15"/>
        <v>0.17</v>
      </c>
      <c r="W88" s="118">
        <f t="shared" si="16"/>
        <v>0.24</v>
      </c>
      <c r="X88" s="118">
        <f t="shared" si="17"/>
        <v>0.05</v>
      </c>
      <c r="Y88" s="205">
        <f t="shared" si="18"/>
        <v>0.2</v>
      </c>
      <c r="Z88" s="235">
        <f t="shared" si="19"/>
        <v>4682287.6264198124</v>
      </c>
      <c r="AA88" s="236">
        <f t="shared" si="20"/>
        <v>0</v>
      </c>
      <c r="AB88" s="236">
        <f t="shared" si="21"/>
        <v>4682287.6264198124</v>
      </c>
      <c r="AC88" s="236">
        <f t="shared" si="22"/>
        <v>2622081.0707950955</v>
      </c>
      <c r="AD88" s="236">
        <f t="shared" si="23"/>
        <v>374583.01011358498</v>
      </c>
      <c r="AE88" s="236">
        <f t="shared" si="24"/>
        <v>0</v>
      </c>
      <c r="AF88" s="242">
        <f t="shared" si="25"/>
        <v>12361239.333748307</v>
      </c>
      <c r="AG88" s="235">
        <f t="shared" si="26"/>
        <v>0</v>
      </c>
      <c r="AH88" s="236">
        <f t="shared" si="27"/>
        <v>0</v>
      </c>
      <c r="AI88" s="236">
        <f t="shared" si="28"/>
        <v>2161055.8275783751</v>
      </c>
      <c r="AJ88" s="236">
        <f t="shared" si="29"/>
        <v>432211.16551567498</v>
      </c>
      <c r="AK88" s="236">
        <f t="shared" si="30"/>
        <v>0</v>
      </c>
      <c r="AL88" s="236">
        <f t="shared" si="31"/>
        <v>0</v>
      </c>
      <c r="AM88" s="242">
        <f t="shared" si="32"/>
        <v>2593266.9930940503</v>
      </c>
      <c r="AN88" s="235">
        <f t="shared" si="33"/>
        <v>20001772.270808738</v>
      </c>
      <c r="AO88" s="236">
        <f t="shared" si="34"/>
        <v>0</v>
      </c>
      <c r="AP88" s="236">
        <f t="shared" si="35"/>
        <v>10000886.135404369</v>
      </c>
      <c r="AQ88" s="236">
        <f t="shared" si="36"/>
        <v>14118898.073512049</v>
      </c>
      <c r="AR88" s="236">
        <f t="shared" si="37"/>
        <v>588287.41972966876</v>
      </c>
      <c r="AS88" s="236">
        <f t="shared" si="38"/>
        <v>0</v>
      </c>
      <c r="AT88" s="242">
        <f t="shared" si="39"/>
        <v>44709843.899454825</v>
      </c>
      <c r="AU88" s="252"/>
      <c r="AV88" s="246">
        <f t="shared" si="40"/>
        <v>59.664350226297188</v>
      </c>
      <c r="AW88" s="130"/>
    </row>
    <row r="89" spans="1:49" ht="14.45" hidden="1" customHeight="1">
      <c r="A89" s="193">
        <f>'Input data'!A82</f>
        <v>1982</v>
      </c>
      <c r="B89" s="208">
        <f>'Input data'!B82</f>
        <v>26.364520000000002</v>
      </c>
      <c r="C89" s="114">
        <f>'Input data'!F82</f>
        <v>0.71479999999999999</v>
      </c>
      <c r="D89" s="114">
        <f>'Input data'!G82</f>
        <v>0.28959999999999997</v>
      </c>
      <c r="E89" s="127"/>
      <c r="F89" s="236"/>
      <c r="G89" s="237">
        <f t="shared" ref="G89:G106" si="43">B89*$C$4*($C$7*$C$11+$C$8*$C$10+$C$7*$C$12)*10^6</f>
        <v>410350901.09650016</v>
      </c>
      <c r="H89" s="118">
        <f t="shared" si="41"/>
        <v>0.1</v>
      </c>
      <c r="I89" s="118">
        <f t="shared" ref="I89:I120" si="44">$D$16</f>
        <v>0</v>
      </c>
      <c r="J89" s="118">
        <f t="shared" ref="J89:J120" si="45">$E$16</f>
        <v>0.1</v>
      </c>
      <c r="K89" s="118">
        <f t="shared" ref="K89:K120" si="46">$F$16</f>
        <v>0.28000000000000003</v>
      </c>
      <c r="L89" s="118">
        <f t="shared" ref="L89:L120" si="47">$G$16</f>
        <v>0.04</v>
      </c>
      <c r="M89" s="205">
        <f t="shared" ref="M89:M120" si="48">$H$16</f>
        <v>0.48</v>
      </c>
      <c r="N89" s="117">
        <f t="shared" si="42"/>
        <v>0</v>
      </c>
      <c r="O89" s="118">
        <f t="shared" ref="O89:O120" si="49">$D$17</f>
        <v>0.7</v>
      </c>
      <c r="P89" s="118">
        <f t="shared" ref="P89:P120" si="50">$E$17</f>
        <v>0.15</v>
      </c>
      <c r="Q89" s="118">
        <f t="shared" ref="Q89:Q120" si="51">$F$17</f>
        <v>0.15</v>
      </c>
      <c r="R89" s="118">
        <f t="shared" ref="R89:R120" si="52">$G$17</f>
        <v>0</v>
      </c>
      <c r="S89" s="205">
        <f t="shared" ref="S89:S120" si="53">$H$17</f>
        <v>0</v>
      </c>
      <c r="T89" s="117">
        <f t="shared" si="13"/>
        <v>0.34</v>
      </c>
      <c r="U89" s="118">
        <f t="shared" ref="U89:U120" si="54">$D$18</f>
        <v>0</v>
      </c>
      <c r="V89" s="118">
        <f t="shared" ref="V89:V120" si="55">$E$18</f>
        <v>0.17</v>
      </c>
      <c r="W89" s="118">
        <f t="shared" ref="W89:W120" si="56">$F$18</f>
        <v>0.24</v>
      </c>
      <c r="X89" s="118">
        <f t="shared" ref="X89:X120" si="57">$G$18</f>
        <v>0.05</v>
      </c>
      <c r="Y89" s="205">
        <f t="shared" ref="Y89:Y120" si="58">$H$18</f>
        <v>0.2</v>
      </c>
      <c r="Z89" s="235">
        <f t="shared" ref="Z89:Z120" si="59">H89*$C$35*G89*$C$10</f>
        <v>4801105.5428290516</v>
      </c>
      <c r="AA89" s="236">
        <f t="shared" ref="AA89:AA120" si="60">I89*$C$36*G89*$C$10</f>
        <v>0</v>
      </c>
      <c r="AB89" s="236">
        <f t="shared" ref="AB89:AB120" si="61">J89*$C$37*G89*$C$10</f>
        <v>4801105.5428290516</v>
      </c>
      <c r="AC89" s="236">
        <f t="shared" ref="AC89:AC120" si="62">K89*$C$40*G89*$C$10</f>
        <v>2688619.1039842698</v>
      </c>
      <c r="AD89" s="236">
        <f t="shared" ref="AD89:AD120" si="63">L89*$C$41*G89*$C$10</f>
        <v>384088.44342632411</v>
      </c>
      <c r="AE89" s="236">
        <f t="shared" ref="AE89:AE120" si="64">M89*$C$42*G89*$C$10</f>
        <v>0</v>
      </c>
      <c r="AF89" s="242">
        <f t="shared" si="25"/>
        <v>12674918.633068698</v>
      </c>
      <c r="AG89" s="235">
        <f t="shared" ref="AG89:AG120" si="65">N89*$C$35*G89*$C$11</f>
        <v>0</v>
      </c>
      <c r="AH89" s="236">
        <f t="shared" ref="AH89:AH120" si="66">O89*$C$36*G89*$C$11</f>
        <v>0</v>
      </c>
      <c r="AI89" s="236">
        <f t="shared" ref="AI89:AI120" si="67">P89*$C$37*G89*$C$11</f>
        <v>2215894.8659211006</v>
      </c>
      <c r="AJ89" s="236">
        <f t="shared" ref="AJ89:AJ120" si="68">Q89*$C$38*G89*$C$11</f>
        <v>443178.97318422014</v>
      </c>
      <c r="AK89" s="236">
        <f t="shared" ref="AK89:AK120" si="69">R89*$C$41*G89*$C$11</f>
        <v>0</v>
      </c>
      <c r="AL89" s="236">
        <f t="shared" ref="AL89:AL120" si="70">S89*$C$42*G89*$C$11</f>
        <v>0</v>
      </c>
      <c r="AM89" s="242">
        <f t="shared" si="32"/>
        <v>2659073.8391053206</v>
      </c>
      <c r="AN89" s="235">
        <f t="shared" ref="AN89:AN120" si="71">T89*$C$35*G89*$C$12</f>
        <v>20509338.036803078</v>
      </c>
      <c r="AO89" s="236">
        <f t="shared" ref="AO89:AO120" si="72">U89*$C$36*G89*$C$12</f>
        <v>0</v>
      </c>
      <c r="AP89" s="236">
        <f t="shared" ref="AP89:AP120" si="73">V89*$C$37*G89*$C$12</f>
        <v>10254669.018401539</v>
      </c>
      <c r="AQ89" s="236">
        <f t="shared" ref="AQ89:AQ120" si="74">W89*$C$39*G89*$C$12</f>
        <v>14477179.790684525</v>
      </c>
      <c r="AR89" s="236">
        <f t="shared" ref="AR89:AR120" si="75">X89*$C$41*G89*$C$12</f>
        <v>603215.82461185521</v>
      </c>
      <c r="AS89" s="236">
        <f t="shared" si="38"/>
        <v>0</v>
      </c>
      <c r="AT89" s="242">
        <f t="shared" si="39"/>
        <v>45844402.670500994</v>
      </c>
      <c r="AU89" s="252"/>
      <c r="AV89" s="246">
        <f t="shared" si="40"/>
        <v>61.178395142675015</v>
      </c>
      <c r="AW89" s="130"/>
    </row>
    <row r="90" spans="1:49" ht="14.45" hidden="1" customHeight="1">
      <c r="A90" s="193">
        <f>'Input data'!A83</f>
        <v>1983</v>
      </c>
      <c r="B90" s="208">
        <f>'Input data'!B83</f>
        <v>27.048839999999998</v>
      </c>
      <c r="C90" s="114">
        <f>'Input data'!F83</f>
        <v>0.71479999999999999</v>
      </c>
      <c r="D90" s="114">
        <f>'Input data'!G83</f>
        <v>0.28959999999999997</v>
      </c>
      <c r="E90" s="127"/>
      <c r="F90" s="236"/>
      <c r="G90" s="237">
        <f t="shared" si="43"/>
        <v>421002008.29049999</v>
      </c>
      <c r="H90" s="118">
        <f t="shared" si="41"/>
        <v>0.1</v>
      </c>
      <c r="I90" s="118">
        <f t="shared" si="44"/>
        <v>0</v>
      </c>
      <c r="J90" s="118">
        <f t="shared" si="45"/>
        <v>0.1</v>
      </c>
      <c r="K90" s="118">
        <f t="shared" si="46"/>
        <v>0.28000000000000003</v>
      </c>
      <c r="L90" s="118">
        <f t="shared" si="47"/>
        <v>0.04</v>
      </c>
      <c r="M90" s="205">
        <f t="shared" si="48"/>
        <v>0.48</v>
      </c>
      <c r="N90" s="117">
        <f t="shared" si="42"/>
        <v>0</v>
      </c>
      <c r="O90" s="118">
        <f t="shared" si="49"/>
        <v>0.7</v>
      </c>
      <c r="P90" s="118">
        <f t="shared" si="50"/>
        <v>0.15</v>
      </c>
      <c r="Q90" s="118">
        <f t="shared" si="51"/>
        <v>0.15</v>
      </c>
      <c r="R90" s="118">
        <f t="shared" si="52"/>
        <v>0</v>
      </c>
      <c r="S90" s="205">
        <f t="shared" si="53"/>
        <v>0</v>
      </c>
      <c r="T90" s="117">
        <f t="shared" si="13"/>
        <v>0.34</v>
      </c>
      <c r="U90" s="118">
        <f t="shared" si="54"/>
        <v>0</v>
      </c>
      <c r="V90" s="118">
        <f t="shared" si="55"/>
        <v>0.17</v>
      </c>
      <c r="W90" s="118">
        <f t="shared" si="56"/>
        <v>0.24</v>
      </c>
      <c r="X90" s="118">
        <f t="shared" si="57"/>
        <v>0.05</v>
      </c>
      <c r="Y90" s="205">
        <f t="shared" si="58"/>
        <v>0.2</v>
      </c>
      <c r="Z90" s="235">
        <f t="shared" si="59"/>
        <v>4925723.4969988493</v>
      </c>
      <c r="AA90" s="236">
        <f t="shared" si="60"/>
        <v>0</v>
      </c>
      <c r="AB90" s="236">
        <f t="shared" si="61"/>
        <v>4925723.4969988493</v>
      </c>
      <c r="AC90" s="236">
        <f t="shared" si="62"/>
        <v>2758405.1583193564</v>
      </c>
      <c r="AD90" s="236">
        <f t="shared" si="63"/>
        <v>394057.87975990796</v>
      </c>
      <c r="AE90" s="236">
        <f t="shared" si="64"/>
        <v>0</v>
      </c>
      <c r="AF90" s="242">
        <f t="shared" si="25"/>
        <v>13003910.032076962</v>
      </c>
      <c r="AG90" s="235">
        <f t="shared" si="65"/>
        <v>0</v>
      </c>
      <c r="AH90" s="236">
        <f t="shared" si="66"/>
        <v>0</v>
      </c>
      <c r="AI90" s="236">
        <f t="shared" si="67"/>
        <v>2273410.8447686997</v>
      </c>
      <c r="AJ90" s="236">
        <f t="shared" si="68"/>
        <v>454682.16895373992</v>
      </c>
      <c r="AK90" s="236">
        <f t="shared" si="69"/>
        <v>0</v>
      </c>
      <c r="AL90" s="236">
        <f t="shared" si="70"/>
        <v>0</v>
      </c>
      <c r="AM90" s="242">
        <f t="shared" si="32"/>
        <v>2728093.0137224398</v>
      </c>
      <c r="AN90" s="235">
        <f t="shared" si="71"/>
        <v>21041680.37435919</v>
      </c>
      <c r="AO90" s="236">
        <f t="shared" si="72"/>
        <v>0</v>
      </c>
      <c r="AP90" s="236">
        <f t="shared" si="73"/>
        <v>10520840.187179595</v>
      </c>
      <c r="AQ90" s="236">
        <f t="shared" si="74"/>
        <v>14852950.852488838</v>
      </c>
      <c r="AR90" s="236">
        <f t="shared" si="75"/>
        <v>618872.952187035</v>
      </c>
      <c r="AS90" s="236">
        <f t="shared" si="38"/>
        <v>0</v>
      </c>
      <c r="AT90" s="242">
        <f t="shared" si="39"/>
        <v>47034344.366214655</v>
      </c>
      <c r="AU90" s="252"/>
      <c r="AV90" s="246">
        <f t="shared" si="40"/>
        <v>62.766347412014056</v>
      </c>
      <c r="AW90" s="130"/>
    </row>
    <row r="91" spans="1:49" ht="14.45" hidden="1" customHeight="1">
      <c r="A91" s="193">
        <f>'Input data'!A84</f>
        <v>1984</v>
      </c>
      <c r="B91" s="208">
        <f>'Input data'!B84</f>
        <v>27.759549999999997</v>
      </c>
      <c r="C91" s="114">
        <f>'Input data'!F84</f>
        <v>0.71479999999999999</v>
      </c>
      <c r="D91" s="114">
        <f>'Input data'!G84</f>
        <v>0.28959999999999997</v>
      </c>
      <c r="E91" s="127"/>
      <c r="F91" s="236"/>
      <c r="G91" s="237">
        <f t="shared" si="43"/>
        <v>432063862.96937501</v>
      </c>
      <c r="H91" s="118">
        <f t="shared" si="41"/>
        <v>0.1</v>
      </c>
      <c r="I91" s="118">
        <f t="shared" si="44"/>
        <v>0</v>
      </c>
      <c r="J91" s="118">
        <f t="shared" si="45"/>
        <v>0.1</v>
      </c>
      <c r="K91" s="118">
        <f t="shared" si="46"/>
        <v>0.28000000000000003</v>
      </c>
      <c r="L91" s="118">
        <f t="shared" si="47"/>
        <v>0.04</v>
      </c>
      <c r="M91" s="205">
        <f t="shared" si="48"/>
        <v>0.48</v>
      </c>
      <c r="N91" s="117">
        <f t="shared" si="42"/>
        <v>0</v>
      </c>
      <c r="O91" s="118">
        <f t="shared" si="49"/>
        <v>0.7</v>
      </c>
      <c r="P91" s="118">
        <f t="shared" si="50"/>
        <v>0.15</v>
      </c>
      <c r="Q91" s="118">
        <f t="shared" si="51"/>
        <v>0.15</v>
      </c>
      <c r="R91" s="118">
        <f t="shared" si="52"/>
        <v>0</v>
      </c>
      <c r="S91" s="205">
        <f t="shared" si="53"/>
        <v>0</v>
      </c>
      <c r="T91" s="117">
        <f t="shared" si="13"/>
        <v>0.34</v>
      </c>
      <c r="U91" s="118">
        <f t="shared" si="54"/>
        <v>0</v>
      </c>
      <c r="V91" s="118">
        <f t="shared" si="55"/>
        <v>0.17</v>
      </c>
      <c r="W91" s="118">
        <f t="shared" si="56"/>
        <v>0.24</v>
      </c>
      <c r="X91" s="118">
        <f t="shared" si="57"/>
        <v>0.05</v>
      </c>
      <c r="Y91" s="205">
        <f t="shared" si="58"/>
        <v>0.2</v>
      </c>
      <c r="Z91" s="235">
        <f t="shared" si="59"/>
        <v>5055147.1967416881</v>
      </c>
      <c r="AA91" s="236">
        <f t="shared" si="60"/>
        <v>0</v>
      </c>
      <c r="AB91" s="236">
        <f t="shared" si="61"/>
        <v>5055147.1967416881</v>
      </c>
      <c r="AC91" s="236">
        <f t="shared" si="62"/>
        <v>2830882.4301753459</v>
      </c>
      <c r="AD91" s="236">
        <f t="shared" si="63"/>
        <v>404411.77573933499</v>
      </c>
      <c r="AE91" s="236">
        <f t="shared" si="64"/>
        <v>0</v>
      </c>
      <c r="AF91" s="242">
        <f t="shared" si="25"/>
        <v>13345588.599398056</v>
      </c>
      <c r="AG91" s="235">
        <f t="shared" si="65"/>
        <v>0</v>
      </c>
      <c r="AH91" s="236">
        <f t="shared" si="66"/>
        <v>0</v>
      </c>
      <c r="AI91" s="236">
        <f t="shared" si="67"/>
        <v>2333144.860034625</v>
      </c>
      <c r="AJ91" s="236">
        <f t="shared" si="68"/>
        <v>466628.97200692492</v>
      </c>
      <c r="AK91" s="236">
        <f t="shared" si="69"/>
        <v>0</v>
      </c>
      <c r="AL91" s="236">
        <f t="shared" si="70"/>
        <v>0</v>
      </c>
      <c r="AM91" s="242">
        <f t="shared" si="32"/>
        <v>2799773.83204155</v>
      </c>
      <c r="AN91" s="235">
        <f t="shared" si="71"/>
        <v>21594551.871209364</v>
      </c>
      <c r="AO91" s="236">
        <f t="shared" si="72"/>
        <v>0</v>
      </c>
      <c r="AP91" s="236">
        <f t="shared" si="73"/>
        <v>10797275.935604682</v>
      </c>
      <c r="AQ91" s="236">
        <f t="shared" si="74"/>
        <v>15243213.085559549</v>
      </c>
      <c r="AR91" s="236">
        <f t="shared" si="75"/>
        <v>635133.87856498128</v>
      </c>
      <c r="AS91" s="236">
        <f t="shared" si="38"/>
        <v>0</v>
      </c>
      <c r="AT91" s="242">
        <f t="shared" si="39"/>
        <v>48270174.770938575</v>
      </c>
      <c r="AU91" s="252"/>
      <c r="AV91" s="246">
        <f t="shared" si="40"/>
        <v>64.415537202378189</v>
      </c>
      <c r="AW91" s="130"/>
    </row>
    <row r="92" spans="1:49" ht="14.45" hidden="1" customHeight="1">
      <c r="A92" s="193">
        <f>'Input data'!A85</f>
        <v>1985</v>
      </c>
      <c r="B92" s="208">
        <f>'Input data'!B85</f>
        <v>28.490279999999998</v>
      </c>
      <c r="C92" s="114">
        <f>'Input data'!F85</f>
        <v>0.71479999999999999</v>
      </c>
      <c r="D92" s="114">
        <f>'Input data'!G85</f>
        <v>0.28959999999999997</v>
      </c>
      <c r="E92" s="127"/>
      <c r="F92" s="236"/>
      <c r="G92" s="237">
        <f t="shared" si="43"/>
        <v>443437319.18849999</v>
      </c>
      <c r="H92" s="118">
        <f t="shared" si="41"/>
        <v>0.1</v>
      </c>
      <c r="I92" s="118">
        <f t="shared" si="44"/>
        <v>0</v>
      </c>
      <c r="J92" s="118">
        <f t="shared" si="45"/>
        <v>0.1</v>
      </c>
      <c r="K92" s="118">
        <f t="shared" si="46"/>
        <v>0.28000000000000003</v>
      </c>
      <c r="L92" s="118">
        <f t="shared" si="47"/>
        <v>0.04</v>
      </c>
      <c r="M92" s="205">
        <f t="shared" si="48"/>
        <v>0.48</v>
      </c>
      <c r="N92" s="117">
        <f t="shared" si="42"/>
        <v>0</v>
      </c>
      <c r="O92" s="118">
        <f t="shared" si="49"/>
        <v>0.7</v>
      </c>
      <c r="P92" s="118">
        <f t="shared" si="50"/>
        <v>0.15</v>
      </c>
      <c r="Q92" s="118">
        <f t="shared" si="51"/>
        <v>0.15</v>
      </c>
      <c r="R92" s="118">
        <f t="shared" si="52"/>
        <v>0</v>
      </c>
      <c r="S92" s="205">
        <f t="shared" si="53"/>
        <v>0</v>
      </c>
      <c r="T92" s="117">
        <f t="shared" si="13"/>
        <v>0.34</v>
      </c>
      <c r="U92" s="118">
        <f t="shared" si="54"/>
        <v>0</v>
      </c>
      <c r="V92" s="118">
        <f t="shared" si="55"/>
        <v>0.17</v>
      </c>
      <c r="W92" s="118">
        <f t="shared" si="56"/>
        <v>0.24</v>
      </c>
      <c r="X92" s="118">
        <f t="shared" si="57"/>
        <v>0.05</v>
      </c>
      <c r="Y92" s="205">
        <f t="shared" si="58"/>
        <v>0.2</v>
      </c>
      <c r="Z92" s="235">
        <f t="shared" si="59"/>
        <v>5188216.6345054498</v>
      </c>
      <c r="AA92" s="236">
        <f t="shared" si="60"/>
        <v>0</v>
      </c>
      <c r="AB92" s="236">
        <f t="shared" si="61"/>
        <v>5188216.6345054498</v>
      </c>
      <c r="AC92" s="236">
        <f t="shared" si="62"/>
        <v>2905401.3153230525</v>
      </c>
      <c r="AD92" s="236">
        <f t="shared" si="63"/>
        <v>415057.33076043596</v>
      </c>
      <c r="AE92" s="236">
        <f t="shared" si="64"/>
        <v>0</v>
      </c>
      <c r="AF92" s="242">
        <f t="shared" si="25"/>
        <v>13696891.915094389</v>
      </c>
      <c r="AG92" s="235">
        <f t="shared" si="65"/>
        <v>0</v>
      </c>
      <c r="AH92" s="236">
        <f t="shared" si="66"/>
        <v>0</v>
      </c>
      <c r="AI92" s="236">
        <f t="shared" si="67"/>
        <v>2394561.5236178995</v>
      </c>
      <c r="AJ92" s="236">
        <f t="shared" si="68"/>
        <v>478912.30472357996</v>
      </c>
      <c r="AK92" s="236">
        <f t="shared" si="69"/>
        <v>0</v>
      </c>
      <c r="AL92" s="236">
        <f t="shared" si="70"/>
        <v>0</v>
      </c>
      <c r="AM92" s="242">
        <f t="shared" si="32"/>
        <v>2873473.8283414794</v>
      </c>
      <c r="AN92" s="235">
        <f t="shared" si="71"/>
        <v>22162997.213041231</v>
      </c>
      <c r="AO92" s="236">
        <f t="shared" si="72"/>
        <v>0</v>
      </c>
      <c r="AP92" s="236">
        <f t="shared" si="73"/>
        <v>11081498.606520616</v>
      </c>
      <c r="AQ92" s="236">
        <f t="shared" si="74"/>
        <v>15644468.620970279</v>
      </c>
      <c r="AR92" s="236">
        <f t="shared" si="75"/>
        <v>651852.859207095</v>
      </c>
      <c r="AS92" s="236">
        <f t="shared" si="38"/>
        <v>0</v>
      </c>
      <c r="AT92" s="242">
        <f t="shared" si="39"/>
        <v>49540817.299739219</v>
      </c>
      <c r="AU92" s="252"/>
      <c r="AV92" s="246">
        <f t="shared" si="40"/>
        <v>66.111183043175089</v>
      </c>
      <c r="AW92" s="130"/>
    </row>
    <row r="93" spans="1:49" ht="14.45" hidden="1" customHeight="1">
      <c r="A93" s="193">
        <f>'Input data'!A86</f>
        <v>1986</v>
      </c>
      <c r="B93" s="208">
        <f>'Input data'!B86</f>
        <v>29.230110000000003</v>
      </c>
      <c r="C93" s="114">
        <f>'Input data'!F86</f>
        <v>0.71479999999999999</v>
      </c>
      <c r="D93" s="114">
        <f>'Input data'!G86</f>
        <v>0.28959999999999997</v>
      </c>
      <c r="E93" s="127"/>
      <c r="F93" s="236"/>
      <c r="G93" s="237">
        <f t="shared" si="43"/>
        <v>454952412.47137511</v>
      </c>
      <c r="H93" s="118">
        <f t="shared" si="41"/>
        <v>0.1</v>
      </c>
      <c r="I93" s="118">
        <f t="shared" si="44"/>
        <v>0</v>
      </c>
      <c r="J93" s="118">
        <f t="shared" si="45"/>
        <v>0.1</v>
      </c>
      <c r="K93" s="118">
        <f t="shared" si="46"/>
        <v>0.28000000000000003</v>
      </c>
      <c r="L93" s="118">
        <f t="shared" si="47"/>
        <v>0.04</v>
      </c>
      <c r="M93" s="205">
        <f t="shared" si="48"/>
        <v>0.48</v>
      </c>
      <c r="N93" s="117">
        <f t="shared" si="42"/>
        <v>0</v>
      </c>
      <c r="O93" s="118">
        <f t="shared" si="49"/>
        <v>0.7</v>
      </c>
      <c r="P93" s="118">
        <f t="shared" si="50"/>
        <v>0.15</v>
      </c>
      <c r="Q93" s="118">
        <f t="shared" si="51"/>
        <v>0.15</v>
      </c>
      <c r="R93" s="118">
        <f t="shared" si="52"/>
        <v>0</v>
      </c>
      <c r="S93" s="205">
        <f t="shared" si="53"/>
        <v>0</v>
      </c>
      <c r="T93" s="117">
        <f t="shared" si="13"/>
        <v>0.34</v>
      </c>
      <c r="U93" s="118">
        <f t="shared" si="54"/>
        <v>0</v>
      </c>
      <c r="V93" s="118">
        <f t="shared" si="55"/>
        <v>0.17</v>
      </c>
      <c r="W93" s="118">
        <f t="shared" si="56"/>
        <v>0.24</v>
      </c>
      <c r="X93" s="118">
        <f t="shared" si="57"/>
        <v>0.05</v>
      </c>
      <c r="Y93" s="205">
        <f t="shared" si="58"/>
        <v>0.2</v>
      </c>
      <c r="Z93" s="235">
        <f t="shared" si="59"/>
        <v>5322943.2259150892</v>
      </c>
      <c r="AA93" s="236">
        <f t="shared" si="60"/>
        <v>0</v>
      </c>
      <c r="AB93" s="236">
        <f t="shared" si="61"/>
        <v>5322943.2259150892</v>
      </c>
      <c r="AC93" s="236">
        <f t="shared" si="62"/>
        <v>2980848.2065124502</v>
      </c>
      <c r="AD93" s="236">
        <f t="shared" si="63"/>
        <v>425835.45807320706</v>
      </c>
      <c r="AE93" s="236">
        <f t="shared" si="64"/>
        <v>0</v>
      </c>
      <c r="AF93" s="242">
        <f t="shared" si="25"/>
        <v>14052570.116415836</v>
      </c>
      <c r="AG93" s="235">
        <f t="shared" si="65"/>
        <v>0</v>
      </c>
      <c r="AH93" s="236">
        <f t="shared" si="66"/>
        <v>0</v>
      </c>
      <c r="AI93" s="236">
        <f t="shared" si="67"/>
        <v>2456743.0273454254</v>
      </c>
      <c r="AJ93" s="236">
        <f t="shared" si="68"/>
        <v>491348.60546908504</v>
      </c>
      <c r="AK93" s="236">
        <f t="shared" si="69"/>
        <v>0</v>
      </c>
      <c r="AL93" s="236">
        <f t="shared" si="70"/>
        <v>0</v>
      </c>
      <c r="AM93" s="242">
        <f t="shared" si="32"/>
        <v>2948091.6328145107</v>
      </c>
      <c r="AN93" s="235">
        <f t="shared" si="71"/>
        <v>22738521.575319327</v>
      </c>
      <c r="AO93" s="236">
        <f t="shared" si="72"/>
        <v>0</v>
      </c>
      <c r="AP93" s="236">
        <f t="shared" si="73"/>
        <v>11369260.787659664</v>
      </c>
      <c r="AQ93" s="236">
        <f t="shared" si="74"/>
        <v>16050721.111990113</v>
      </c>
      <c r="AR93" s="236">
        <f t="shared" si="75"/>
        <v>668780.04633292137</v>
      </c>
      <c r="AS93" s="236">
        <f t="shared" si="38"/>
        <v>0</v>
      </c>
      <c r="AT93" s="242">
        <f t="shared" si="39"/>
        <v>50827283.521302022</v>
      </c>
      <c r="AU93" s="252"/>
      <c r="AV93" s="246">
        <f t="shared" si="40"/>
        <v>67.827945270532368</v>
      </c>
      <c r="AW93" s="130"/>
    </row>
    <row r="94" spans="1:49" ht="14.45" hidden="1" customHeight="1">
      <c r="A94" s="193">
        <f>'Input data'!A87</f>
        <v>1987</v>
      </c>
      <c r="B94" s="208">
        <f>'Input data'!B87</f>
        <v>29.96903</v>
      </c>
      <c r="C94" s="114">
        <f>'Input data'!F87</f>
        <v>0.71479999999999999</v>
      </c>
      <c r="D94" s="114">
        <f>'Input data'!G87</f>
        <v>0.28959999999999997</v>
      </c>
      <c r="E94" s="127"/>
      <c r="F94" s="236"/>
      <c r="G94" s="237">
        <f t="shared" si="43"/>
        <v>466453342.04787511</v>
      </c>
      <c r="H94" s="118">
        <f t="shared" si="41"/>
        <v>0.1</v>
      </c>
      <c r="I94" s="118">
        <f t="shared" si="44"/>
        <v>0</v>
      </c>
      <c r="J94" s="118">
        <f t="shared" si="45"/>
        <v>0.1</v>
      </c>
      <c r="K94" s="118">
        <f t="shared" si="46"/>
        <v>0.28000000000000003</v>
      </c>
      <c r="L94" s="118">
        <f t="shared" si="47"/>
        <v>0.04</v>
      </c>
      <c r="M94" s="205">
        <f t="shared" si="48"/>
        <v>0.48</v>
      </c>
      <c r="N94" s="117">
        <f t="shared" si="42"/>
        <v>0</v>
      </c>
      <c r="O94" s="118">
        <f t="shared" si="49"/>
        <v>0.7</v>
      </c>
      <c r="P94" s="118">
        <f t="shared" si="50"/>
        <v>0.15</v>
      </c>
      <c r="Q94" s="118">
        <f t="shared" si="51"/>
        <v>0.15</v>
      </c>
      <c r="R94" s="118">
        <f t="shared" si="52"/>
        <v>0</v>
      </c>
      <c r="S94" s="205">
        <f t="shared" si="53"/>
        <v>0</v>
      </c>
      <c r="T94" s="117">
        <f t="shared" si="13"/>
        <v>0.34</v>
      </c>
      <c r="U94" s="118">
        <f t="shared" si="54"/>
        <v>0</v>
      </c>
      <c r="V94" s="118">
        <f t="shared" si="55"/>
        <v>0.17</v>
      </c>
      <c r="W94" s="118">
        <f t="shared" si="56"/>
        <v>0.24</v>
      </c>
      <c r="X94" s="118">
        <f t="shared" si="57"/>
        <v>0.05</v>
      </c>
      <c r="Y94" s="205">
        <f t="shared" si="58"/>
        <v>0.2</v>
      </c>
      <c r="Z94" s="235">
        <f t="shared" si="59"/>
        <v>5457504.1019601384</v>
      </c>
      <c r="AA94" s="236">
        <f t="shared" si="60"/>
        <v>0</v>
      </c>
      <c r="AB94" s="236">
        <f t="shared" si="61"/>
        <v>5457504.1019601384</v>
      </c>
      <c r="AC94" s="236">
        <f t="shared" si="62"/>
        <v>3056202.2970976783</v>
      </c>
      <c r="AD94" s="236">
        <f t="shared" si="63"/>
        <v>436600.32815681107</v>
      </c>
      <c r="AE94" s="236">
        <f t="shared" si="64"/>
        <v>0</v>
      </c>
      <c r="AF94" s="242">
        <f t="shared" si="25"/>
        <v>14407810.829174764</v>
      </c>
      <c r="AG94" s="235">
        <f t="shared" si="65"/>
        <v>0</v>
      </c>
      <c r="AH94" s="236">
        <f t="shared" si="66"/>
        <v>0</v>
      </c>
      <c r="AI94" s="236">
        <f t="shared" si="67"/>
        <v>2518848.0470585255</v>
      </c>
      <c r="AJ94" s="236">
        <f t="shared" si="68"/>
        <v>503769.60941170499</v>
      </c>
      <c r="AK94" s="236">
        <f t="shared" si="69"/>
        <v>0</v>
      </c>
      <c r="AL94" s="236">
        <f t="shared" si="70"/>
        <v>0</v>
      </c>
      <c r="AM94" s="242">
        <f t="shared" si="32"/>
        <v>3022617.6564702303</v>
      </c>
      <c r="AN94" s="235">
        <f t="shared" si="71"/>
        <v>23313338.0355528</v>
      </c>
      <c r="AO94" s="236">
        <f t="shared" si="72"/>
        <v>0</v>
      </c>
      <c r="AP94" s="236">
        <f t="shared" si="73"/>
        <v>11656669.0177764</v>
      </c>
      <c r="AQ94" s="236">
        <f t="shared" si="74"/>
        <v>16456473.907449031</v>
      </c>
      <c r="AR94" s="236">
        <f t="shared" si="75"/>
        <v>685686.41281037638</v>
      </c>
      <c r="AS94" s="236">
        <f t="shared" si="38"/>
        <v>0</v>
      </c>
      <c r="AT94" s="242">
        <f t="shared" si="39"/>
        <v>52112167.373588607</v>
      </c>
      <c r="AU94" s="252"/>
      <c r="AV94" s="246">
        <f t="shared" si="40"/>
        <v>69.5425958592336</v>
      </c>
      <c r="AW94" s="130"/>
    </row>
    <row r="95" spans="1:49" ht="14.45" hidden="1" customHeight="1">
      <c r="A95" s="193">
        <f>'Input data'!A88</f>
        <v>1988</v>
      </c>
      <c r="B95" s="208">
        <f>'Input data'!B88</f>
        <v>30.692480000000003</v>
      </c>
      <c r="C95" s="114">
        <f>'Input data'!F88</f>
        <v>0.71479999999999999</v>
      </c>
      <c r="D95" s="114">
        <f>'Input data'!G88</f>
        <v>0.28959999999999997</v>
      </c>
      <c r="E95" s="127"/>
      <c r="F95" s="236"/>
      <c r="G95" s="237">
        <f t="shared" si="43"/>
        <v>477713488.61600012</v>
      </c>
      <c r="H95" s="118">
        <f t="shared" si="41"/>
        <v>0.1</v>
      </c>
      <c r="I95" s="118">
        <f t="shared" si="44"/>
        <v>0</v>
      </c>
      <c r="J95" s="118">
        <f t="shared" si="45"/>
        <v>0.1</v>
      </c>
      <c r="K95" s="118">
        <f t="shared" si="46"/>
        <v>0.28000000000000003</v>
      </c>
      <c r="L95" s="118">
        <f t="shared" si="47"/>
        <v>0.04</v>
      </c>
      <c r="M95" s="205">
        <f t="shared" si="48"/>
        <v>0.48</v>
      </c>
      <c r="N95" s="117">
        <f t="shared" si="42"/>
        <v>0</v>
      </c>
      <c r="O95" s="118">
        <f t="shared" si="49"/>
        <v>0.7</v>
      </c>
      <c r="P95" s="118">
        <f t="shared" si="50"/>
        <v>0.15</v>
      </c>
      <c r="Q95" s="118">
        <f t="shared" si="51"/>
        <v>0.15</v>
      </c>
      <c r="R95" s="118">
        <f t="shared" si="52"/>
        <v>0</v>
      </c>
      <c r="S95" s="205">
        <f t="shared" si="53"/>
        <v>0</v>
      </c>
      <c r="T95" s="117">
        <f t="shared" si="13"/>
        <v>0.34</v>
      </c>
      <c r="U95" s="118">
        <f t="shared" si="54"/>
        <v>0</v>
      </c>
      <c r="V95" s="118">
        <f t="shared" si="55"/>
        <v>0.17</v>
      </c>
      <c r="W95" s="118">
        <f t="shared" si="56"/>
        <v>0.24</v>
      </c>
      <c r="X95" s="118">
        <f t="shared" si="57"/>
        <v>0.05</v>
      </c>
      <c r="Y95" s="205">
        <f t="shared" si="58"/>
        <v>0.2</v>
      </c>
      <c r="Z95" s="235">
        <f t="shared" si="59"/>
        <v>5589247.8168072011</v>
      </c>
      <c r="AA95" s="236">
        <f t="shared" si="60"/>
        <v>0</v>
      </c>
      <c r="AB95" s="236">
        <f t="shared" si="61"/>
        <v>5589247.8168072011</v>
      </c>
      <c r="AC95" s="236">
        <f t="shared" si="62"/>
        <v>3129978.7774120332</v>
      </c>
      <c r="AD95" s="236">
        <f t="shared" si="63"/>
        <v>447139.82534457609</v>
      </c>
      <c r="AE95" s="236">
        <f t="shared" si="64"/>
        <v>0</v>
      </c>
      <c r="AF95" s="242">
        <f t="shared" si="25"/>
        <v>14755614.236371011</v>
      </c>
      <c r="AG95" s="235">
        <f t="shared" si="65"/>
        <v>0</v>
      </c>
      <c r="AH95" s="236">
        <f t="shared" si="66"/>
        <v>0</v>
      </c>
      <c r="AI95" s="236">
        <f t="shared" si="67"/>
        <v>2579652.8385264007</v>
      </c>
      <c r="AJ95" s="236">
        <f t="shared" si="68"/>
        <v>515930.56770528003</v>
      </c>
      <c r="AK95" s="236">
        <f t="shared" si="69"/>
        <v>0</v>
      </c>
      <c r="AL95" s="236">
        <f t="shared" si="70"/>
        <v>0</v>
      </c>
      <c r="AM95" s="242">
        <f t="shared" si="32"/>
        <v>3095583.4062316809</v>
      </c>
      <c r="AN95" s="235">
        <f t="shared" si="71"/>
        <v>23876120.161027685</v>
      </c>
      <c r="AO95" s="236">
        <f t="shared" si="72"/>
        <v>0</v>
      </c>
      <c r="AP95" s="236">
        <f t="shared" si="73"/>
        <v>11938060.080513842</v>
      </c>
      <c r="AQ95" s="236">
        <f t="shared" si="74"/>
        <v>16853731.878372479</v>
      </c>
      <c r="AR95" s="236">
        <f t="shared" si="75"/>
        <v>702238.82826552028</v>
      </c>
      <c r="AS95" s="236">
        <f t="shared" si="38"/>
        <v>0</v>
      </c>
      <c r="AT95" s="242">
        <f t="shared" si="39"/>
        <v>53370150.948179528</v>
      </c>
      <c r="AU95" s="252"/>
      <c r="AV95" s="246">
        <f t="shared" si="40"/>
        <v>71.221348590782227</v>
      </c>
      <c r="AW95" s="130"/>
    </row>
    <row r="96" spans="1:49" ht="14.45" hidden="1" customHeight="1">
      <c r="A96" s="193">
        <f>'Input data'!A89</f>
        <v>1989</v>
      </c>
      <c r="B96" s="208">
        <f>'Input data'!B89</f>
        <v>31.386810000000001</v>
      </c>
      <c r="C96" s="114">
        <f>'Input data'!F89</f>
        <v>0.71479999999999999</v>
      </c>
      <c r="D96" s="114">
        <f>'Input data'!G89</f>
        <v>0.28959999999999997</v>
      </c>
      <c r="E96" s="127"/>
      <c r="F96" s="236"/>
      <c r="G96" s="237">
        <f t="shared" si="43"/>
        <v>488520396.58012509</v>
      </c>
      <c r="H96" s="118">
        <f t="shared" si="41"/>
        <v>0.1</v>
      </c>
      <c r="I96" s="118">
        <f t="shared" si="44"/>
        <v>0</v>
      </c>
      <c r="J96" s="118">
        <f t="shared" si="45"/>
        <v>0.1</v>
      </c>
      <c r="K96" s="118">
        <f t="shared" si="46"/>
        <v>0.28000000000000003</v>
      </c>
      <c r="L96" s="118">
        <f t="shared" si="47"/>
        <v>0.04</v>
      </c>
      <c r="M96" s="205">
        <f t="shared" si="48"/>
        <v>0.48</v>
      </c>
      <c r="N96" s="117">
        <f t="shared" si="42"/>
        <v>0</v>
      </c>
      <c r="O96" s="118">
        <f t="shared" si="49"/>
        <v>0.7</v>
      </c>
      <c r="P96" s="118">
        <f t="shared" si="50"/>
        <v>0.15</v>
      </c>
      <c r="Q96" s="118">
        <f t="shared" si="51"/>
        <v>0.15</v>
      </c>
      <c r="R96" s="118">
        <f t="shared" si="52"/>
        <v>0</v>
      </c>
      <c r="S96" s="205">
        <f t="shared" si="53"/>
        <v>0</v>
      </c>
      <c r="T96" s="117">
        <f t="shared" si="13"/>
        <v>0.34</v>
      </c>
      <c r="U96" s="118">
        <f t="shared" si="54"/>
        <v>0</v>
      </c>
      <c r="V96" s="118">
        <f t="shared" si="55"/>
        <v>0.17</v>
      </c>
      <c r="W96" s="118">
        <f t="shared" si="56"/>
        <v>0.24</v>
      </c>
      <c r="X96" s="118">
        <f t="shared" si="57"/>
        <v>0.05</v>
      </c>
      <c r="Y96" s="205">
        <f t="shared" si="58"/>
        <v>0.2</v>
      </c>
      <c r="Z96" s="235">
        <f t="shared" si="59"/>
        <v>5715688.6399874641</v>
      </c>
      <c r="AA96" s="236">
        <f t="shared" si="60"/>
        <v>0</v>
      </c>
      <c r="AB96" s="236">
        <f t="shared" si="61"/>
        <v>5715688.6399874641</v>
      </c>
      <c r="AC96" s="236">
        <f t="shared" si="62"/>
        <v>3200785.6383929802</v>
      </c>
      <c r="AD96" s="236">
        <f t="shared" si="63"/>
        <v>457255.09119899711</v>
      </c>
      <c r="AE96" s="236">
        <f t="shared" si="64"/>
        <v>0</v>
      </c>
      <c r="AF96" s="242">
        <f t="shared" si="25"/>
        <v>15089418.009566905</v>
      </c>
      <c r="AG96" s="235">
        <f t="shared" si="65"/>
        <v>0</v>
      </c>
      <c r="AH96" s="236">
        <f t="shared" si="66"/>
        <v>0</v>
      </c>
      <c r="AI96" s="236">
        <f t="shared" si="67"/>
        <v>2638010.1415326754</v>
      </c>
      <c r="AJ96" s="236">
        <f t="shared" si="68"/>
        <v>527602.0283065351</v>
      </c>
      <c r="AK96" s="236">
        <f t="shared" si="69"/>
        <v>0</v>
      </c>
      <c r="AL96" s="236">
        <f t="shared" si="70"/>
        <v>0</v>
      </c>
      <c r="AM96" s="242">
        <f t="shared" si="32"/>
        <v>3165612.1698392103</v>
      </c>
      <c r="AN96" s="235">
        <f t="shared" si="71"/>
        <v>24416249.421074651</v>
      </c>
      <c r="AO96" s="236">
        <f t="shared" si="72"/>
        <v>0</v>
      </c>
      <c r="AP96" s="236">
        <f t="shared" si="73"/>
        <v>12208124.710537326</v>
      </c>
      <c r="AQ96" s="236">
        <f t="shared" si="74"/>
        <v>17234999.591346812</v>
      </c>
      <c r="AR96" s="236">
        <f t="shared" si="75"/>
        <v>718124.98297278397</v>
      </c>
      <c r="AS96" s="236">
        <f t="shared" si="38"/>
        <v>0</v>
      </c>
      <c r="AT96" s="242">
        <f t="shared" si="39"/>
        <v>54577498.705931574</v>
      </c>
      <c r="AU96" s="252"/>
      <c r="AV96" s="246">
        <f t="shared" si="40"/>
        <v>72.83252888533768</v>
      </c>
      <c r="AW96" s="130"/>
    </row>
    <row r="97" spans="1:49" ht="14.45" hidden="1" customHeight="1">
      <c r="A97" s="193">
        <f>'Input data'!A90</f>
        <v>1990</v>
      </c>
      <c r="B97" s="208">
        <f>'Input data'!B90</f>
        <v>32.032000000000004</v>
      </c>
      <c r="C97" s="114">
        <f>'Input data'!F90</f>
        <v>0.71479999999999999</v>
      </c>
      <c r="D97" s="114">
        <f>'Input data'!G90</f>
        <v>0.28959999999999997</v>
      </c>
      <c r="E97" s="127"/>
      <c r="F97" s="236"/>
      <c r="G97" s="237">
        <f t="shared" si="43"/>
        <v>498562464.4000001</v>
      </c>
      <c r="H97" s="118">
        <f t="shared" si="41"/>
        <v>0.1</v>
      </c>
      <c r="I97" s="118">
        <f t="shared" si="44"/>
        <v>0</v>
      </c>
      <c r="J97" s="118">
        <f t="shared" si="45"/>
        <v>0.1</v>
      </c>
      <c r="K97" s="118">
        <f t="shared" si="46"/>
        <v>0.28000000000000003</v>
      </c>
      <c r="L97" s="118">
        <f t="shared" si="47"/>
        <v>0.04</v>
      </c>
      <c r="M97" s="205">
        <f t="shared" si="48"/>
        <v>0.48</v>
      </c>
      <c r="N97" s="117">
        <f t="shared" si="42"/>
        <v>0</v>
      </c>
      <c r="O97" s="118">
        <f t="shared" si="49"/>
        <v>0.7</v>
      </c>
      <c r="P97" s="118">
        <f t="shared" si="50"/>
        <v>0.15</v>
      </c>
      <c r="Q97" s="118">
        <f t="shared" si="51"/>
        <v>0.15</v>
      </c>
      <c r="R97" s="118">
        <f t="shared" si="52"/>
        <v>0</v>
      </c>
      <c r="S97" s="205">
        <f t="shared" si="53"/>
        <v>0</v>
      </c>
      <c r="T97" s="117">
        <f t="shared" si="13"/>
        <v>0.34</v>
      </c>
      <c r="U97" s="118">
        <f t="shared" si="54"/>
        <v>0</v>
      </c>
      <c r="V97" s="118">
        <f t="shared" si="55"/>
        <v>0.17</v>
      </c>
      <c r="W97" s="118">
        <f t="shared" si="56"/>
        <v>0.24</v>
      </c>
      <c r="X97" s="118">
        <f t="shared" si="57"/>
        <v>0.05</v>
      </c>
      <c r="Y97" s="205">
        <f t="shared" si="58"/>
        <v>0.2</v>
      </c>
      <c r="Z97" s="235">
        <f t="shared" si="59"/>
        <v>5833180.8334800005</v>
      </c>
      <c r="AA97" s="236">
        <f t="shared" si="60"/>
        <v>0</v>
      </c>
      <c r="AB97" s="236">
        <f t="shared" si="61"/>
        <v>5833180.8334800005</v>
      </c>
      <c r="AC97" s="236">
        <f t="shared" si="62"/>
        <v>3266581.2667488013</v>
      </c>
      <c r="AD97" s="236">
        <f t="shared" si="63"/>
        <v>466654.46667840006</v>
      </c>
      <c r="AE97" s="236">
        <f t="shared" si="64"/>
        <v>0</v>
      </c>
      <c r="AF97" s="242">
        <f t="shared" si="25"/>
        <v>15399597.400387201</v>
      </c>
      <c r="AG97" s="235">
        <f t="shared" si="65"/>
        <v>0</v>
      </c>
      <c r="AH97" s="236">
        <f t="shared" si="66"/>
        <v>0</v>
      </c>
      <c r="AI97" s="236">
        <f t="shared" si="67"/>
        <v>2692237.3077600002</v>
      </c>
      <c r="AJ97" s="236">
        <f t="shared" si="68"/>
        <v>538447.46155200002</v>
      </c>
      <c r="AK97" s="236">
        <f t="shared" si="69"/>
        <v>0</v>
      </c>
      <c r="AL97" s="236">
        <f t="shared" si="70"/>
        <v>0</v>
      </c>
      <c r="AM97" s="242">
        <f t="shared" si="32"/>
        <v>3230684.7693120004</v>
      </c>
      <c r="AN97" s="235">
        <f t="shared" si="71"/>
        <v>24918151.970712006</v>
      </c>
      <c r="AO97" s="236">
        <f t="shared" si="72"/>
        <v>0</v>
      </c>
      <c r="AP97" s="236">
        <f t="shared" si="73"/>
        <v>12459075.985356003</v>
      </c>
      <c r="AQ97" s="236">
        <f t="shared" si="74"/>
        <v>17589283.744032003</v>
      </c>
      <c r="AR97" s="236">
        <f t="shared" si="75"/>
        <v>732886.82266800012</v>
      </c>
      <c r="AS97" s="236">
        <f t="shared" si="38"/>
        <v>0</v>
      </c>
      <c r="AT97" s="242">
        <f t="shared" si="39"/>
        <v>55699398.522768013</v>
      </c>
      <c r="AU97" s="252"/>
      <c r="AV97" s="246">
        <f t="shared" si="40"/>
        <v>74.329680692467207</v>
      </c>
      <c r="AW97" s="130"/>
    </row>
    <row r="98" spans="1:49" ht="14.45" hidden="1" customHeight="1">
      <c r="A98" s="193">
        <f>'Input data'!A91</f>
        <v>1991</v>
      </c>
      <c r="B98" s="208">
        <f>'Input data'!B91</f>
        <v>32.69903</v>
      </c>
      <c r="C98" s="114">
        <f>'Input data'!F91</f>
        <v>0.71479999999999999</v>
      </c>
      <c r="D98" s="114">
        <f>'Input data'!G91</f>
        <v>0.28959999999999997</v>
      </c>
      <c r="E98" s="127"/>
      <c r="F98" s="236"/>
      <c r="G98" s="237">
        <f t="shared" si="43"/>
        <v>508944461.17287511</v>
      </c>
      <c r="H98" s="118">
        <f t="shared" si="41"/>
        <v>0.1</v>
      </c>
      <c r="I98" s="118">
        <f t="shared" si="44"/>
        <v>0</v>
      </c>
      <c r="J98" s="118">
        <f t="shared" si="45"/>
        <v>0.1</v>
      </c>
      <c r="K98" s="118">
        <f t="shared" si="46"/>
        <v>0.28000000000000003</v>
      </c>
      <c r="L98" s="118">
        <f t="shared" si="47"/>
        <v>0.04</v>
      </c>
      <c r="M98" s="205">
        <f t="shared" si="48"/>
        <v>0.48</v>
      </c>
      <c r="N98" s="117">
        <f t="shared" si="42"/>
        <v>0</v>
      </c>
      <c r="O98" s="118">
        <f t="shared" si="49"/>
        <v>0.7</v>
      </c>
      <c r="P98" s="118">
        <f t="shared" si="50"/>
        <v>0.15</v>
      </c>
      <c r="Q98" s="118">
        <f t="shared" si="51"/>
        <v>0.15</v>
      </c>
      <c r="R98" s="118">
        <f t="shared" si="52"/>
        <v>0</v>
      </c>
      <c r="S98" s="205">
        <f t="shared" si="53"/>
        <v>0</v>
      </c>
      <c r="T98" s="117">
        <f t="shared" si="13"/>
        <v>0.34</v>
      </c>
      <c r="U98" s="118">
        <f t="shared" si="54"/>
        <v>0</v>
      </c>
      <c r="V98" s="118">
        <f t="shared" si="55"/>
        <v>0.17</v>
      </c>
      <c r="W98" s="118">
        <f t="shared" si="56"/>
        <v>0.24</v>
      </c>
      <c r="X98" s="118">
        <f t="shared" si="57"/>
        <v>0.05</v>
      </c>
      <c r="Y98" s="205">
        <f t="shared" si="58"/>
        <v>0.2</v>
      </c>
      <c r="Z98" s="235">
        <f t="shared" si="59"/>
        <v>5954650.1957226386</v>
      </c>
      <c r="AA98" s="236">
        <f t="shared" si="60"/>
        <v>0</v>
      </c>
      <c r="AB98" s="236">
        <f t="shared" si="61"/>
        <v>5954650.1957226386</v>
      </c>
      <c r="AC98" s="236">
        <f t="shared" si="62"/>
        <v>3334604.1096046781</v>
      </c>
      <c r="AD98" s="236">
        <f t="shared" si="63"/>
        <v>476372.01565781102</v>
      </c>
      <c r="AE98" s="236">
        <f t="shared" si="64"/>
        <v>0</v>
      </c>
      <c r="AF98" s="242">
        <f t="shared" si="25"/>
        <v>15720276.516707765</v>
      </c>
      <c r="AG98" s="235">
        <f t="shared" si="65"/>
        <v>0</v>
      </c>
      <c r="AH98" s="236">
        <f t="shared" si="66"/>
        <v>0</v>
      </c>
      <c r="AI98" s="236">
        <f t="shared" si="67"/>
        <v>2748300.0903335256</v>
      </c>
      <c r="AJ98" s="236">
        <f t="shared" si="68"/>
        <v>549660.01806670497</v>
      </c>
      <c r="AK98" s="236">
        <f t="shared" si="69"/>
        <v>0</v>
      </c>
      <c r="AL98" s="236">
        <f t="shared" si="70"/>
        <v>0</v>
      </c>
      <c r="AM98" s="242">
        <f t="shared" si="32"/>
        <v>3297960.1084002303</v>
      </c>
      <c r="AN98" s="235">
        <f t="shared" si="71"/>
        <v>25437044.169420302</v>
      </c>
      <c r="AO98" s="236">
        <f t="shared" si="72"/>
        <v>0</v>
      </c>
      <c r="AP98" s="236">
        <f t="shared" si="73"/>
        <v>12718522.084710151</v>
      </c>
      <c r="AQ98" s="236">
        <f t="shared" si="74"/>
        <v>17955560.59017903</v>
      </c>
      <c r="AR98" s="236">
        <f t="shared" si="75"/>
        <v>748148.35792412632</v>
      </c>
      <c r="AS98" s="236">
        <f t="shared" si="38"/>
        <v>0</v>
      </c>
      <c r="AT98" s="242">
        <f t="shared" si="39"/>
        <v>56859275.202233605</v>
      </c>
      <c r="AU98" s="252"/>
      <c r="AV98" s="246">
        <f t="shared" si="40"/>
        <v>75.877511827341607</v>
      </c>
      <c r="AW98" s="130"/>
    </row>
    <row r="99" spans="1:49" ht="14.45" hidden="1" customHeight="1">
      <c r="A99" s="193">
        <f>'Input data'!A92</f>
        <v>1992</v>
      </c>
      <c r="B99" s="208">
        <f>'Input data'!B92</f>
        <v>33.388809999999999</v>
      </c>
      <c r="C99" s="114">
        <f>'Input data'!F92</f>
        <v>0.71479999999999999</v>
      </c>
      <c r="D99" s="114">
        <f>'Input data'!G92</f>
        <v>0.28959999999999997</v>
      </c>
      <c r="E99" s="127"/>
      <c r="F99" s="236"/>
      <c r="G99" s="237">
        <f t="shared" si="43"/>
        <v>519680550.60512507</v>
      </c>
      <c r="H99" s="118">
        <f t="shared" si="41"/>
        <v>0.1</v>
      </c>
      <c r="I99" s="118">
        <f t="shared" si="44"/>
        <v>0</v>
      </c>
      <c r="J99" s="118">
        <f t="shared" si="45"/>
        <v>0.1</v>
      </c>
      <c r="K99" s="118">
        <f t="shared" si="46"/>
        <v>0.28000000000000003</v>
      </c>
      <c r="L99" s="118">
        <f t="shared" si="47"/>
        <v>0.04</v>
      </c>
      <c r="M99" s="205">
        <f t="shared" si="48"/>
        <v>0.48</v>
      </c>
      <c r="N99" s="117">
        <f t="shared" si="42"/>
        <v>0</v>
      </c>
      <c r="O99" s="118">
        <f t="shared" si="49"/>
        <v>0.7</v>
      </c>
      <c r="P99" s="118">
        <f t="shared" si="50"/>
        <v>0.15</v>
      </c>
      <c r="Q99" s="118">
        <f t="shared" si="51"/>
        <v>0.15</v>
      </c>
      <c r="R99" s="118">
        <f t="shared" si="52"/>
        <v>0</v>
      </c>
      <c r="S99" s="205">
        <f t="shared" si="53"/>
        <v>0</v>
      </c>
      <c r="T99" s="117">
        <f t="shared" si="13"/>
        <v>0.34</v>
      </c>
      <c r="U99" s="118">
        <f t="shared" si="54"/>
        <v>0</v>
      </c>
      <c r="V99" s="118">
        <f t="shared" si="55"/>
        <v>0.17</v>
      </c>
      <c r="W99" s="118">
        <f t="shared" si="56"/>
        <v>0.24</v>
      </c>
      <c r="X99" s="118">
        <f t="shared" si="57"/>
        <v>0.05</v>
      </c>
      <c r="Y99" s="205">
        <f t="shared" si="58"/>
        <v>0.2</v>
      </c>
      <c r="Z99" s="235">
        <f t="shared" si="59"/>
        <v>6080262.4420799632</v>
      </c>
      <c r="AA99" s="236">
        <f t="shared" si="60"/>
        <v>0</v>
      </c>
      <c r="AB99" s="236">
        <f t="shared" si="61"/>
        <v>6080262.4420799632</v>
      </c>
      <c r="AC99" s="236">
        <f t="shared" si="62"/>
        <v>3404946.9675647803</v>
      </c>
      <c r="AD99" s="236">
        <f t="shared" si="63"/>
        <v>486420.99536639702</v>
      </c>
      <c r="AE99" s="236">
        <f t="shared" si="64"/>
        <v>0</v>
      </c>
      <c r="AF99" s="242">
        <f t="shared" si="25"/>
        <v>16051892.847091103</v>
      </c>
      <c r="AG99" s="235">
        <f t="shared" si="65"/>
        <v>0</v>
      </c>
      <c r="AH99" s="236">
        <f t="shared" si="66"/>
        <v>0</v>
      </c>
      <c r="AI99" s="236">
        <f t="shared" si="67"/>
        <v>2806274.9732676754</v>
      </c>
      <c r="AJ99" s="236">
        <f t="shared" si="68"/>
        <v>561254.99465353496</v>
      </c>
      <c r="AK99" s="236">
        <f t="shared" si="69"/>
        <v>0</v>
      </c>
      <c r="AL99" s="236">
        <f t="shared" si="70"/>
        <v>0</v>
      </c>
      <c r="AM99" s="242">
        <f t="shared" si="32"/>
        <v>3367529.9679212105</v>
      </c>
      <c r="AN99" s="235">
        <f t="shared" si="71"/>
        <v>25973633.919244155</v>
      </c>
      <c r="AO99" s="236">
        <f t="shared" si="72"/>
        <v>0</v>
      </c>
      <c r="AP99" s="236">
        <f t="shared" si="73"/>
        <v>12986816.959622078</v>
      </c>
      <c r="AQ99" s="236">
        <f t="shared" si="74"/>
        <v>18334329.825348809</v>
      </c>
      <c r="AR99" s="236">
        <f t="shared" si="75"/>
        <v>763930.40938953392</v>
      </c>
      <c r="AS99" s="236">
        <f t="shared" si="38"/>
        <v>0</v>
      </c>
      <c r="AT99" s="242">
        <f t="shared" si="39"/>
        <v>58058711.113604575</v>
      </c>
      <c r="AU99" s="252"/>
      <c r="AV99" s="246">
        <f t="shared" si="40"/>
        <v>77.478133928616884</v>
      </c>
      <c r="AW99" s="130"/>
    </row>
    <row r="100" spans="1:49" ht="14.45" hidden="1" customHeight="1">
      <c r="A100" s="193">
        <f>'Input data'!A93</f>
        <v>1993</v>
      </c>
      <c r="B100" s="208">
        <f>'Input data'!B93</f>
        <v>34.101339999999993</v>
      </c>
      <c r="C100" s="114">
        <f>'Input data'!F93</f>
        <v>0.71479999999999999</v>
      </c>
      <c r="D100" s="114">
        <f>'Input data'!G93</f>
        <v>0.28959999999999997</v>
      </c>
      <c r="E100" s="127"/>
      <c r="F100" s="236"/>
      <c r="G100" s="237">
        <f t="shared" si="43"/>
        <v>530770732.69674999</v>
      </c>
      <c r="H100" s="118">
        <f t="shared" si="41"/>
        <v>0.1</v>
      </c>
      <c r="I100" s="118">
        <f t="shared" si="44"/>
        <v>0</v>
      </c>
      <c r="J100" s="118">
        <f t="shared" si="45"/>
        <v>0.1</v>
      </c>
      <c r="K100" s="118">
        <f t="shared" si="46"/>
        <v>0.28000000000000003</v>
      </c>
      <c r="L100" s="118">
        <f t="shared" si="47"/>
        <v>0.04</v>
      </c>
      <c r="M100" s="205">
        <f t="shared" si="48"/>
        <v>0.48</v>
      </c>
      <c r="N100" s="117">
        <f t="shared" si="42"/>
        <v>0</v>
      </c>
      <c r="O100" s="118">
        <f t="shared" si="49"/>
        <v>0.7</v>
      </c>
      <c r="P100" s="118">
        <f t="shared" si="50"/>
        <v>0.15</v>
      </c>
      <c r="Q100" s="118">
        <f t="shared" si="51"/>
        <v>0.15</v>
      </c>
      <c r="R100" s="118">
        <f t="shared" si="52"/>
        <v>0</v>
      </c>
      <c r="S100" s="205">
        <f t="shared" si="53"/>
        <v>0</v>
      </c>
      <c r="T100" s="117">
        <f t="shared" si="13"/>
        <v>0.34</v>
      </c>
      <c r="U100" s="118">
        <f t="shared" si="54"/>
        <v>0</v>
      </c>
      <c r="V100" s="118">
        <f t="shared" si="55"/>
        <v>0.17</v>
      </c>
      <c r="W100" s="118">
        <f t="shared" si="56"/>
        <v>0.24</v>
      </c>
      <c r="X100" s="118">
        <f t="shared" si="57"/>
        <v>0.05</v>
      </c>
      <c r="Y100" s="205">
        <f t="shared" si="58"/>
        <v>0.2</v>
      </c>
      <c r="Z100" s="235">
        <f t="shared" si="59"/>
        <v>6210017.572551975</v>
      </c>
      <c r="AA100" s="236">
        <f t="shared" si="60"/>
        <v>0</v>
      </c>
      <c r="AB100" s="236">
        <f t="shared" si="61"/>
        <v>6210017.572551975</v>
      </c>
      <c r="AC100" s="236">
        <f t="shared" si="62"/>
        <v>3477609.8406291069</v>
      </c>
      <c r="AD100" s="236">
        <f t="shared" si="63"/>
        <v>496801.40580415796</v>
      </c>
      <c r="AE100" s="236">
        <f t="shared" si="64"/>
        <v>0</v>
      </c>
      <c r="AF100" s="242">
        <f t="shared" si="25"/>
        <v>16394446.391537214</v>
      </c>
      <c r="AG100" s="235">
        <f t="shared" si="65"/>
        <v>0</v>
      </c>
      <c r="AH100" s="236">
        <f t="shared" si="66"/>
        <v>0</v>
      </c>
      <c r="AI100" s="236">
        <f t="shared" si="67"/>
        <v>2866161.9565624497</v>
      </c>
      <c r="AJ100" s="236">
        <f t="shared" si="68"/>
        <v>573232.39131248998</v>
      </c>
      <c r="AK100" s="236">
        <f t="shared" si="69"/>
        <v>0</v>
      </c>
      <c r="AL100" s="236">
        <f t="shared" si="70"/>
        <v>0</v>
      </c>
      <c r="AM100" s="242">
        <f t="shared" si="32"/>
        <v>3439394.3478749394</v>
      </c>
      <c r="AN100" s="235">
        <f t="shared" si="71"/>
        <v>26527921.220183566</v>
      </c>
      <c r="AO100" s="236">
        <f t="shared" si="72"/>
        <v>0</v>
      </c>
      <c r="AP100" s="236">
        <f t="shared" si="73"/>
        <v>13263960.610091783</v>
      </c>
      <c r="AQ100" s="236">
        <f t="shared" si="74"/>
        <v>18725591.449541338</v>
      </c>
      <c r="AR100" s="236">
        <f t="shared" si="75"/>
        <v>780232.97706422245</v>
      </c>
      <c r="AS100" s="236">
        <f t="shared" si="38"/>
        <v>0</v>
      </c>
      <c r="AT100" s="242">
        <f t="shared" si="39"/>
        <v>59297706.256880909</v>
      </c>
      <c r="AU100" s="252"/>
      <c r="AV100" s="246">
        <f t="shared" si="40"/>
        <v>79.131546996293068</v>
      </c>
      <c r="AW100" s="130"/>
    </row>
    <row r="101" spans="1:49" ht="14.45" hidden="1" customHeight="1">
      <c r="A101" s="193">
        <f>'Input data'!A94</f>
        <v>1994</v>
      </c>
      <c r="B101" s="208">
        <f>'Input data'!B94</f>
        <v>34.837530000000001</v>
      </c>
      <c r="C101" s="114">
        <f>'Input data'!F94</f>
        <v>0.71479999999999999</v>
      </c>
      <c r="D101" s="114">
        <f>'Input data'!G94</f>
        <v>0.28959999999999997</v>
      </c>
      <c r="E101" s="127"/>
      <c r="F101" s="236"/>
      <c r="G101" s="237">
        <f t="shared" si="43"/>
        <v>542229171.15412509</v>
      </c>
      <c r="H101" s="118">
        <f t="shared" si="41"/>
        <v>0.1</v>
      </c>
      <c r="I101" s="118">
        <f t="shared" si="44"/>
        <v>0</v>
      </c>
      <c r="J101" s="118">
        <f t="shared" si="45"/>
        <v>0.1</v>
      </c>
      <c r="K101" s="118">
        <f t="shared" si="46"/>
        <v>0.28000000000000003</v>
      </c>
      <c r="L101" s="118">
        <f t="shared" si="47"/>
        <v>0.04</v>
      </c>
      <c r="M101" s="205">
        <f t="shared" si="48"/>
        <v>0.48</v>
      </c>
      <c r="N101" s="117">
        <f t="shared" si="42"/>
        <v>0</v>
      </c>
      <c r="O101" s="118">
        <f t="shared" si="49"/>
        <v>0.7</v>
      </c>
      <c r="P101" s="118">
        <f t="shared" si="50"/>
        <v>0.15</v>
      </c>
      <c r="Q101" s="118">
        <f t="shared" si="51"/>
        <v>0.15</v>
      </c>
      <c r="R101" s="118">
        <f t="shared" si="52"/>
        <v>0</v>
      </c>
      <c r="S101" s="205">
        <f t="shared" si="53"/>
        <v>0</v>
      </c>
      <c r="T101" s="117">
        <f t="shared" si="13"/>
        <v>0.34</v>
      </c>
      <c r="U101" s="118">
        <f t="shared" si="54"/>
        <v>0</v>
      </c>
      <c r="V101" s="118">
        <f t="shared" si="55"/>
        <v>0.17</v>
      </c>
      <c r="W101" s="118">
        <f t="shared" si="56"/>
        <v>0.24</v>
      </c>
      <c r="X101" s="118">
        <f t="shared" si="57"/>
        <v>0.05</v>
      </c>
      <c r="Y101" s="205">
        <f t="shared" si="58"/>
        <v>0.2</v>
      </c>
      <c r="Z101" s="235">
        <f t="shared" si="59"/>
        <v>6344081.3025032636</v>
      </c>
      <c r="AA101" s="236">
        <f t="shared" si="60"/>
        <v>0</v>
      </c>
      <c r="AB101" s="236">
        <f t="shared" si="61"/>
        <v>6344081.3025032636</v>
      </c>
      <c r="AC101" s="236">
        <f t="shared" si="62"/>
        <v>3552685.5294018285</v>
      </c>
      <c r="AD101" s="236">
        <f t="shared" si="63"/>
        <v>507526.50420026109</v>
      </c>
      <c r="AE101" s="236">
        <f t="shared" si="64"/>
        <v>0</v>
      </c>
      <c r="AF101" s="242">
        <f t="shared" si="25"/>
        <v>16748374.638608616</v>
      </c>
      <c r="AG101" s="235">
        <f t="shared" si="65"/>
        <v>0</v>
      </c>
      <c r="AH101" s="236">
        <f t="shared" si="66"/>
        <v>0</v>
      </c>
      <c r="AI101" s="236">
        <f t="shared" si="67"/>
        <v>2928037.5242322749</v>
      </c>
      <c r="AJ101" s="236">
        <f t="shared" si="68"/>
        <v>585607.50484645506</v>
      </c>
      <c r="AK101" s="236">
        <f t="shared" si="69"/>
        <v>0</v>
      </c>
      <c r="AL101" s="236">
        <f t="shared" si="70"/>
        <v>0</v>
      </c>
      <c r="AM101" s="242">
        <f t="shared" si="32"/>
        <v>3513645.0290787299</v>
      </c>
      <c r="AN101" s="235">
        <f t="shared" si="71"/>
        <v>27100613.974283174</v>
      </c>
      <c r="AO101" s="236">
        <f t="shared" si="72"/>
        <v>0</v>
      </c>
      <c r="AP101" s="236">
        <f t="shared" si="73"/>
        <v>13550306.987141587</v>
      </c>
      <c r="AQ101" s="236">
        <f t="shared" si="74"/>
        <v>19129845.158317532</v>
      </c>
      <c r="AR101" s="236">
        <f t="shared" si="75"/>
        <v>797076.88159656397</v>
      </c>
      <c r="AS101" s="236">
        <f t="shared" si="38"/>
        <v>0</v>
      </c>
      <c r="AT101" s="242">
        <f t="shared" si="39"/>
        <v>60577843.001338854</v>
      </c>
      <c r="AU101" s="252"/>
      <c r="AV101" s="246">
        <f t="shared" si="40"/>
        <v>80.839862669026189</v>
      </c>
      <c r="AW101" s="130"/>
    </row>
    <row r="102" spans="1:49" ht="14.45" hidden="1" customHeight="1">
      <c r="A102" s="193">
        <f>'Input data'!A95</f>
        <v>1995</v>
      </c>
      <c r="B102" s="208">
        <f>'Input data'!B95</f>
        <v>35.599199999999996</v>
      </c>
      <c r="C102" s="114">
        <f>'Input data'!F95</f>
        <v>0.71479999999999999</v>
      </c>
      <c r="D102" s="114">
        <f>'Input data'!G95</f>
        <v>0.28959999999999997</v>
      </c>
      <c r="E102" s="127"/>
      <c r="F102" s="236"/>
      <c r="G102" s="237">
        <f t="shared" si="43"/>
        <v>554084193.38999999</v>
      </c>
      <c r="H102" s="118">
        <f t="shared" si="41"/>
        <v>0.1</v>
      </c>
      <c r="I102" s="118">
        <f t="shared" si="44"/>
        <v>0</v>
      </c>
      <c r="J102" s="118">
        <f t="shared" si="45"/>
        <v>0.1</v>
      </c>
      <c r="K102" s="118">
        <f t="shared" si="46"/>
        <v>0.28000000000000003</v>
      </c>
      <c r="L102" s="118">
        <f t="shared" si="47"/>
        <v>0.04</v>
      </c>
      <c r="M102" s="205">
        <f t="shared" si="48"/>
        <v>0.48</v>
      </c>
      <c r="N102" s="117">
        <f t="shared" si="42"/>
        <v>0</v>
      </c>
      <c r="O102" s="118">
        <f t="shared" si="49"/>
        <v>0.7</v>
      </c>
      <c r="P102" s="118">
        <f t="shared" si="50"/>
        <v>0.15</v>
      </c>
      <c r="Q102" s="118">
        <f t="shared" si="51"/>
        <v>0.15</v>
      </c>
      <c r="R102" s="118">
        <f t="shared" si="52"/>
        <v>0</v>
      </c>
      <c r="S102" s="205">
        <f t="shared" si="53"/>
        <v>0</v>
      </c>
      <c r="T102" s="117">
        <f t="shared" si="13"/>
        <v>0.34</v>
      </c>
      <c r="U102" s="118">
        <f t="shared" si="54"/>
        <v>0</v>
      </c>
      <c r="V102" s="118">
        <f t="shared" si="55"/>
        <v>0.17</v>
      </c>
      <c r="W102" s="118">
        <f t="shared" si="56"/>
        <v>0.24</v>
      </c>
      <c r="X102" s="118">
        <f t="shared" si="57"/>
        <v>0.05</v>
      </c>
      <c r="Y102" s="205">
        <f t="shared" si="58"/>
        <v>0.2</v>
      </c>
      <c r="Z102" s="235">
        <f t="shared" si="59"/>
        <v>6482785.0626630001</v>
      </c>
      <c r="AA102" s="236">
        <f t="shared" si="60"/>
        <v>0</v>
      </c>
      <c r="AB102" s="236">
        <f t="shared" si="61"/>
        <v>6482785.0626630001</v>
      </c>
      <c r="AC102" s="236">
        <f t="shared" si="62"/>
        <v>3630359.6350912806</v>
      </c>
      <c r="AD102" s="236">
        <f t="shared" si="63"/>
        <v>518622.80501303996</v>
      </c>
      <c r="AE102" s="236">
        <f t="shared" si="64"/>
        <v>0</v>
      </c>
      <c r="AF102" s="242">
        <f t="shared" si="25"/>
        <v>17114552.565430321</v>
      </c>
      <c r="AG102" s="235">
        <f t="shared" si="65"/>
        <v>0</v>
      </c>
      <c r="AH102" s="236">
        <f t="shared" si="66"/>
        <v>0</v>
      </c>
      <c r="AI102" s="236">
        <f t="shared" si="67"/>
        <v>2992054.6443059994</v>
      </c>
      <c r="AJ102" s="236">
        <f t="shared" si="68"/>
        <v>598410.92886119999</v>
      </c>
      <c r="AK102" s="236">
        <f t="shared" si="69"/>
        <v>0</v>
      </c>
      <c r="AL102" s="236">
        <f t="shared" si="70"/>
        <v>0</v>
      </c>
      <c r="AM102" s="242">
        <f t="shared" si="32"/>
        <v>3590465.5731671993</v>
      </c>
      <c r="AN102" s="235">
        <f t="shared" si="71"/>
        <v>27693127.9856322</v>
      </c>
      <c r="AO102" s="236">
        <f t="shared" si="72"/>
        <v>0</v>
      </c>
      <c r="AP102" s="236">
        <f t="shared" si="73"/>
        <v>13846563.9928161</v>
      </c>
      <c r="AQ102" s="236">
        <f t="shared" si="74"/>
        <v>19548090.342799198</v>
      </c>
      <c r="AR102" s="236">
        <f t="shared" si="75"/>
        <v>814503.76428330003</v>
      </c>
      <c r="AS102" s="236">
        <f t="shared" si="38"/>
        <v>0</v>
      </c>
      <c r="AT102" s="242">
        <f t="shared" si="39"/>
        <v>61902286.085530803</v>
      </c>
      <c r="AU102" s="252"/>
      <c r="AV102" s="246">
        <f t="shared" si="40"/>
        <v>82.607304224128328</v>
      </c>
      <c r="AW102" s="130"/>
    </row>
    <row r="103" spans="1:49" ht="14.45" hidden="1" customHeight="1">
      <c r="A103" s="193">
        <f>'Input data'!A96</f>
        <v>1996</v>
      </c>
      <c r="B103" s="208">
        <f>'Input data'!B96</f>
        <v>36.4</v>
      </c>
      <c r="C103" s="114">
        <f>'Input data'!F96</f>
        <v>0.71479999999999999</v>
      </c>
      <c r="D103" s="114">
        <f>'Input data'!G96</f>
        <v>0.28959999999999997</v>
      </c>
      <c r="E103" s="127"/>
      <c r="F103" s="236"/>
      <c r="G103" s="237">
        <f t="shared" si="43"/>
        <v>566548255</v>
      </c>
      <c r="H103" s="118">
        <f t="shared" si="41"/>
        <v>0.1</v>
      </c>
      <c r="I103" s="118">
        <f t="shared" si="44"/>
        <v>0</v>
      </c>
      <c r="J103" s="118">
        <f t="shared" si="45"/>
        <v>0.1</v>
      </c>
      <c r="K103" s="118">
        <f t="shared" si="46"/>
        <v>0.28000000000000003</v>
      </c>
      <c r="L103" s="118">
        <f t="shared" si="47"/>
        <v>0.04</v>
      </c>
      <c r="M103" s="205">
        <f t="shared" si="48"/>
        <v>0.48</v>
      </c>
      <c r="N103" s="117">
        <f t="shared" si="42"/>
        <v>0</v>
      </c>
      <c r="O103" s="118">
        <f t="shared" si="49"/>
        <v>0.7</v>
      </c>
      <c r="P103" s="118">
        <f t="shared" si="50"/>
        <v>0.15</v>
      </c>
      <c r="Q103" s="118">
        <f t="shared" si="51"/>
        <v>0.15</v>
      </c>
      <c r="R103" s="118">
        <f t="shared" si="52"/>
        <v>0</v>
      </c>
      <c r="S103" s="205">
        <f t="shared" si="53"/>
        <v>0</v>
      </c>
      <c r="T103" s="117">
        <f t="shared" si="13"/>
        <v>0.34</v>
      </c>
      <c r="U103" s="118">
        <f t="shared" si="54"/>
        <v>0</v>
      </c>
      <c r="V103" s="118">
        <f t="shared" si="55"/>
        <v>0.17</v>
      </c>
      <c r="W103" s="118">
        <f t="shared" si="56"/>
        <v>0.24</v>
      </c>
      <c r="X103" s="118">
        <f t="shared" si="57"/>
        <v>0.05</v>
      </c>
      <c r="Y103" s="205">
        <f t="shared" si="58"/>
        <v>0.2</v>
      </c>
      <c r="Z103" s="235">
        <f t="shared" si="59"/>
        <v>6628614.5834999997</v>
      </c>
      <c r="AA103" s="236">
        <f t="shared" si="60"/>
        <v>0</v>
      </c>
      <c r="AB103" s="236">
        <f t="shared" si="61"/>
        <v>6628614.5834999997</v>
      </c>
      <c r="AC103" s="236">
        <f t="shared" si="62"/>
        <v>3712024.1667600009</v>
      </c>
      <c r="AD103" s="236">
        <f t="shared" si="63"/>
        <v>530289.16668000002</v>
      </c>
      <c r="AE103" s="236">
        <f t="shared" si="64"/>
        <v>0</v>
      </c>
      <c r="AF103" s="242">
        <f t="shared" si="25"/>
        <v>17499542.500440001</v>
      </c>
      <c r="AG103" s="235">
        <f t="shared" si="65"/>
        <v>0</v>
      </c>
      <c r="AH103" s="236">
        <f t="shared" si="66"/>
        <v>0</v>
      </c>
      <c r="AI103" s="236">
        <f t="shared" si="67"/>
        <v>3059360.5769999996</v>
      </c>
      <c r="AJ103" s="236">
        <f t="shared" si="68"/>
        <v>611872.11540000001</v>
      </c>
      <c r="AK103" s="236">
        <f t="shared" si="69"/>
        <v>0</v>
      </c>
      <c r="AL103" s="236">
        <f t="shared" si="70"/>
        <v>0</v>
      </c>
      <c r="AM103" s="242">
        <f t="shared" si="32"/>
        <v>3671232.6923999996</v>
      </c>
      <c r="AN103" s="235">
        <f t="shared" si="71"/>
        <v>28316081.784900002</v>
      </c>
      <c r="AO103" s="236">
        <f t="shared" si="72"/>
        <v>0</v>
      </c>
      <c r="AP103" s="236">
        <f t="shared" si="73"/>
        <v>14158040.892450001</v>
      </c>
      <c r="AQ103" s="236">
        <f t="shared" si="74"/>
        <v>19987822.4364</v>
      </c>
      <c r="AR103" s="236">
        <f t="shared" si="75"/>
        <v>832825.93485000008</v>
      </c>
      <c r="AS103" s="236">
        <f t="shared" si="38"/>
        <v>0</v>
      </c>
      <c r="AT103" s="242">
        <f t="shared" si="39"/>
        <v>63294771.048599996</v>
      </c>
      <c r="AU103" s="252"/>
      <c r="AV103" s="246">
        <f t="shared" si="40"/>
        <v>84.465546241439995</v>
      </c>
      <c r="AW103" s="130"/>
    </row>
    <row r="104" spans="1:49" ht="14.45" hidden="1" customHeight="1">
      <c r="A104" s="193">
        <f>'Input data'!A97</f>
        <v>1997</v>
      </c>
      <c r="B104" s="208">
        <f>'Input data'!B97</f>
        <v>37.242660000000001</v>
      </c>
      <c r="C104" s="114">
        <f>'Input data'!F97</f>
        <v>0.71479999999999999</v>
      </c>
      <c r="D104" s="114">
        <f>'Input data'!G97</f>
        <v>0.28959999999999997</v>
      </c>
      <c r="E104" s="127"/>
      <c r="F104" s="236"/>
      <c r="G104" s="237">
        <f t="shared" si="43"/>
        <v>579663847.10325003</v>
      </c>
      <c r="H104" s="118">
        <f t="shared" si="41"/>
        <v>0.1</v>
      </c>
      <c r="I104" s="118">
        <f t="shared" si="44"/>
        <v>0</v>
      </c>
      <c r="J104" s="118">
        <f t="shared" si="45"/>
        <v>0.1</v>
      </c>
      <c r="K104" s="118">
        <f t="shared" si="46"/>
        <v>0.28000000000000003</v>
      </c>
      <c r="L104" s="118">
        <f t="shared" si="47"/>
        <v>0.04</v>
      </c>
      <c r="M104" s="205">
        <f t="shared" si="48"/>
        <v>0.48</v>
      </c>
      <c r="N104" s="117">
        <f t="shared" si="42"/>
        <v>0</v>
      </c>
      <c r="O104" s="118">
        <f t="shared" si="49"/>
        <v>0.7</v>
      </c>
      <c r="P104" s="118">
        <f t="shared" si="50"/>
        <v>0.15</v>
      </c>
      <c r="Q104" s="118">
        <f t="shared" si="51"/>
        <v>0.15</v>
      </c>
      <c r="R104" s="118">
        <f t="shared" si="52"/>
        <v>0</v>
      </c>
      <c r="S104" s="205">
        <f t="shared" si="53"/>
        <v>0</v>
      </c>
      <c r="T104" s="117">
        <f t="shared" si="13"/>
        <v>0.34</v>
      </c>
      <c r="U104" s="118">
        <f t="shared" si="54"/>
        <v>0</v>
      </c>
      <c r="V104" s="118">
        <f t="shared" si="55"/>
        <v>0.17</v>
      </c>
      <c r="W104" s="118">
        <f t="shared" si="56"/>
        <v>0.24</v>
      </c>
      <c r="X104" s="118">
        <f t="shared" si="57"/>
        <v>0.05</v>
      </c>
      <c r="Y104" s="205">
        <f t="shared" si="58"/>
        <v>0.2</v>
      </c>
      <c r="Z104" s="235">
        <f t="shared" si="59"/>
        <v>6782067.0111080259</v>
      </c>
      <c r="AA104" s="236">
        <f t="shared" si="60"/>
        <v>0</v>
      </c>
      <c r="AB104" s="236">
        <f t="shared" si="61"/>
        <v>6782067.0111080259</v>
      </c>
      <c r="AC104" s="236">
        <f t="shared" si="62"/>
        <v>3797957.5262204944</v>
      </c>
      <c r="AD104" s="236">
        <f t="shared" si="63"/>
        <v>542565.36088864203</v>
      </c>
      <c r="AE104" s="236">
        <f t="shared" si="64"/>
        <v>0</v>
      </c>
      <c r="AF104" s="242">
        <f t="shared" si="25"/>
        <v>17904656.909325186</v>
      </c>
      <c r="AG104" s="235">
        <f t="shared" si="65"/>
        <v>0</v>
      </c>
      <c r="AH104" s="236">
        <f t="shared" si="66"/>
        <v>0</v>
      </c>
      <c r="AI104" s="236">
        <f t="shared" si="67"/>
        <v>3130184.7743575498</v>
      </c>
      <c r="AJ104" s="236">
        <f t="shared" si="68"/>
        <v>626036.95487151004</v>
      </c>
      <c r="AK104" s="236">
        <f t="shared" si="69"/>
        <v>0</v>
      </c>
      <c r="AL104" s="236">
        <f t="shared" si="70"/>
        <v>0</v>
      </c>
      <c r="AM104" s="242">
        <f t="shared" si="32"/>
        <v>3756221.72922906</v>
      </c>
      <c r="AN104" s="235">
        <f t="shared" si="71"/>
        <v>28971599.078220438</v>
      </c>
      <c r="AO104" s="236">
        <f t="shared" si="72"/>
        <v>0</v>
      </c>
      <c r="AP104" s="236">
        <f t="shared" si="73"/>
        <v>14485799.539110219</v>
      </c>
      <c r="AQ104" s="236">
        <f t="shared" si="74"/>
        <v>20450540.525802661</v>
      </c>
      <c r="AR104" s="236">
        <f t="shared" si="75"/>
        <v>852105.85524177761</v>
      </c>
      <c r="AS104" s="236">
        <f t="shared" si="38"/>
        <v>0</v>
      </c>
      <c r="AT104" s="242">
        <f t="shared" si="39"/>
        <v>64760044.998375088</v>
      </c>
      <c r="AU104" s="252"/>
      <c r="AV104" s="246">
        <f t="shared" si="40"/>
        <v>86.420923636929331</v>
      </c>
      <c r="AW104" s="130"/>
    </row>
    <row r="105" spans="1:49" ht="14.45" hidden="1" customHeight="1">
      <c r="A105" s="193">
        <f>'Input data'!A98</f>
        <v>1998</v>
      </c>
      <c r="B105" s="208">
        <f>'Input data'!B98</f>
        <v>38.128999999999998</v>
      </c>
      <c r="C105" s="114">
        <f>'Input data'!F98</f>
        <v>0.71479999999999999</v>
      </c>
      <c r="D105" s="114">
        <f>'Input data'!G98</f>
        <v>0.28959999999999997</v>
      </c>
      <c r="E105" s="127"/>
      <c r="F105" s="236"/>
      <c r="G105" s="237">
        <f t="shared" si="43"/>
        <v>593459297.11250007</v>
      </c>
      <c r="H105" s="118">
        <f t="shared" si="41"/>
        <v>0.1</v>
      </c>
      <c r="I105" s="118">
        <f t="shared" si="44"/>
        <v>0</v>
      </c>
      <c r="J105" s="118">
        <f t="shared" si="45"/>
        <v>0.1</v>
      </c>
      <c r="K105" s="118">
        <f t="shared" si="46"/>
        <v>0.28000000000000003</v>
      </c>
      <c r="L105" s="118">
        <f t="shared" si="47"/>
        <v>0.04</v>
      </c>
      <c r="M105" s="205">
        <f t="shared" si="48"/>
        <v>0.48</v>
      </c>
      <c r="N105" s="117">
        <f t="shared" si="42"/>
        <v>0</v>
      </c>
      <c r="O105" s="118">
        <f t="shared" si="49"/>
        <v>0.7</v>
      </c>
      <c r="P105" s="118">
        <f t="shared" si="50"/>
        <v>0.15</v>
      </c>
      <c r="Q105" s="118">
        <f t="shared" si="51"/>
        <v>0.15</v>
      </c>
      <c r="R105" s="118">
        <f t="shared" si="52"/>
        <v>0</v>
      </c>
      <c r="S105" s="205">
        <f t="shared" si="53"/>
        <v>0</v>
      </c>
      <c r="T105" s="117">
        <f t="shared" si="13"/>
        <v>0.34</v>
      </c>
      <c r="U105" s="118">
        <f t="shared" si="54"/>
        <v>0</v>
      </c>
      <c r="V105" s="118">
        <f t="shared" si="55"/>
        <v>0.17</v>
      </c>
      <c r="W105" s="118">
        <f t="shared" si="56"/>
        <v>0.24</v>
      </c>
      <c r="X105" s="118">
        <f t="shared" si="57"/>
        <v>0.05</v>
      </c>
      <c r="Y105" s="205">
        <f t="shared" si="58"/>
        <v>0.2</v>
      </c>
      <c r="Z105" s="235">
        <f t="shared" si="59"/>
        <v>6943473.7762162508</v>
      </c>
      <c r="AA105" s="236">
        <f t="shared" si="60"/>
        <v>0</v>
      </c>
      <c r="AB105" s="236">
        <f t="shared" si="61"/>
        <v>6943473.7762162508</v>
      </c>
      <c r="AC105" s="236">
        <f t="shared" si="62"/>
        <v>3888345.3146811011</v>
      </c>
      <c r="AD105" s="236">
        <f t="shared" si="63"/>
        <v>555477.90209730004</v>
      </c>
      <c r="AE105" s="236">
        <f t="shared" si="64"/>
        <v>0</v>
      </c>
      <c r="AF105" s="242">
        <f t="shared" si="25"/>
        <v>18330770.769210901</v>
      </c>
      <c r="AG105" s="235">
        <f t="shared" si="65"/>
        <v>0</v>
      </c>
      <c r="AH105" s="236">
        <f t="shared" si="66"/>
        <v>0</v>
      </c>
      <c r="AI105" s="236">
        <f t="shared" si="67"/>
        <v>3204680.2044075006</v>
      </c>
      <c r="AJ105" s="236">
        <f t="shared" si="68"/>
        <v>640936.0408815</v>
      </c>
      <c r="AK105" s="236">
        <f t="shared" si="69"/>
        <v>0</v>
      </c>
      <c r="AL105" s="236">
        <f t="shared" si="70"/>
        <v>0</v>
      </c>
      <c r="AM105" s="242">
        <f t="shared" si="32"/>
        <v>3845616.2452890007</v>
      </c>
      <c r="AN105" s="235">
        <f t="shared" si="71"/>
        <v>29661095.669682756</v>
      </c>
      <c r="AO105" s="236">
        <f t="shared" si="72"/>
        <v>0</v>
      </c>
      <c r="AP105" s="236">
        <f t="shared" si="73"/>
        <v>14830547.834841378</v>
      </c>
      <c r="AQ105" s="236">
        <f t="shared" si="74"/>
        <v>20937244.002129</v>
      </c>
      <c r="AR105" s="236">
        <f t="shared" si="75"/>
        <v>872385.1667553751</v>
      </c>
      <c r="AS105" s="236">
        <f t="shared" si="38"/>
        <v>0</v>
      </c>
      <c r="AT105" s="242">
        <f t="shared" si="39"/>
        <v>66301272.673408508</v>
      </c>
      <c r="AU105" s="252"/>
      <c r="AV105" s="246">
        <f t="shared" si="40"/>
        <v>88.477659687908414</v>
      </c>
      <c r="AW105" s="130"/>
    </row>
    <row r="106" spans="1:49" ht="14.45" hidden="1" customHeight="1">
      <c r="A106" s="193">
        <f>'Input data'!A99</f>
        <v>1999</v>
      </c>
      <c r="B106" s="208">
        <f>'Input data'!B99</f>
        <v>39.059930000000001</v>
      </c>
      <c r="C106" s="114">
        <f>'Input data'!F99</f>
        <v>0.71479999999999999</v>
      </c>
      <c r="D106" s="114">
        <f>'Input data'!G99</f>
        <v>0.28959999999999997</v>
      </c>
      <c r="E106" s="127"/>
      <c r="F106" s="236"/>
      <c r="G106" s="237">
        <f t="shared" si="43"/>
        <v>607948768.73412514</v>
      </c>
      <c r="H106" s="118">
        <f t="shared" si="41"/>
        <v>0.1</v>
      </c>
      <c r="I106" s="118">
        <f t="shared" si="44"/>
        <v>0</v>
      </c>
      <c r="J106" s="118">
        <f t="shared" si="45"/>
        <v>0.1</v>
      </c>
      <c r="K106" s="118">
        <f t="shared" si="46"/>
        <v>0.28000000000000003</v>
      </c>
      <c r="L106" s="118">
        <f t="shared" si="47"/>
        <v>0.04</v>
      </c>
      <c r="M106" s="205">
        <f t="shared" si="48"/>
        <v>0.48</v>
      </c>
      <c r="N106" s="117">
        <f t="shared" si="42"/>
        <v>0</v>
      </c>
      <c r="O106" s="118">
        <f t="shared" si="49"/>
        <v>0.7</v>
      </c>
      <c r="P106" s="118">
        <f t="shared" si="50"/>
        <v>0.15</v>
      </c>
      <c r="Q106" s="118">
        <f t="shared" si="51"/>
        <v>0.15</v>
      </c>
      <c r="R106" s="118">
        <f t="shared" si="52"/>
        <v>0</v>
      </c>
      <c r="S106" s="205">
        <f t="shared" si="53"/>
        <v>0</v>
      </c>
      <c r="T106" s="117">
        <f t="shared" si="13"/>
        <v>0.34</v>
      </c>
      <c r="U106" s="118">
        <f t="shared" si="54"/>
        <v>0</v>
      </c>
      <c r="V106" s="118">
        <f t="shared" si="55"/>
        <v>0.17</v>
      </c>
      <c r="W106" s="118">
        <f t="shared" si="56"/>
        <v>0.24</v>
      </c>
      <c r="X106" s="118">
        <f t="shared" si="57"/>
        <v>0.05</v>
      </c>
      <c r="Y106" s="205">
        <f t="shared" si="58"/>
        <v>0.2</v>
      </c>
      <c r="Z106" s="235">
        <f t="shared" si="59"/>
        <v>7113000.5941892648</v>
      </c>
      <c r="AA106" s="236">
        <f t="shared" si="60"/>
        <v>0</v>
      </c>
      <c r="AB106" s="236">
        <f t="shared" si="61"/>
        <v>7113000.5941892648</v>
      </c>
      <c r="AC106" s="236">
        <f t="shared" si="62"/>
        <v>3983280.3327459889</v>
      </c>
      <c r="AD106" s="236">
        <f t="shared" si="63"/>
        <v>569040.04753514112</v>
      </c>
      <c r="AE106" s="236">
        <f t="shared" si="64"/>
        <v>0</v>
      </c>
      <c r="AF106" s="242">
        <f t="shared" si="25"/>
        <v>18778321.568659659</v>
      </c>
      <c r="AG106" s="235">
        <f t="shared" si="65"/>
        <v>0</v>
      </c>
      <c r="AH106" s="236">
        <f t="shared" si="66"/>
        <v>0</v>
      </c>
      <c r="AI106" s="236">
        <f t="shared" si="67"/>
        <v>3282923.3511642758</v>
      </c>
      <c r="AJ106" s="236">
        <f t="shared" si="68"/>
        <v>656584.67023285513</v>
      </c>
      <c r="AK106" s="236">
        <f t="shared" si="69"/>
        <v>0</v>
      </c>
      <c r="AL106" s="236">
        <f t="shared" si="70"/>
        <v>0</v>
      </c>
      <c r="AM106" s="242">
        <f t="shared" si="32"/>
        <v>3939508.021397131</v>
      </c>
      <c r="AN106" s="235">
        <f t="shared" si="71"/>
        <v>30385279.461331576</v>
      </c>
      <c r="AO106" s="236">
        <f t="shared" si="72"/>
        <v>0</v>
      </c>
      <c r="AP106" s="236">
        <f t="shared" si="73"/>
        <v>15192639.730665788</v>
      </c>
      <c r="AQ106" s="236">
        <f t="shared" si="74"/>
        <v>21448432.560939934</v>
      </c>
      <c r="AR106" s="236">
        <f t="shared" si="75"/>
        <v>893684.69003916404</v>
      </c>
      <c r="AS106" s="236">
        <f t="shared" si="38"/>
        <v>0</v>
      </c>
      <c r="AT106" s="242">
        <f t="shared" si="39"/>
        <v>67920036.44297646</v>
      </c>
      <c r="AU106" s="252"/>
      <c r="AV106" s="246">
        <f t="shared" si="40"/>
        <v>90.637866033033248</v>
      </c>
      <c r="AW106" s="130"/>
    </row>
    <row r="107" spans="1:49">
      <c r="A107" s="193">
        <f>'Input data'!A100</f>
        <v>2000</v>
      </c>
      <c r="B107" s="208">
        <f>'Input data'!B100</f>
        <v>44</v>
      </c>
      <c r="C107" s="114">
        <f>'Input data'!F100</f>
        <v>0.71479999999999999</v>
      </c>
      <c r="D107" s="114">
        <f>'Input data'!G100</f>
        <v>0.28959999999999997</v>
      </c>
      <c r="E107" s="235">
        <f t="shared" ref="E107:E139" si="76">B107*$C$4*($C$7*$C$11+$C$8*$C$10+$C$7*$C$12)*10^6</f>
        <v>684838550</v>
      </c>
      <c r="F107" s="236">
        <v>0</v>
      </c>
      <c r="G107" s="237">
        <f>E107-F107</f>
        <v>684838550</v>
      </c>
      <c r="H107" s="118">
        <f t="shared" si="41"/>
        <v>0.1</v>
      </c>
      <c r="I107" s="118">
        <f t="shared" si="44"/>
        <v>0</v>
      </c>
      <c r="J107" s="118">
        <f t="shared" si="45"/>
        <v>0.1</v>
      </c>
      <c r="K107" s="118">
        <f t="shared" si="46"/>
        <v>0.28000000000000003</v>
      </c>
      <c r="L107" s="118">
        <f t="shared" si="47"/>
        <v>0.04</v>
      </c>
      <c r="M107" s="205">
        <f t="shared" si="48"/>
        <v>0.48</v>
      </c>
      <c r="N107" s="117">
        <f t="shared" si="42"/>
        <v>0</v>
      </c>
      <c r="O107" s="118">
        <f t="shared" si="49"/>
        <v>0.7</v>
      </c>
      <c r="P107" s="118">
        <f t="shared" si="50"/>
        <v>0.15</v>
      </c>
      <c r="Q107" s="118">
        <f t="shared" si="51"/>
        <v>0.15</v>
      </c>
      <c r="R107" s="118">
        <f t="shared" si="52"/>
        <v>0</v>
      </c>
      <c r="S107" s="205">
        <f t="shared" si="53"/>
        <v>0</v>
      </c>
      <c r="T107" s="117">
        <f>$C$18</f>
        <v>0.34</v>
      </c>
      <c r="U107" s="118">
        <f t="shared" si="54"/>
        <v>0</v>
      </c>
      <c r="V107" s="118">
        <f t="shared" si="55"/>
        <v>0.17</v>
      </c>
      <c r="W107" s="118">
        <f t="shared" si="56"/>
        <v>0.24</v>
      </c>
      <c r="X107" s="118">
        <f t="shared" si="57"/>
        <v>0.05</v>
      </c>
      <c r="Y107" s="205">
        <f t="shared" si="58"/>
        <v>0.2</v>
      </c>
      <c r="Z107" s="235">
        <f t="shared" si="59"/>
        <v>8012611.0350000001</v>
      </c>
      <c r="AA107" s="236">
        <f t="shared" si="60"/>
        <v>0</v>
      </c>
      <c r="AB107" s="236">
        <f t="shared" si="61"/>
        <v>8012611.0350000001</v>
      </c>
      <c r="AC107" s="236">
        <f t="shared" si="62"/>
        <v>4487062.1796000013</v>
      </c>
      <c r="AD107" s="236">
        <f t="shared" si="63"/>
        <v>641008.8827999999</v>
      </c>
      <c r="AE107" s="236">
        <f t="shared" si="64"/>
        <v>0</v>
      </c>
      <c r="AF107" s="242">
        <f>SUM(Z107:AE107)</f>
        <v>21153293.132400002</v>
      </c>
      <c r="AG107" s="235">
        <f t="shared" si="65"/>
        <v>0</v>
      </c>
      <c r="AH107" s="236">
        <f t="shared" si="66"/>
        <v>0</v>
      </c>
      <c r="AI107" s="236">
        <f t="shared" si="67"/>
        <v>3698128.17</v>
      </c>
      <c r="AJ107" s="236">
        <f t="shared" si="68"/>
        <v>739625.63399999985</v>
      </c>
      <c r="AK107" s="236">
        <f t="shared" si="69"/>
        <v>0</v>
      </c>
      <c r="AL107" s="236">
        <f t="shared" si="70"/>
        <v>0</v>
      </c>
      <c r="AM107" s="242">
        <f>SUM(AG107:AL107)</f>
        <v>4437753.8039999995</v>
      </c>
      <c r="AN107" s="235">
        <f t="shared" si="71"/>
        <v>34228230.729000002</v>
      </c>
      <c r="AO107" s="236">
        <f t="shared" si="72"/>
        <v>0</v>
      </c>
      <c r="AP107" s="236">
        <f t="shared" si="73"/>
        <v>17114115.364500001</v>
      </c>
      <c r="AQ107" s="236">
        <f t="shared" si="74"/>
        <v>24161104.043999996</v>
      </c>
      <c r="AR107" s="236">
        <f t="shared" si="75"/>
        <v>1006712.6685</v>
      </c>
      <c r="AS107" s="236">
        <f>Y107*$C$42*N107*$C$12</f>
        <v>0</v>
      </c>
      <c r="AT107" s="242">
        <f>SUM(AN107:AS107)</f>
        <v>76510162.806000009</v>
      </c>
      <c r="AU107" s="253">
        <v>0</v>
      </c>
      <c r="AV107" s="246">
        <f>(AF107+AM107+AT107)/10^6-AU107</f>
        <v>102.10120974240002</v>
      </c>
      <c r="AW107" s="257">
        <f t="shared" ref="AW107:AW139" si="77">((B107*$C$46*$C$47*$C$48*$C$49)-$C$50)*$C$51*$C$52</f>
        <v>2.2185409303296706</v>
      </c>
    </row>
    <row r="108" spans="1:49">
      <c r="A108" s="193">
        <f>'Input data'!A101</f>
        <v>2001</v>
      </c>
      <c r="B108" s="208">
        <f>'Input data'!B101</f>
        <v>44.91</v>
      </c>
      <c r="C108" s="114">
        <f>'Input data'!F101</f>
        <v>0.71479999999999999</v>
      </c>
      <c r="D108" s="114">
        <f>'Input data'!G101</f>
        <v>0.28959999999999997</v>
      </c>
      <c r="E108" s="235">
        <f t="shared" si="76"/>
        <v>699002256.375</v>
      </c>
      <c r="F108" s="236">
        <v>0</v>
      </c>
      <c r="G108" s="237">
        <f t="shared" ref="G108:G158" si="78">E108-F108</f>
        <v>699002256.375</v>
      </c>
      <c r="H108" s="118">
        <f t="shared" si="41"/>
        <v>0.1</v>
      </c>
      <c r="I108" s="118">
        <f t="shared" si="44"/>
        <v>0</v>
      </c>
      <c r="J108" s="118">
        <f t="shared" si="45"/>
        <v>0.1</v>
      </c>
      <c r="K108" s="118">
        <f t="shared" si="46"/>
        <v>0.28000000000000003</v>
      </c>
      <c r="L108" s="118">
        <f t="shared" si="47"/>
        <v>0.04</v>
      </c>
      <c r="M108" s="205">
        <f t="shared" si="48"/>
        <v>0.48</v>
      </c>
      <c r="N108" s="117">
        <f t="shared" si="42"/>
        <v>0</v>
      </c>
      <c r="O108" s="118">
        <f t="shared" si="49"/>
        <v>0.7</v>
      </c>
      <c r="P108" s="118">
        <f t="shared" si="50"/>
        <v>0.15</v>
      </c>
      <c r="Q108" s="118">
        <f t="shared" si="51"/>
        <v>0.15</v>
      </c>
      <c r="R108" s="118">
        <f t="shared" si="52"/>
        <v>0</v>
      </c>
      <c r="S108" s="205">
        <f t="shared" si="53"/>
        <v>0</v>
      </c>
      <c r="T108" s="117">
        <f t="shared" ref="T108:T124" si="79">$C$18</f>
        <v>0.34</v>
      </c>
      <c r="U108" s="118">
        <f t="shared" si="54"/>
        <v>0</v>
      </c>
      <c r="V108" s="118">
        <f t="shared" si="55"/>
        <v>0.17</v>
      </c>
      <c r="W108" s="118">
        <f t="shared" si="56"/>
        <v>0.24</v>
      </c>
      <c r="X108" s="118">
        <f t="shared" si="57"/>
        <v>0.05</v>
      </c>
      <c r="Y108" s="205">
        <f t="shared" si="58"/>
        <v>0.2</v>
      </c>
      <c r="Z108" s="235">
        <f t="shared" si="59"/>
        <v>8178326.3995874999</v>
      </c>
      <c r="AA108" s="236">
        <f t="shared" si="60"/>
        <v>0</v>
      </c>
      <c r="AB108" s="236">
        <f t="shared" si="61"/>
        <v>8178326.3995874999</v>
      </c>
      <c r="AC108" s="236">
        <f t="shared" si="62"/>
        <v>4579862.7837690003</v>
      </c>
      <c r="AD108" s="236">
        <f t="shared" si="63"/>
        <v>654266.11196699995</v>
      </c>
      <c r="AE108" s="236">
        <f t="shared" si="64"/>
        <v>0</v>
      </c>
      <c r="AF108" s="242">
        <f t="shared" ref="AF108:AF158" si="80">SUM(Z108:AE108)</f>
        <v>21590781.694910999</v>
      </c>
      <c r="AG108" s="235">
        <f t="shared" si="65"/>
        <v>0</v>
      </c>
      <c r="AH108" s="236">
        <f t="shared" si="66"/>
        <v>0</v>
      </c>
      <c r="AI108" s="236">
        <f t="shared" si="67"/>
        <v>3774612.1844249996</v>
      </c>
      <c r="AJ108" s="236">
        <f t="shared" si="68"/>
        <v>754922.43688499997</v>
      </c>
      <c r="AK108" s="236">
        <f t="shared" si="69"/>
        <v>0</v>
      </c>
      <c r="AL108" s="236">
        <f t="shared" si="70"/>
        <v>0</v>
      </c>
      <c r="AM108" s="242">
        <f t="shared" ref="AM108:AM158" si="81">SUM(AG108:AL108)</f>
        <v>4529534.6213099994</v>
      </c>
      <c r="AN108" s="235">
        <f t="shared" si="71"/>
        <v>34936132.773622498</v>
      </c>
      <c r="AO108" s="236">
        <f t="shared" si="72"/>
        <v>0</v>
      </c>
      <c r="AP108" s="236">
        <f t="shared" si="73"/>
        <v>17468066.386811249</v>
      </c>
      <c r="AQ108" s="236">
        <f t="shared" si="74"/>
        <v>24660799.604909997</v>
      </c>
      <c r="AR108" s="236">
        <f t="shared" si="75"/>
        <v>1027533.31687125</v>
      </c>
      <c r="AS108" s="236">
        <f t="shared" ref="AS108:AS158" si="82">Y108*$C$42*N108*$C$12</f>
        <v>0</v>
      </c>
      <c r="AT108" s="242">
        <f t="shared" ref="AT108:AT158" si="83">SUM(AN108:AS108)</f>
        <v>78092532.082214996</v>
      </c>
      <c r="AU108" s="254">
        <v>0</v>
      </c>
      <c r="AV108" s="246">
        <f t="shared" ref="AV108:AV158" si="84">(AF108+AM108+AT108)/10^6-AU108</f>
        <v>104.21284839843599</v>
      </c>
      <c r="AW108" s="257">
        <f t="shared" si="77"/>
        <v>2.2644243904796704</v>
      </c>
    </row>
    <row r="109" spans="1:49">
      <c r="A109" s="193">
        <f>'Input data'!A102</f>
        <v>2002</v>
      </c>
      <c r="B109" s="208">
        <f>'Input data'!B102</f>
        <v>45.533000000000001</v>
      </c>
      <c r="C109" s="114">
        <f>'Input data'!F102</f>
        <v>0.71479999999999999</v>
      </c>
      <c r="D109" s="114">
        <f>'Input data'!G102</f>
        <v>0.28959999999999997</v>
      </c>
      <c r="E109" s="235">
        <f t="shared" si="76"/>
        <v>708698947.66250014</v>
      </c>
      <c r="F109" s="236">
        <v>0</v>
      </c>
      <c r="G109" s="237">
        <f t="shared" si="78"/>
        <v>708698947.66250014</v>
      </c>
      <c r="H109" s="118">
        <f t="shared" si="41"/>
        <v>0.1</v>
      </c>
      <c r="I109" s="118">
        <f t="shared" si="44"/>
        <v>0</v>
      </c>
      <c r="J109" s="118">
        <f t="shared" si="45"/>
        <v>0.1</v>
      </c>
      <c r="K109" s="118">
        <f t="shared" si="46"/>
        <v>0.28000000000000003</v>
      </c>
      <c r="L109" s="118">
        <f t="shared" si="47"/>
        <v>0.04</v>
      </c>
      <c r="M109" s="205">
        <f t="shared" si="48"/>
        <v>0.48</v>
      </c>
      <c r="N109" s="117">
        <f t="shared" si="42"/>
        <v>0</v>
      </c>
      <c r="O109" s="118">
        <f t="shared" si="49"/>
        <v>0.7</v>
      </c>
      <c r="P109" s="118">
        <f t="shared" si="50"/>
        <v>0.15</v>
      </c>
      <c r="Q109" s="118">
        <f t="shared" si="51"/>
        <v>0.15</v>
      </c>
      <c r="R109" s="118">
        <f t="shared" si="52"/>
        <v>0</v>
      </c>
      <c r="S109" s="205">
        <f t="shared" si="53"/>
        <v>0</v>
      </c>
      <c r="T109" s="117">
        <f t="shared" si="79"/>
        <v>0.34</v>
      </c>
      <c r="U109" s="118">
        <f t="shared" si="54"/>
        <v>0</v>
      </c>
      <c r="V109" s="118">
        <f t="shared" si="55"/>
        <v>0.17</v>
      </c>
      <c r="W109" s="118">
        <f t="shared" si="56"/>
        <v>0.24</v>
      </c>
      <c r="X109" s="118">
        <f t="shared" si="57"/>
        <v>0.05</v>
      </c>
      <c r="Y109" s="205">
        <f t="shared" si="58"/>
        <v>0.2</v>
      </c>
      <c r="Z109" s="235">
        <f t="shared" si="59"/>
        <v>8291777.6876512524</v>
      </c>
      <c r="AA109" s="236">
        <f t="shared" si="60"/>
        <v>0</v>
      </c>
      <c r="AB109" s="236">
        <f t="shared" si="61"/>
        <v>8291777.6876512524</v>
      </c>
      <c r="AC109" s="236">
        <f t="shared" si="62"/>
        <v>4643395.5050847018</v>
      </c>
      <c r="AD109" s="236">
        <f t="shared" si="63"/>
        <v>663342.21501210006</v>
      </c>
      <c r="AE109" s="236">
        <f t="shared" si="64"/>
        <v>0</v>
      </c>
      <c r="AF109" s="242">
        <f t="shared" si="80"/>
        <v>21890293.095399305</v>
      </c>
      <c r="AG109" s="235">
        <f t="shared" si="65"/>
        <v>0</v>
      </c>
      <c r="AH109" s="236">
        <f t="shared" si="66"/>
        <v>0</v>
      </c>
      <c r="AI109" s="236">
        <f t="shared" si="67"/>
        <v>3826974.3173775007</v>
      </c>
      <c r="AJ109" s="236">
        <f t="shared" si="68"/>
        <v>765394.86347550002</v>
      </c>
      <c r="AK109" s="236">
        <f t="shared" si="69"/>
        <v>0</v>
      </c>
      <c r="AL109" s="236">
        <f t="shared" si="70"/>
        <v>0</v>
      </c>
      <c r="AM109" s="242">
        <f t="shared" si="81"/>
        <v>4592369.1808530008</v>
      </c>
      <c r="AN109" s="235">
        <f t="shared" si="71"/>
        <v>35420773.404171757</v>
      </c>
      <c r="AO109" s="236">
        <f t="shared" si="72"/>
        <v>0</v>
      </c>
      <c r="AP109" s="236">
        <f t="shared" si="73"/>
        <v>17710386.702085879</v>
      </c>
      <c r="AQ109" s="236">
        <f t="shared" si="74"/>
        <v>25002898.873532999</v>
      </c>
      <c r="AR109" s="236">
        <f t="shared" si="75"/>
        <v>1041787.4530638753</v>
      </c>
      <c r="AS109" s="236">
        <f t="shared" si="82"/>
        <v>0</v>
      </c>
      <c r="AT109" s="242">
        <f t="shared" si="83"/>
        <v>79175846.432854503</v>
      </c>
      <c r="AU109" s="254">
        <v>0</v>
      </c>
      <c r="AV109" s="246">
        <f t="shared" si="84"/>
        <v>105.6585087091068</v>
      </c>
      <c r="AW109" s="257">
        <f t="shared" si="77"/>
        <v>2.2958369131977472</v>
      </c>
    </row>
    <row r="110" spans="1:49">
      <c r="A110" s="193">
        <f>'Input data'!A103</f>
        <v>2003</v>
      </c>
      <c r="B110" s="208">
        <f>'Input data'!B103</f>
        <v>46.116</v>
      </c>
      <c r="C110" s="114">
        <f>'Input data'!F103</f>
        <v>0.71479999999999999</v>
      </c>
      <c r="D110" s="114">
        <f>'Input data'!G103</f>
        <v>0.28959999999999997</v>
      </c>
      <c r="E110" s="235">
        <f t="shared" si="76"/>
        <v>717773058.45000017</v>
      </c>
      <c r="F110" s="236">
        <v>0</v>
      </c>
      <c r="G110" s="237">
        <f t="shared" si="78"/>
        <v>717773058.45000017</v>
      </c>
      <c r="H110" s="118">
        <f t="shared" si="41"/>
        <v>0.1</v>
      </c>
      <c r="I110" s="118">
        <f t="shared" si="44"/>
        <v>0</v>
      </c>
      <c r="J110" s="118">
        <f t="shared" si="45"/>
        <v>0.1</v>
      </c>
      <c r="K110" s="118">
        <f t="shared" si="46"/>
        <v>0.28000000000000003</v>
      </c>
      <c r="L110" s="118">
        <f t="shared" si="47"/>
        <v>0.04</v>
      </c>
      <c r="M110" s="205">
        <f t="shared" si="48"/>
        <v>0.48</v>
      </c>
      <c r="N110" s="117">
        <f t="shared" si="42"/>
        <v>0</v>
      </c>
      <c r="O110" s="118">
        <f t="shared" si="49"/>
        <v>0.7</v>
      </c>
      <c r="P110" s="118">
        <f t="shared" si="50"/>
        <v>0.15</v>
      </c>
      <c r="Q110" s="118">
        <f t="shared" si="51"/>
        <v>0.15</v>
      </c>
      <c r="R110" s="118">
        <f t="shared" si="52"/>
        <v>0</v>
      </c>
      <c r="S110" s="205">
        <f t="shared" si="53"/>
        <v>0</v>
      </c>
      <c r="T110" s="117">
        <f t="shared" si="79"/>
        <v>0.34</v>
      </c>
      <c r="U110" s="118">
        <f t="shared" si="54"/>
        <v>0</v>
      </c>
      <c r="V110" s="118">
        <f t="shared" si="55"/>
        <v>0.17</v>
      </c>
      <c r="W110" s="118">
        <f t="shared" si="56"/>
        <v>0.24</v>
      </c>
      <c r="X110" s="118">
        <f t="shared" si="57"/>
        <v>0.05</v>
      </c>
      <c r="Y110" s="205">
        <f t="shared" si="58"/>
        <v>0.2</v>
      </c>
      <c r="Z110" s="235">
        <f t="shared" si="59"/>
        <v>8397944.7838650011</v>
      </c>
      <c r="AA110" s="236">
        <f t="shared" si="60"/>
        <v>0</v>
      </c>
      <c r="AB110" s="236">
        <f t="shared" si="61"/>
        <v>8397944.7838650011</v>
      </c>
      <c r="AC110" s="236">
        <f t="shared" si="62"/>
        <v>4702849.078964402</v>
      </c>
      <c r="AD110" s="236">
        <f t="shared" si="63"/>
        <v>671835.58270920021</v>
      </c>
      <c r="AE110" s="236">
        <f t="shared" si="64"/>
        <v>0</v>
      </c>
      <c r="AF110" s="242">
        <f t="shared" si="80"/>
        <v>22170574.229403604</v>
      </c>
      <c r="AG110" s="235">
        <f t="shared" si="65"/>
        <v>0</v>
      </c>
      <c r="AH110" s="236">
        <f t="shared" si="66"/>
        <v>0</v>
      </c>
      <c r="AI110" s="236">
        <f t="shared" si="67"/>
        <v>3875974.5156300007</v>
      </c>
      <c r="AJ110" s="236">
        <f t="shared" si="68"/>
        <v>775194.90312600019</v>
      </c>
      <c r="AK110" s="236">
        <f t="shared" si="69"/>
        <v>0</v>
      </c>
      <c r="AL110" s="236">
        <f t="shared" si="70"/>
        <v>0</v>
      </c>
      <c r="AM110" s="242">
        <f t="shared" si="81"/>
        <v>4651169.4187560007</v>
      </c>
      <c r="AN110" s="235">
        <f t="shared" si="71"/>
        <v>35874297.46133101</v>
      </c>
      <c r="AO110" s="236">
        <f t="shared" si="72"/>
        <v>0</v>
      </c>
      <c r="AP110" s="236">
        <f t="shared" si="73"/>
        <v>17937148.730665505</v>
      </c>
      <c r="AQ110" s="236">
        <f t="shared" si="74"/>
        <v>25323033.502116006</v>
      </c>
      <c r="AR110" s="236">
        <f t="shared" si="75"/>
        <v>1055126.3959215002</v>
      </c>
      <c r="AS110" s="236">
        <f t="shared" si="82"/>
        <v>0</v>
      </c>
      <c r="AT110" s="242">
        <f t="shared" si="83"/>
        <v>80189606.090034023</v>
      </c>
      <c r="AU110" s="254">
        <v>0</v>
      </c>
      <c r="AV110" s="246">
        <f t="shared" si="84"/>
        <v>107.01134973819363</v>
      </c>
      <c r="AW110" s="257">
        <f t="shared" si="77"/>
        <v>2.3252325805246157</v>
      </c>
    </row>
    <row r="111" spans="1:49">
      <c r="A111" s="193">
        <f>'Input data'!A104</f>
        <v>2004</v>
      </c>
      <c r="B111" s="208">
        <f>'Input data'!B104</f>
        <v>46.664999999999999</v>
      </c>
      <c r="C111" s="114">
        <f>'Input data'!F104</f>
        <v>0.71479999999999999</v>
      </c>
      <c r="D111" s="114">
        <f>'Input data'!G104</f>
        <v>0.28959999999999997</v>
      </c>
      <c r="E111" s="235">
        <f t="shared" si="76"/>
        <v>726317975.81250012</v>
      </c>
      <c r="F111" s="236">
        <v>0</v>
      </c>
      <c r="G111" s="237">
        <f t="shared" si="78"/>
        <v>726317975.81250012</v>
      </c>
      <c r="H111" s="118">
        <f t="shared" si="41"/>
        <v>0.1</v>
      </c>
      <c r="I111" s="118">
        <f t="shared" si="44"/>
        <v>0</v>
      </c>
      <c r="J111" s="118">
        <f t="shared" si="45"/>
        <v>0.1</v>
      </c>
      <c r="K111" s="118">
        <f t="shared" si="46"/>
        <v>0.28000000000000003</v>
      </c>
      <c r="L111" s="118">
        <f t="shared" si="47"/>
        <v>0.04</v>
      </c>
      <c r="M111" s="205">
        <f t="shared" si="48"/>
        <v>0.48</v>
      </c>
      <c r="N111" s="117">
        <f t="shared" si="42"/>
        <v>0</v>
      </c>
      <c r="O111" s="118">
        <f t="shared" si="49"/>
        <v>0.7</v>
      </c>
      <c r="P111" s="118">
        <f t="shared" si="50"/>
        <v>0.15</v>
      </c>
      <c r="Q111" s="118">
        <f t="shared" si="51"/>
        <v>0.15</v>
      </c>
      <c r="R111" s="118">
        <f t="shared" si="52"/>
        <v>0</v>
      </c>
      <c r="S111" s="205">
        <f t="shared" si="53"/>
        <v>0</v>
      </c>
      <c r="T111" s="117">
        <f t="shared" si="79"/>
        <v>0.34</v>
      </c>
      <c r="U111" s="118">
        <f t="shared" si="54"/>
        <v>0</v>
      </c>
      <c r="V111" s="118">
        <f t="shared" si="55"/>
        <v>0.17</v>
      </c>
      <c r="W111" s="118">
        <f t="shared" si="56"/>
        <v>0.24</v>
      </c>
      <c r="X111" s="118">
        <f t="shared" si="57"/>
        <v>0.05</v>
      </c>
      <c r="Y111" s="205">
        <f t="shared" si="58"/>
        <v>0.2</v>
      </c>
      <c r="Z111" s="235">
        <f t="shared" si="59"/>
        <v>8497920.3170062508</v>
      </c>
      <c r="AA111" s="236">
        <f t="shared" si="60"/>
        <v>0</v>
      </c>
      <c r="AB111" s="236">
        <f t="shared" si="61"/>
        <v>8497920.3170062508</v>
      </c>
      <c r="AC111" s="236">
        <f t="shared" si="62"/>
        <v>4758835.3775235014</v>
      </c>
      <c r="AD111" s="236">
        <f t="shared" si="63"/>
        <v>679833.62536050007</v>
      </c>
      <c r="AE111" s="236">
        <f t="shared" si="64"/>
        <v>0</v>
      </c>
      <c r="AF111" s="242">
        <f t="shared" si="80"/>
        <v>22434509.636896502</v>
      </c>
      <c r="AG111" s="235">
        <f t="shared" si="65"/>
        <v>0</v>
      </c>
      <c r="AH111" s="236">
        <f t="shared" si="66"/>
        <v>0</v>
      </c>
      <c r="AI111" s="236">
        <f t="shared" si="67"/>
        <v>3922117.0693875002</v>
      </c>
      <c r="AJ111" s="236">
        <f t="shared" si="68"/>
        <v>784423.41387749999</v>
      </c>
      <c r="AK111" s="236">
        <f t="shared" si="69"/>
        <v>0</v>
      </c>
      <c r="AL111" s="236">
        <f t="shared" si="70"/>
        <v>0</v>
      </c>
      <c r="AM111" s="242">
        <f t="shared" si="81"/>
        <v>4706540.4832650004</v>
      </c>
      <c r="AN111" s="235">
        <f t="shared" si="71"/>
        <v>36301372.431108758</v>
      </c>
      <c r="AO111" s="236">
        <f t="shared" si="72"/>
        <v>0</v>
      </c>
      <c r="AP111" s="236">
        <f t="shared" si="73"/>
        <v>18150686.215554379</v>
      </c>
      <c r="AQ111" s="236">
        <f t="shared" si="74"/>
        <v>25624498.186665002</v>
      </c>
      <c r="AR111" s="236">
        <f t="shared" si="75"/>
        <v>1067687.4244443753</v>
      </c>
      <c r="AS111" s="236">
        <f t="shared" si="82"/>
        <v>0</v>
      </c>
      <c r="AT111" s="242">
        <f t="shared" si="83"/>
        <v>81144244.25777252</v>
      </c>
      <c r="AU111" s="254">
        <v>0</v>
      </c>
      <c r="AV111" s="246">
        <f t="shared" si="84"/>
        <v>108.28529437793402</v>
      </c>
      <c r="AW111" s="257">
        <f t="shared" si="77"/>
        <v>2.3529139207689562</v>
      </c>
    </row>
    <row r="112" spans="1:49">
      <c r="A112" s="193">
        <f>'Input data'!A105</f>
        <v>2005</v>
      </c>
      <c r="B112" s="208">
        <f>'Input data'!B105</f>
        <v>47.198</v>
      </c>
      <c r="C112" s="114">
        <f>'Input data'!F105</f>
        <v>0.71479999999999999</v>
      </c>
      <c r="D112" s="114">
        <f>'Input data'!G105</f>
        <v>0.28959999999999997</v>
      </c>
      <c r="E112" s="235">
        <f t="shared" si="76"/>
        <v>734613860.97500002</v>
      </c>
      <c r="F112" s="236">
        <v>0</v>
      </c>
      <c r="G112" s="237">
        <f t="shared" si="78"/>
        <v>734613860.97500002</v>
      </c>
      <c r="H112" s="118">
        <f t="shared" si="41"/>
        <v>0.1</v>
      </c>
      <c r="I112" s="118">
        <f t="shared" si="44"/>
        <v>0</v>
      </c>
      <c r="J112" s="118">
        <f t="shared" si="45"/>
        <v>0.1</v>
      </c>
      <c r="K112" s="118">
        <f t="shared" si="46"/>
        <v>0.28000000000000003</v>
      </c>
      <c r="L112" s="118">
        <f t="shared" si="47"/>
        <v>0.04</v>
      </c>
      <c r="M112" s="205">
        <f t="shared" si="48"/>
        <v>0.48</v>
      </c>
      <c r="N112" s="117">
        <f t="shared" si="42"/>
        <v>0</v>
      </c>
      <c r="O112" s="118">
        <f t="shared" si="49"/>
        <v>0.7</v>
      </c>
      <c r="P112" s="118">
        <f t="shared" si="50"/>
        <v>0.15</v>
      </c>
      <c r="Q112" s="118">
        <f t="shared" si="51"/>
        <v>0.15</v>
      </c>
      <c r="R112" s="118">
        <f t="shared" si="52"/>
        <v>0</v>
      </c>
      <c r="S112" s="205">
        <f t="shared" si="53"/>
        <v>0</v>
      </c>
      <c r="T112" s="117">
        <f t="shared" si="79"/>
        <v>0.34</v>
      </c>
      <c r="U112" s="118">
        <f t="shared" si="54"/>
        <v>0</v>
      </c>
      <c r="V112" s="118">
        <f t="shared" si="55"/>
        <v>0.17</v>
      </c>
      <c r="W112" s="118">
        <f t="shared" si="56"/>
        <v>0.24</v>
      </c>
      <c r="X112" s="118">
        <f t="shared" si="57"/>
        <v>0.05</v>
      </c>
      <c r="Y112" s="205">
        <f t="shared" si="58"/>
        <v>0.2</v>
      </c>
      <c r="Z112" s="235">
        <f t="shared" si="59"/>
        <v>8594982.1734075006</v>
      </c>
      <c r="AA112" s="236">
        <f t="shared" si="60"/>
        <v>0</v>
      </c>
      <c r="AB112" s="236">
        <f t="shared" si="61"/>
        <v>8594982.1734075006</v>
      </c>
      <c r="AC112" s="236">
        <f t="shared" si="62"/>
        <v>4813190.017108201</v>
      </c>
      <c r="AD112" s="236">
        <f t="shared" si="63"/>
        <v>687598.57387259998</v>
      </c>
      <c r="AE112" s="236">
        <f t="shared" si="64"/>
        <v>0</v>
      </c>
      <c r="AF112" s="242">
        <f t="shared" si="80"/>
        <v>22690752.937795803</v>
      </c>
      <c r="AG112" s="235">
        <f t="shared" si="65"/>
        <v>0</v>
      </c>
      <c r="AH112" s="236">
        <f t="shared" si="66"/>
        <v>0</v>
      </c>
      <c r="AI112" s="236">
        <f t="shared" si="67"/>
        <v>3966914.8492649999</v>
      </c>
      <c r="AJ112" s="236">
        <f t="shared" si="68"/>
        <v>793382.9698529999</v>
      </c>
      <c r="AK112" s="236">
        <f t="shared" si="69"/>
        <v>0</v>
      </c>
      <c r="AL112" s="236">
        <f t="shared" si="70"/>
        <v>0</v>
      </c>
      <c r="AM112" s="242">
        <f t="shared" si="81"/>
        <v>4760297.8191179996</v>
      </c>
      <c r="AN112" s="235">
        <f t="shared" si="71"/>
        <v>36716000.771530502</v>
      </c>
      <c r="AO112" s="236">
        <f t="shared" si="72"/>
        <v>0</v>
      </c>
      <c r="AP112" s="236">
        <f t="shared" si="73"/>
        <v>18358000.385765251</v>
      </c>
      <c r="AQ112" s="236">
        <f t="shared" si="74"/>
        <v>25917177.015198</v>
      </c>
      <c r="AR112" s="236">
        <f t="shared" si="75"/>
        <v>1079882.37563325</v>
      </c>
      <c r="AS112" s="236">
        <f t="shared" si="82"/>
        <v>0</v>
      </c>
      <c r="AT112" s="242">
        <f t="shared" si="83"/>
        <v>82071060.54812701</v>
      </c>
      <c r="AU112" s="254">
        <v>0</v>
      </c>
      <c r="AV112" s="246">
        <f t="shared" si="84"/>
        <v>109.52211130504081</v>
      </c>
      <c r="AW112" s="257">
        <f t="shared" si="77"/>
        <v>2.3797885188568135</v>
      </c>
    </row>
    <row r="113" spans="1:49">
      <c r="A113" s="193">
        <f>'Input data'!A106</f>
        <v>2006</v>
      </c>
      <c r="B113" s="208">
        <f>'Input data'!B106</f>
        <v>47.731000000000002</v>
      </c>
      <c r="C113" s="114">
        <f>'Input data'!F106</f>
        <v>0.71479999999999999</v>
      </c>
      <c r="D113" s="114">
        <f>'Input data'!G106</f>
        <v>0.28959999999999997</v>
      </c>
      <c r="E113" s="235">
        <f t="shared" si="76"/>
        <v>742909746.13750005</v>
      </c>
      <c r="F113" s="236">
        <v>0</v>
      </c>
      <c r="G113" s="237">
        <f t="shared" si="78"/>
        <v>742909746.13750005</v>
      </c>
      <c r="H113" s="118">
        <f t="shared" si="41"/>
        <v>0.1</v>
      </c>
      <c r="I113" s="118">
        <f t="shared" si="44"/>
        <v>0</v>
      </c>
      <c r="J113" s="118">
        <f t="shared" si="45"/>
        <v>0.1</v>
      </c>
      <c r="K113" s="118">
        <f t="shared" si="46"/>
        <v>0.28000000000000003</v>
      </c>
      <c r="L113" s="118">
        <f t="shared" si="47"/>
        <v>0.04</v>
      </c>
      <c r="M113" s="205">
        <f t="shared" si="48"/>
        <v>0.48</v>
      </c>
      <c r="N113" s="117">
        <f t="shared" si="42"/>
        <v>0</v>
      </c>
      <c r="O113" s="118">
        <f t="shared" si="49"/>
        <v>0.7</v>
      </c>
      <c r="P113" s="118">
        <f t="shared" si="50"/>
        <v>0.15</v>
      </c>
      <c r="Q113" s="118">
        <f t="shared" si="51"/>
        <v>0.15</v>
      </c>
      <c r="R113" s="118">
        <f t="shared" si="52"/>
        <v>0</v>
      </c>
      <c r="S113" s="205">
        <f t="shared" si="53"/>
        <v>0</v>
      </c>
      <c r="T113" s="117">
        <f t="shared" si="79"/>
        <v>0.34</v>
      </c>
      <c r="U113" s="118">
        <f t="shared" si="54"/>
        <v>0</v>
      </c>
      <c r="V113" s="118">
        <f t="shared" si="55"/>
        <v>0.17</v>
      </c>
      <c r="W113" s="118">
        <f t="shared" si="56"/>
        <v>0.24</v>
      </c>
      <c r="X113" s="118">
        <f t="shared" si="57"/>
        <v>0.05</v>
      </c>
      <c r="Y113" s="205">
        <f t="shared" si="58"/>
        <v>0.2</v>
      </c>
      <c r="Z113" s="235">
        <f t="shared" si="59"/>
        <v>8692044.0298087504</v>
      </c>
      <c r="AA113" s="236">
        <f t="shared" si="60"/>
        <v>0</v>
      </c>
      <c r="AB113" s="236">
        <f t="shared" si="61"/>
        <v>8692044.0298087504</v>
      </c>
      <c r="AC113" s="236">
        <f t="shared" si="62"/>
        <v>4867544.6566929016</v>
      </c>
      <c r="AD113" s="236">
        <f t="shared" si="63"/>
        <v>695363.52238470002</v>
      </c>
      <c r="AE113" s="236">
        <f t="shared" si="64"/>
        <v>0</v>
      </c>
      <c r="AF113" s="242">
        <f t="shared" si="80"/>
        <v>22946996.238695104</v>
      </c>
      <c r="AG113" s="235">
        <f t="shared" si="65"/>
        <v>0</v>
      </c>
      <c r="AH113" s="236">
        <f t="shared" si="66"/>
        <v>0</v>
      </c>
      <c r="AI113" s="236">
        <f t="shared" si="67"/>
        <v>4011712.6291425</v>
      </c>
      <c r="AJ113" s="236">
        <f t="shared" si="68"/>
        <v>802342.52582850005</v>
      </c>
      <c r="AK113" s="236">
        <f t="shared" si="69"/>
        <v>0</v>
      </c>
      <c r="AL113" s="236">
        <f t="shared" si="70"/>
        <v>0</v>
      </c>
      <c r="AM113" s="242">
        <f t="shared" si="81"/>
        <v>4814055.1549709998</v>
      </c>
      <c r="AN113" s="235">
        <f t="shared" si="71"/>
        <v>37130629.111952253</v>
      </c>
      <c r="AO113" s="236">
        <f t="shared" si="72"/>
        <v>0</v>
      </c>
      <c r="AP113" s="236">
        <f t="shared" si="73"/>
        <v>18565314.555976126</v>
      </c>
      <c r="AQ113" s="236">
        <f t="shared" si="74"/>
        <v>26209855.843731001</v>
      </c>
      <c r="AR113" s="236">
        <f t="shared" si="75"/>
        <v>1092077.3268221251</v>
      </c>
      <c r="AS113" s="236">
        <f t="shared" si="82"/>
        <v>0</v>
      </c>
      <c r="AT113" s="242">
        <f t="shared" si="83"/>
        <v>82997876.838481516</v>
      </c>
      <c r="AU113" s="254">
        <v>0</v>
      </c>
      <c r="AV113" s="246">
        <f t="shared" si="84"/>
        <v>110.75892823214762</v>
      </c>
      <c r="AW113" s="257">
        <f t="shared" si="77"/>
        <v>2.4066631169446708</v>
      </c>
    </row>
    <row r="114" spans="1:49">
      <c r="A114" s="193">
        <f>'Input data'!A107</f>
        <v>2007</v>
      </c>
      <c r="B114" s="208">
        <f>'Input data'!B107</f>
        <v>48.256999999999998</v>
      </c>
      <c r="C114" s="114">
        <f>'Input data'!F107</f>
        <v>0.71479999999999999</v>
      </c>
      <c r="D114" s="114">
        <f>'Input data'!G107</f>
        <v>0.28959999999999997</v>
      </c>
      <c r="E114" s="235">
        <f t="shared" si="76"/>
        <v>751096679.7125001</v>
      </c>
      <c r="F114" s="236">
        <v>0</v>
      </c>
      <c r="G114" s="237">
        <f t="shared" si="78"/>
        <v>751096679.7125001</v>
      </c>
      <c r="H114" s="118">
        <f t="shared" si="41"/>
        <v>0.1</v>
      </c>
      <c r="I114" s="118">
        <f t="shared" si="44"/>
        <v>0</v>
      </c>
      <c r="J114" s="118">
        <f t="shared" si="45"/>
        <v>0.1</v>
      </c>
      <c r="K114" s="118">
        <f t="shared" si="46"/>
        <v>0.28000000000000003</v>
      </c>
      <c r="L114" s="118">
        <f t="shared" si="47"/>
        <v>0.04</v>
      </c>
      <c r="M114" s="205">
        <f t="shared" si="48"/>
        <v>0.48</v>
      </c>
      <c r="N114" s="117">
        <f t="shared" si="42"/>
        <v>0</v>
      </c>
      <c r="O114" s="118">
        <f t="shared" si="49"/>
        <v>0.7</v>
      </c>
      <c r="P114" s="118">
        <f t="shared" si="50"/>
        <v>0.15</v>
      </c>
      <c r="Q114" s="118">
        <f t="shared" si="51"/>
        <v>0.15</v>
      </c>
      <c r="R114" s="118">
        <f t="shared" si="52"/>
        <v>0</v>
      </c>
      <c r="S114" s="205">
        <f t="shared" si="53"/>
        <v>0</v>
      </c>
      <c r="T114" s="117">
        <f t="shared" si="79"/>
        <v>0.34</v>
      </c>
      <c r="U114" s="118">
        <f t="shared" si="54"/>
        <v>0</v>
      </c>
      <c r="V114" s="118">
        <f t="shared" si="55"/>
        <v>0.17</v>
      </c>
      <c r="W114" s="118">
        <f t="shared" si="56"/>
        <v>0.24</v>
      </c>
      <c r="X114" s="118">
        <f t="shared" si="57"/>
        <v>0.05</v>
      </c>
      <c r="Y114" s="205">
        <f t="shared" si="58"/>
        <v>0.2</v>
      </c>
      <c r="Z114" s="235">
        <f t="shared" si="59"/>
        <v>8787831.1526362505</v>
      </c>
      <c r="AA114" s="236">
        <f t="shared" si="60"/>
        <v>0</v>
      </c>
      <c r="AB114" s="236">
        <f t="shared" si="61"/>
        <v>8787831.1526362505</v>
      </c>
      <c r="AC114" s="236">
        <f t="shared" si="62"/>
        <v>4921185.4454763019</v>
      </c>
      <c r="AD114" s="236">
        <f t="shared" si="63"/>
        <v>703026.49221090006</v>
      </c>
      <c r="AE114" s="236">
        <f t="shared" si="64"/>
        <v>0</v>
      </c>
      <c r="AF114" s="242">
        <f t="shared" si="80"/>
        <v>23199874.242959701</v>
      </c>
      <c r="AG114" s="235">
        <f t="shared" si="65"/>
        <v>0</v>
      </c>
      <c r="AH114" s="236">
        <f t="shared" si="66"/>
        <v>0</v>
      </c>
      <c r="AI114" s="236">
        <f t="shared" si="67"/>
        <v>4055922.0704474999</v>
      </c>
      <c r="AJ114" s="236">
        <f t="shared" si="68"/>
        <v>811184.41408949997</v>
      </c>
      <c r="AK114" s="236">
        <f t="shared" si="69"/>
        <v>0</v>
      </c>
      <c r="AL114" s="236">
        <f t="shared" si="70"/>
        <v>0</v>
      </c>
      <c r="AM114" s="242">
        <f t="shared" si="81"/>
        <v>4867106.4845369998</v>
      </c>
      <c r="AN114" s="235">
        <f t="shared" si="71"/>
        <v>37539812.052030757</v>
      </c>
      <c r="AO114" s="236">
        <f t="shared" si="72"/>
        <v>0</v>
      </c>
      <c r="AP114" s="236">
        <f t="shared" si="73"/>
        <v>18769906.026015379</v>
      </c>
      <c r="AQ114" s="236">
        <f t="shared" si="74"/>
        <v>26498690.860257</v>
      </c>
      <c r="AR114" s="236">
        <f t="shared" si="75"/>
        <v>1104112.1191773752</v>
      </c>
      <c r="AS114" s="236">
        <f t="shared" si="82"/>
        <v>0</v>
      </c>
      <c r="AT114" s="242">
        <f t="shared" si="83"/>
        <v>83912521.057480514</v>
      </c>
      <c r="AU114" s="254">
        <v>0</v>
      </c>
      <c r="AV114" s="246">
        <f t="shared" si="84"/>
        <v>111.97950178497722</v>
      </c>
      <c r="AW114" s="257">
        <f t="shared" si="77"/>
        <v>2.4331847653390661</v>
      </c>
    </row>
    <row r="115" spans="1:49">
      <c r="A115" s="193">
        <f>'Input data'!A108</f>
        <v>2008</v>
      </c>
      <c r="B115" s="208">
        <f>'Input data'!B108</f>
        <v>48.792999999999999</v>
      </c>
      <c r="C115" s="114">
        <f>'Input data'!F108</f>
        <v>0.71479999999999999</v>
      </c>
      <c r="D115" s="114">
        <f>'Input data'!G108</f>
        <v>0.28959999999999997</v>
      </c>
      <c r="E115" s="235">
        <f t="shared" si="76"/>
        <v>759439258.41250002</v>
      </c>
      <c r="F115" s="236">
        <v>0</v>
      </c>
      <c r="G115" s="237">
        <f t="shared" si="78"/>
        <v>759439258.41250002</v>
      </c>
      <c r="H115" s="118">
        <f t="shared" si="41"/>
        <v>0.1</v>
      </c>
      <c r="I115" s="118">
        <f t="shared" si="44"/>
        <v>0</v>
      </c>
      <c r="J115" s="118">
        <f t="shared" si="45"/>
        <v>0.1</v>
      </c>
      <c r="K115" s="118">
        <f t="shared" si="46"/>
        <v>0.28000000000000003</v>
      </c>
      <c r="L115" s="118">
        <f t="shared" si="47"/>
        <v>0.04</v>
      </c>
      <c r="M115" s="205">
        <f t="shared" si="48"/>
        <v>0.48</v>
      </c>
      <c r="N115" s="117">
        <f t="shared" si="42"/>
        <v>0</v>
      </c>
      <c r="O115" s="118">
        <f t="shared" si="49"/>
        <v>0.7</v>
      </c>
      <c r="P115" s="118">
        <f t="shared" si="50"/>
        <v>0.15</v>
      </c>
      <c r="Q115" s="118">
        <f t="shared" si="51"/>
        <v>0.15</v>
      </c>
      <c r="R115" s="118">
        <f t="shared" si="52"/>
        <v>0</v>
      </c>
      <c r="S115" s="205">
        <f t="shared" si="53"/>
        <v>0</v>
      </c>
      <c r="T115" s="117">
        <f t="shared" si="79"/>
        <v>0.34</v>
      </c>
      <c r="U115" s="118">
        <f t="shared" si="54"/>
        <v>0</v>
      </c>
      <c r="V115" s="118">
        <f t="shared" si="55"/>
        <v>0.17</v>
      </c>
      <c r="W115" s="118">
        <f t="shared" si="56"/>
        <v>0.24</v>
      </c>
      <c r="X115" s="118">
        <f t="shared" si="57"/>
        <v>0.05</v>
      </c>
      <c r="Y115" s="205">
        <f t="shared" si="58"/>
        <v>0.2</v>
      </c>
      <c r="Z115" s="235">
        <f t="shared" si="59"/>
        <v>8885439.3234262504</v>
      </c>
      <c r="AA115" s="236">
        <f t="shared" si="60"/>
        <v>0</v>
      </c>
      <c r="AB115" s="236">
        <f t="shared" si="61"/>
        <v>8885439.3234262504</v>
      </c>
      <c r="AC115" s="236">
        <f t="shared" si="62"/>
        <v>4975846.0211187014</v>
      </c>
      <c r="AD115" s="236">
        <f t="shared" si="63"/>
        <v>710835.14587409992</v>
      </c>
      <c r="AE115" s="236">
        <f t="shared" si="64"/>
        <v>0</v>
      </c>
      <c r="AF115" s="242">
        <f t="shared" si="80"/>
        <v>23457559.813845303</v>
      </c>
      <c r="AG115" s="235">
        <f t="shared" si="65"/>
        <v>0</v>
      </c>
      <c r="AH115" s="236">
        <f t="shared" si="66"/>
        <v>0</v>
      </c>
      <c r="AI115" s="236">
        <f t="shared" si="67"/>
        <v>4100971.9954275</v>
      </c>
      <c r="AJ115" s="236">
        <f t="shared" si="68"/>
        <v>820194.39908549993</v>
      </c>
      <c r="AK115" s="236">
        <f t="shared" si="69"/>
        <v>0</v>
      </c>
      <c r="AL115" s="236">
        <f t="shared" si="70"/>
        <v>0</v>
      </c>
      <c r="AM115" s="242">
        <f t="shared" si="81"/>
        <v>4921166.3945129998</v>
      </c>
      <c r="AN115" s="235">
        <f t="shared" si="71"/>
        <v>37956774.135456756</v>
      </c>
      <c r="AO115" s="236">
        <f t="shared" si="72"/>
        <v>0</v>
      </c>
      <c r="AP115" s="236">
        <f t="shared" si="73"/>
        <v>18978387.067728378</v>
      </c>
      <c r="AQ115" s="236">
        <f t="shared" si="74"/>
        <v>26793017.036793001</v>
      </c>
      <c r="AR115" s="236">
        <f t="shared" si="75"/>
        <v>1116375.709866375</v>
      </c>
      <c r="AS115" s="236">
        <f t="shared" si="82"/>
        <v>0</v>
      </c>
      <c r="AT115" s="242">
        <f t="shared" si="83"/>
        <v>84844553.949844509</v>
      </c>
      <c r="AU115" s="254">
        <v>0</v>
      </c>
      <c r="AV115" s="246">
        <f t="shared" si="84"/>
        <v>113.22328015820281</v>
      </c>
      <c r="AW115" s="257">
        <f t="shared" si="77"/>
        <v>2.4602106275812643</v>
      </c>
    </row>
    <row r="116" spans="1:49">
      <c r="A116" s="193">
        <f>'Input data'!A109</f>
        <v>2009</v>
      </c>
      <c r="B116" s="208">
        <f>'Input data'!B109</f>
        <v>49.32</v>
      </c>
      <c r="C116" s="114">
        <f>'Input data'!F109</f>
        <v>0.71479999999999999</v>
      </c>
      <c r="D116" s="114">
        <f>'Input data'!G109</f>
        <v>0.28959999999999997</v>
      </c>
      <c r="E116" s="235">
        <f t="shared" si="76"/>
        <v>767641756.5</v>
      </c>
      <c r="F116" s="236">
        <v>0</v>
      </c>
      <c r="G116" s="237">
        <f t="shared" si="78"/>
        <v>767641756.5</v>
      </c>
      <c r="H116" s="118">
        <f t="shared" si="41"/>
        <v>0.1</v>
      </c>
      <c r="I116" s="118">
        <f t="shared" si="44"/>
        <v>0</v>
      </c>
      <c r="J116" s="118">
        <f t="shared" si="45"/>
        <v>0.1</v>
      </c>
      <c r="K116" s="118">
        <f t="shared" si="46"/>
        <v>0.28000000000000003</v>
      </c>
      <c r="L116" s="118">
        <f t="shared" si="47"/>
        <v>0.04</v>
      </c>
      <c r="M116" s="205">
        <f t="shared" si="48"/>
        <v>0.48</v>
      </c>
      <c r="N116" s="117">
        <f t="shared" si="42"/>
        <v>0</v>
      </c>
      <c r="O116" s="118">
        <f t="shared" si="49"/>
        <v>0.7</v>
      </c>
      <c r="P116" s="118">
        <f t="shared" si="50"/>
        <v>0.15</v>
      </c>
      <c r="Q116" s="118">
        <f t="shared" si="51"/>
        <v>0.15</v>
      </c>
      <c r="R116" s="118">
        <f t="shared" si="52"/>
        <v>0</v>
      </c>
      <c r="S116" s="205">
        <f t="shared" si="53"/>
        <v>0</v>
      </c>
      <c r="T116" s="117">
        <f t="shared" si="79"/>
        <v>0.34</v>
      </c>
      <c r="U116" s="118">
        <f t="shared" si="54"/>
        <v>0</v>
      </c>
      <c r="V116" s="118">
        <f t="shared" si="55"/>
        <v>0.17</v>
      </c>
      <c r="W116" s="118">
        <f t="shared" si="56"/>
        <v>0.24</v>
      </c>
      <c r="X116" s="118">
        <f t="shared" si="57"/>
        <v>0.05</v>
      </c>
      <c r="Y116" s="205">
        <f t="shared" si="58"/>
        <v>0.2</v>
      </c>
      <c r="Z116" s="235">
        <f t="shared" si="59"/>
        <v>8981408.5510499999</v>
      </c>
      <c r="AA116" s="236">
        <f t="shared" si="60"/>
        <v>0</v>
      </c>
      <c r="AB116" s="236">
        <f t="shared" si="61"/>
        <v>8981408.5510499999</v>
      </c>
      <c r="AC116" s="236">
        <f t="shared" si="62"/>
        <v>5029588.7885880005</v>
      </c>
      <c r="AD116" s="236">
        <f t="shared" si="63"/>
        <v>718512.68408399995</v>
      </c>
      <c r="AE116" s="236">
        <f t="shared" si="64"/>
        <v>0</v>
      </c>
      <c r="AF116" s="242">
        <f t="shared" si="80"/>
        <v>23710918.574772</v>
      </c>
      <c r="AG116" s="235">
        <f t="shared" si="65"/>
        <v>0</v>
      </c>
      <c r="AH116" s="236">
        <f t="shared" si="66"/>
        <v>0</v>
      </c>
      <c r="AI116" s="236">
        <f t="shared" si="67"/>
        <v>4145265.4850999992</v>
      </c>
      <c r="AJ116" s="236">
        <f t="shared" si="68"/>
        <v>829053.09701999987</v>
      </c>
      <c r="AK116" s="236">
        <f t="shared" si="69"/>
        <v>0</v>
      </c>
      <c r="AL116" s="236">
        <f t="shared" si="70"/>
        <v>0</v>
      </c>
      <c r="AM116" s="242">
        <f t="shared" si="81"/>
        <v>4974318.5821199995</v>
      </c>
      <c r="AN116" s="235">
        <f t="shared" si="71"/>
        <v>38366734.989869997</v>
      </c>
      <c r="AO116" s="236">
        <f t="shared" si="72"/>
        <v>0</v>
      </c>
      <c r="AP116" s="236">
        <f t="shared" si="73"/>
        <v>19183367.494934998</v>
      </c>
      <c r="AQ116" s="236">
        <f t="shared" si="74"/>
        <v>27082401.169319998</v>
      </c>
      <c r="AR116" s="236">
        <f t="shared" si="75"/>
        <v>1128433.3820549999</v>
      </c>
      <c r="AS116" s="236">
        <f t="shared" si="82"/>
        <v>0</v>
      </c>
      <c r="AT116" s="242">
        <f t="shared" si="83"/>
        <v>85760937.03617999</v>
      </c>
      <c r="AU116" s="254">
        <v>0</v>
      </c>
      <c r="AV116" s="246">
        <f t="shared" si="84"/>
        <v>114.446174193072</v>
      </c>
      <c r="AW116" s="257">
        <f t="shared" si="77"/>
        <v>2.4867826973604399</v>
      </c>
    </row>
    <row r="117" spans="1:49">
      <c r="A117" s="193">
        <f>'Input data'!A110</f>
        <v>2010</v>
      </c>
      <c r="B117" s="208">
        <f>'Input data'!B110</f>
        <v>49.87</v>
      </c>
      <c r="C117" s="114">
        <f>'Input data'!F110</f>
        <v>0.71479999999999999</v>
      </c>
      <c r="D117" s="114">
        <f>'Input data'!G110</f>
        <v>0.28959999999999997</v>
      </c>
      <c r="E117" s="235">
        <f t="shared" si="76"/>
        <v>776202238.37500012</v>
      </c>
      <c r="F117" s="236">
        <v>0</v>
      </c>
      <c r="G117" s="237">
        <f t="shared" si="78"/>
        <v>776202238.37500012</v>
      </c>
      <c r="H117" s="118">
        <f t="shared" si="41"/>
        <v>0.1</v>
      </c>
      <c r="I117" s="118">
        <f t="shared" si="44"/>
        <v>0</v>
      </c>
      <c r="J117" s="118">
        <f t="shared" si="45"/>
        <v>0.1</v>
      </c>
      <c r="K117" s="118">
        <f t="shared" si="46"/>
        <v>0.28000000000000003</v>
      </c>
      <c r="L117" s="118">
        <f t="shared" si="47"/>
        <v>0.04</v>
      </c>
      <c r="M117" s="205">
        <f t="shared" si="48"/>
        <v>0.48</v>
      </c>
      <c r="N117" s="117">
        <f t="shared" si="42"/>
        <v>0</v>
      </c>
      <c r="O117" s="118">
        <f t="shared" si="49"/>
        <v>0.7</v>
      </c>
      <c r="P117" s="118">
        <f t="shared" si="50"/>
        <v>0.15</v>
      </c>
      <c r="Q117" s="118">
        <f t="shared" si="51"/>
        <v>0.15</v>
      </c>
      <c r="R117" s="118">
        <f t="shared" si="52"/>
        <v>0</v>
      </c>
      <c r="S117" s="205">
        <f t="shared" si="53"/>
        <v>0</v>
      </c>
      <c r="T117" s="117">
        <f t="shared" si="79"/>
        <v>0.34</v>
      </c>
      <c r="U117" s="118">
        <f t="shared" si="54"/>
        <v>0</v>
      </c>
      <c r="V117" s="118">
        <f t="shared" si="55"/>
        <v>0.17</v>
      </c>
      <c r="W117" s="118">
        <f t="shared" si="56"/>
        <v>0.24</v>
      </c>
      <c r="X117" s="118">
        <f t="shared" si="57"/>
        <v>0.05</v>
      </c>
      <c r="Y117" s="205">
        <f t="shared" si="58"/>
        <v>0.2</v>
      </c>
      <c r="Z117" s="235">
        <f t="shared" si="59"/>
        <v>9081566.188987501</v>
      </c>
      <c r="AA117" s="236">
        <f t="shared" si="60"/>
        <v>0</v>
      </c>
      <c r="AB117" s="236">
        <f t="shared" si="61"/>
        <v>9081566.188987501</v>
      </c>
      <c r="AC117" s="236">
        <f t="shared" si="62"/>
        <v>5085677.0658330023</v>
      </c>
      <c r="AD117" s="236">
        <f t="shared" si="63"/>
        <v>726525.29511900002</v>
      </c>
      <c r="AE117" s="236">
        <f t="shared" si="64"/>
        <v>0</v>
      </c>
      <c r="AF117" s="242">
        <f t="shared" si="80"/>
        <v>23975334.738927003</v>
      </c>
      <c r="AG117" s="235">
        <f t="shared" si="65"/>
        <v>0</v>
      </c>
      <c r="AH117" s="236">
        <f t="shared" si="66"/>
        <v>0</v>
      </c>
      <c r="AI117" s="236">
        <f t="shared" si="67"/>
        <v>4191492.0872250008</v>
      </c>
      <c r="AJ117" s="236">
        <f t="shared" si="68"/>
        <v>838298.41744500003</v>
      </c>
      <c r="AK117" s="236">
        <f t="shared" si="69"/>
        <v>0</v>
      </c>
      <c r="AL117" s="236">
        <f t="shared" si="70"/>
        <v>0</v>
      </c>
      <c r="AM117" s="242">
        <f t="shared" si="81"/>
        <v>5029790.5046700006</v>
      </c>
      <c r="AN117" s="235">
        <f t="shared" si="71"/>
        <v>38794587.873982511</v>
      </c>
      <c r="AO117" s="236">
        <f t="shared" si="72"/>
        <v>0</v>
      </c>
      <c r="AP117" s="236">
        <f t="shared" si="73"/>
        <v>19397293.936991256</v>
      </c>
      <c r="AQ117" s="236">
        <f t="shared" si="74"/>
        <v>27384414.969870001</v>
      </c>
      <c r="AR117" s="236">
        <f t="shared" si="75"/>
        <v>1141017.2904112502</v>
      </c>
      <c r="AS117" s="236">
        <f t="shared" si="82"/>
        <v>0</v>
      </c>
      <c r="AT117" s="242">
        <f t="shared" si="83"/>
        <v>86717314.071255013</v>
      </c>
      <c r="AU117" s="254">
        <v>0</v>
      </c>
      <c r="AV117" s="246">
        <f t="shared" si="84"/>
        <v>115.72243931485201</v>
      </c>
      <c r="AW117" s="257">
        <f t="shared" si="77"/>
        <v>2.5145144589895607</v>
      </c>
    </row>
    <row r="118" spans="1:49">
      <c r="A118" s="193">
        <f>'Input data'!A111</f>
        <v>2011</v>
      </c>
      <c r="B118" s="208">
        <f>'Input data'!B111</f>
        <v>51.771000000000001</v>
      </c>
      <c r="C118" s="114">
        <f>'Input data'!F111</f>
        <v>0.71479999999999999</v>
      </c>
      <c r="D118" s="114">
        <f>'Input data'!G111</f>
        <v>0.28959999999999997</v>
      </c>
      <c r="E118" s="235">
        <f t="shared" si="76"/>
        <v>805790376.63750017</v>
      </c>
      <c r="F118" s="236">
        <v>0</v>
      </c>
      <c r="G118" s="237">
        <f t="shared" si="78"/>
        <v>805790376.63750017</v>
      </c>
      <c r="H118" s="118">
        <f t="shared" si="41"/>
        <v>0.1</v>
      </c>
      <c r="I118" s="118">
        <f t="shared" si="44"/>
        <v>0</v>
      </c>
      <c r="J118" s="118">
        <f t="shared" si="45"/>
        <v>0.1</v>
      </c>
      <c r="K118" s="118">
        <f t="shared" si="46"/>
        <v>0.28000000000000003</v>
      </c>
      <c r="L118" s="118">
        <f t="shared" si="47"/>
        <v>0.04</v>
      </c>
      <c r="M118" s="205">
        <f t="shared" si="48"/>
        <v>0.48</v>
      </c>
      <c r="N118" s="117">
        <f t="shared" si="42"/>
        <v>0</v>
      </c>
      <c r="O118" s="118">
        <f t="shared" si="49"/>
        <v>0.7</v>
      </c>
      <c r="P118" s="118">
        <f t="shared" si="50"/>
        <v>0.15</v>
      </c>
      <c r="Q118" s="118">
        <f t="shared" si="51"/>
        <v>0.15</v>
      </c>
      <c r="R118" s="118">
        <f t="shared" si="52"/>
        <v>0</v>
      </c>
      <c r="S118" s="205">
        <f t="shared" si="53"/>
        <v>0</v>
      </c>
      <c r="T118" s="117">
        <f t="shared" si="79"/>
        <v>0.34</v>
      </c>
      <c r="U118" s="118">
        <f t="shared" si="54"/>
        <v>0</v>
      </c>
      <c r="V118" s="118">
        <f t="shared" si="55"/>
        <v>0.17</v>
      </c>
      <c r="W118" s="118">
        <f t="shared" si="56"/>
        <v>0.24</v>
      </c>
      <c r="X118" s="118">
        <f t="shared" si="57"/>
        <v>0.05</v>
      </c>
      <c r="Y118" s="205">
        <f t="shared" si="58"/>
        <v>0.2</v>
      </c>
      <c r="Z118" s="235">
        <f t="shared" si="59"/>
        <v>9427747.4066587519</v>
      </c>
      <c r="AA118" s="236">
        <f t="shared" si="60"/>
        <v>0</v>
      </c>
      <c r="AB118" s="236">
        <f t="shared" si="61"/>
        <v>9427747.4066587519</v>
      </c>
      <c r="AC118" s="236">
        <f t="shared" si="62"/>
        <v>5279538.5477289017</v>
      </c>
      <c r="AD118" s="236">
        <f t="shared" si="63"/>
        <v>754219.79253270011</v>
      </c>
      <c r="AE118" s="236">
        <f t="shared" si="64"/>
        <v>0</v>
      </c>
      <c r="AF118" s="242">
        <f t="shared" si="80"/>
        <v>24889253.153579105</v>
      </c>
      <c r="AG118" s="235">
        <f t="shared" si="65"/>
        <v>0</v>
      </c>
      <c r="AH118" s="236">
        <f t="shared" si="66"/>
        <v>0</v>
      </c>
      <c r="AI118" s="236">
        <f t="shared" si="67"/>
        <v>4351268.0338425012</v>
      </c>
      <c r="AJ118" s="236">
        <f t="shared" si="68"/>
        <v>870253.60676850006</v>
      </c>
      <c r="AK118" s="236">
        <f t="shared" si="69"/>
        <v>0</v>
      </c>
      <c r="AL118" s="236">
        <f t="shared" si="70"/>
        <v>0</v>
      </c>
      <c r="AM118" s="242">
        <f t="shared" si="81"/>
        <v>5221521.6406110013</v>
      </c>
      <c r="AN118" s="235">
        <f t="shared" si="71"/>
        <v>40273403.024342261</v>
      </c>
      <c r="AO118" s="236">
        <f t="shared" si="72"/>
        <v>0</v>
      </c>
      <c r="AP118" s="236">
        <f t="shared" si="73"/>
        <v>20136701.512171131</v>
      </c>
      <c r="AQ118" s="236">
        <f t="shared" si="74"/>
        <v>28428284.487771004</v>
      </c>
      <c r="AR118" s="236">
        <f t="shared" si="75"/>
        <v>1184511.8536571253</v>
      </c>
      <c r="AS118" s="236">
        <f t="shared" si="82"/>
        <v>0</v>
      </c>
      <c r="AT118" s="242">
        <f t="shared" si="83"/>
        <v>90022900.877941519</v>
      </c>
      <c r="AU118" s="254">
        <v>0</v>
      </c>
      <c r="AV118" s="246">
        <f t="shared" si="84"/>
        <v>120.13367567213163</v>
      </c>
      <c r="AW118" s="257">
        <f t="shared" si="77"/>
        <v>2.6103655114567585</v>
      </c>
    </row>
    <row r="119" spans="1:49">
      <c r="A119" s="193">
        <f>'Input data'!A112</f>
        <v>2012</v>
      </c>
      <c r="B119" s="208">
        <f>'Input data'!B112</f>
        <v>52.325432882070082</v>
      </c>
      <c r="C119" s="114">
        <f>'Input data'!F112</f>
        <v>0.71479999999999999</v>
      </c>
      <c r="D119" s="114">
        <f>'Input data'!G112</f>
        <v>0.28959999999999997</v>
      </c>
      <c r="E119" s="235">
        <f t="shared" si="76"/>
        <v>814419854.16089094</v>
      </c>
      <c r="F119" s="236">
        <v>0</v>
      </c>
      <c r="G119" s="237">
        <f t="shared" si="78"/>
        <v>814419854.16089094</v>
      </c>
      <c r="H119" s="118">
        <f t="shared" si="41"/>
        <v>0.1</v>
      </c>
      <c r="I119" s="118">
        <f t="shared" si="44"/>
        <v>0</v>
      </c>
      <c r="J119" s="118">
        <f t="shared" si="45"/>
        <v>0.1</v>
      </c>
      <c r="K119" s="118">
        <f t="shared" si="46"/>
        <v>0.28000000000000003</v>
      </c>
      <c r="L119" s="118">
        <f t="shared" si="47"/>
        <v>0.04</v>
      </c>
      <c r="M119" s="205">
        <f t="shared" si="48"/>
        <v>0.48</v>
      </c>
      <c r="N119" s="117">
        <f t="shared" si="42"/>
        <v>0</v>
      </c>
      <c r="O119" s="118">
        <f t="shared" si="49"/>
        <v>0.7</v>
      </c>
      <c r="P119" s="118">
        <f t="shared" si="50"/>
        <v>0.15</v>
      </c>
      <c r="Q119" s="118">
        <f t="shared" si="51"/>
        <v>0.15</v>
      </c>
      <c r="R119" s="118">
        <f t="shared" si="52"/>
        <v>0</v>
      </c>
      <c r="S119" s="205">
        <f t="shared" si="53"/>
        <v>0</v>
      </c>
      <c r="T119" s="117">
        <f t="shared" si="79"/>
        <v>0.34</v>
      </c>
      <c r="U119" s="118">
        <f t="shared" si="54"/>
        <v>0</v>
      </c>
      <c r="V119" s="118">
        <f t="shared" si="55"/>
        <v>0.17</v>
      </c>
      <c r="W119" s="118">
        <f t="shared" si="56"/>
        <v>0.24</v>
      </c>
      <c r="X119" s="118">
        <f t="shared" si="57"/>
        <v>0.05</v>
      </c>
      <c r="Y119" s="205">
        <f t="shared" si="58"/>
        <v>0.2</v>
      </c>
      <c r="Z119" s="235">
        <f t="shared" si="59"/>
        <v>9528712.2936824225</v>
      </c>
      <c r="AA119" s="236">
        <f t="shared" si="60"/>
        <v>0</v>
      </c>
      <c r="AB119" s="236">
        <f t="shared" si="61"/>
        <v>9528712.2936824225</v>
      </c>
      <c r="AC119" s="236">
        <f t="shared" si="62"/>
        <v>5336078.8844621582</v>
      </c>
      <c r="AD119" s="236">
        <f t="shared" si="63"/>
        <v>762296.98349459388</v>
      </c>
      <c r="AE119" s="236">
        <f t="shared" si="64"/>
        <v>0</v>
      </c>
      <c r="AF119" s="242">
        <f t="shared" si="80"/>
        <v>25155800.455321599</v>
      </c>
      <c r="AG119" s="235">
        <f t="shared" si="65"/>
        <v>0</v>
      </c>
      <c r="AH119" s="236">
        <f t="shared" si="66"/>
        <v>0</v>
      </c>
      <c r="AI119" s="236">
        <f t="shared" si="67"/>
        <v>4397867.2124688113</v>
      </c>
      <c r="AJ119" s="236">
        <f t="shared" si="68"/>
        <v>879573.44249376212</v>
      </c>
      <c r="AK119" s="236">
        <f t="shared" si="69"/>
        <v>0</v>
      </c>
      <c r="AL119" s="236">
        <f t="shared" si="70"/>
        <v>0</v>
      </c>
      <c r="AM119" s="242">
        <f t="shared" si="81"/>
        <v>5277440.6549625732</v>
      </c>
      <c r="AN119" s="235">
        <f t="shared" si="71"/>
        <v>40704704.310961328</v>
      </c>
      <c r="AO119" s="236">
        <f t="shared" si="72"/>
        <v>0</v>
      </c>
      <c r="AP119" s="236">
        <f t="shared" si="73"/>
        <v>20352352.155480664</v>
      </c>
      <c r="AQ119" s="236">
        <f t="shared" si="74"/>
        <v>28732732.454796232</v>
      </c>
      <c r="AR119" s="236">
        <f t="shared" si="75"/>
        <v>1197197.1856165095</v>
      </c>
      <c r="AS119" s="236">
        <f t="shared" si="82"/>
        <v>0</v>
      </c>
      <c r="AT119" s="242">
        <f t="shared" si="83"/>
        <v>90986986.106854722</v>
      </c>
      <c r="AU119" s="254">
        <v>0</v>
      </c>
      <c r="AV119" s="246">
        <f t="shared" si="84"/>
        <v>121.42022721713889</v>
      </c>
      <c r="AW119" s="257">
        <f t="shared" si="77"/>
        <v>2.6383207851384207</v>
      </c>
    </row>
    <row r="120" spans="1:49">
      <c r="A120" s="193">
        <f>'Input data'!A113</f>
        <v>2013</v>
      </c>
      <c r="B120" s="208">
        <f>'Input data'!B113</f>
        <v>53.104386458423342</v>
      </c>
      <c r="C120" s="114">
        <f>'Input data'!F113</f>
        <v>0.71479999999999999</v>
      </c>
      <c r="D120" s="114">
        <f>'Input data'!G113</f>
        <v>0.28959999999999997</v>
      </c>
      <c r="E120" s="235">
        <f t="shared" si="76"/>
        <v>826543886.83696091</v>
      </c>
      <c r="F120" s="236">
        <v>0</v>
      </c>
      <c r="G120" s="237">
        <f t="shared" si="78"/>
        <v>826543886.83696091</v>
      </c>
      <c r="H120" s="118">
        <f t="shared" si="41"/>
        <v>0.1</v>
      </c>
      <c r="I120" s="118">
        <f t="shared" si="44"/>
        <v>0</v>
      </c>
      <c r="J120" s="118">
        <f t="shared" si="45"/>
        <v>0.1</v>
      </c>
      <c r="K120" s="118">
        <f t="shared" si="46"/>
        <v>0.28000000000000003</v>
      </c>
      <c r="L120" s="118">
        <f t="shared" si="47"/>
        <v>0.04</v>
      </c>
      <c r="M120" s="205">
        <f t="shared" si="48"/>
        <v>0.48</v>
      </c>
      <c r="N120" s="117">
        <f t="shared" si="42"/>
        <v>0</v>
      </c>
      <c r="O120" s="118">
        <f t="shared" si="49"/>
        <v>0.7</v>
      </c>
      <c r="P120" s="118">
        <f t="shared" si="50"/>
        <v>0.15</v>
      </c>
      <c r="Q120" s="118">
        <f t="shared" si="51"/>
        <v>0.15</v>
      </c>
      <c r="R120" s="118">
        <f t="shared" si="52"/>
        <v>0</v>
      </c>
      <c r="S120" s="205">
        <f t="shared" si="53"/>
        <v>0</v>
      </c>
      <c r="T120" s="117">
        <f t="shared" si="79"/>
        <v>0.34</v>
      </c>
      <c r="U120" s="118">
        <f t="shared" si="54"/>
        <v>0</v>
      </c>
      <c r="V120" s="118">
        <f t="shared" si="55"/>
        <v>0.17</v>
      </c>
      <c r="W120" s="118">
        <f t="shared" si="56"/>
        <v>0.24</v>
      </c>
      <c r="X120" s="118">
        <f t="shared" si="57"/>
        <v>0.05</v>
      </c>
      <c r="Y120" s="205">
        <f t="shared" si="58"/>
        <v>0.2</v>
      </c>
      <c r="Z120" s="235">
        <f t="shared" si="59"/>
        <v>9670563.475992443</v>
      </c>
      <c r="AA120" s="236">
        <f t="shared" si="60"/>
        <v>0</v>
      </c>
      <c r="AB120" s="236">
        <f t="shared" si="61"/>
        <v>9670563.475992443</v>
      </c>
      <c r="AC120" s="236">
        <f t="shared" si="62"/>
        <v>5415515.5465557687</v>
      </c>
      <c r="AD120" s="236">
        <f t="shared" si="63"/>
        <v>773645.07807939535</v>
      </c>
      <c r="AE120" s="236">
        <f t="shared" si="64"/>
        <v>0</v>
      </c>
      <c r="AF120" s="242">
        <f t="shared" si="80"/>
        <v>25530287.57662005</v>
      </c>
      <c r="AG120" s="235">
        <f t="shared" si="65"/>
        <v>0</v>
      </c>
      <c r="AH120" s="236">
        <f t="shared" si="66"/>
        <v>0</v>
      </c>
      <c r="AI120" s="236">
        <f t="shared" si="67"/>
        <v>4463336.9889195887</v>
      </c>
      <c r="AJ120" s="236">
        <f t="shared" si="68"/>
        <v>892667.39778391761</v>
      </c>
      <c r="AK120" s="236">
        <f t="shared" si="69"/>
        <v>0</v>
      </c>
      <c r="AL120" s="236">
        <f t="shared" si="70"/>
        <v>0</v>
      </c>
      <c r="AM120" s="242">
        <f t="shared" si="81"/>
        <v>5356004.3867035061</v>
      </c>
      <c r="AN120" s="235">
        <f t="shared" si="71"/>
        <v>41310663.464111306</v>
      </c>
      <c r="AO120" s="236">
        <f t="shared" si="72"/>
        <v>0</v>
      </c>
      <c r="AP120" s="236">
        <f t="shared" si="73"/>
        <v>20655331.732055653</v>
      </c>
      <c r="AQ120" s="236">
        <f t="shared" si="74"/>
        <v>29160468.327607978</v>
      </c>
      <c r="AR120" s="236">
        <f t="shared" si="75"/>
        <v>1215019.5136503326</v>
      </c>
      <c r="AS120" s="236">
        <f t="shared" si="82"/>
        <v>0</v>
      </c>
      <c r="AT120" s="242">
        <f t="shared" si="83"/>
        <v>92341483.037425265</v>
      </c>
      <c r="AU120" s="254">
        <v>0</v>
      </c>
      <c r="AV120" s="246">
        <f t="shared" si="84"/>
        <v>123.22777500074881</v>
      </c>
      <c r="AW120" s="257">
        <f t="shared" si="77"/>
        <v>2.6775967031376564</v>
      </c>
    </row>
    <row r="121" spans="1:49">
      <c r="A121" s="193">
        <f>'Input data'!A114</f>
        <v>2014</v>
      </c>
      <c r="B121" s="208">
        <f>'Input data'!B114</f>
        <v>53.912365691429272</v>
      </c>
      <c r="C121" s="114">
        <f>'Input data'!F114</f>
        <v>0.71479999999999999</v>
      </c>
      <c r="D121" s="114">
        <f>'Input data'!G114</f>
        <v>0.28959999999999997</v>
      </c>
      <c r="E121" s="235">
        <f t="shared" si="76"/>
        <v>839119689.70882213</v>
      </c>
      <c r="F121" s="236">
        <v>0</v>
      </c>
      <c r="G121" s="237">
        <f t="shared" si="78"/>
        <v>839119689.70882213</v>
      </c>
      <c r="H121" s="118">
        <f t="shared" si="41"/>
        <v>0.1</v>
      </c>
      <c r="I121" s="118">
        <f t="shared" ref="I121:I171" si="85">$D$16</f>
        <v>0</v>
      </c>
      <c r="J121" s="118">
        <f t="shared" ref="J121:J124" si="86">$E$16</f>
        <v>0.1</v>
      </c>
      <c r="K121" s="118">
        <f t="shared" ref="K121:K124" si="87">$F$16</f>
        <v>0.28000000000000003</v>
      </c>
      <c r="L121" s="118">
        <f t="shared" ref="L121:L124" si="88">$G$16</f>
        <v>0.04</v>
      </c>
      <c r="M121" s="205">
        <f t="shared" ref="M121:M124" si="89">$H$16</f>
        <v>0.48</v>
      </c>
      <c r="N121" s="117">
        <f t="shared" si="42"/>
        <v>0</v>
      </c>
      <c r="O121" s="118">
        <f t="shared" ref="O121:O171" si="90">$D$17</f>
        <v>0.7</v>
      </c>
      <c r="P121" s="118">
        <f t="shared" ref="P121:P171" si="91">$E$17</f>
        <v>0.15</v>
      </c>
      <c r="Q121" s="118">
        <f t="shared" ref="Q121:Q171" si="92">$F$17</f>
        <v>0.15</v>
      </c>
      <c r="R121" s="118">
        <f t="shared" ref="R121:R171" si="93">$G$17</f>
        <v>0</v>
      </c>
      <c r="S121" s="205">
        <f t="shared" ref="S121:S171" si="94">$H$17</f>
        <v>0</v>
      </c>
      <c r="T121" s="117">
        <f t="shared" si="79"/>
        <v>0.34</v>
      </c>
      <c r="U121" s="118">
        <f t="shared" ref="U121:U124" si="95">$D$18</f>
        <v>0</v>
      </c>
      <c r="V121" s="118">
        <f t="shared" ref="V121:V124" si="96">$E$18</f>
        <v>0.17</v>
      </c>
      <c r="W121" s="118">
        <f t="shared" ref="W121:W124" si="97">$F$18</f>
        <v>0.24</v>
      </c>
      <c r="X121" s="118">
        <f t="shared" ref="X121:X124" si="98">$G$18</f>
        <v>0.05</v>
      </c>
      <c r="Y121" s="205">
        <f t="shared" ref="Y121:Y124" si="99">$H$18</f>
        <v>0.2</v>
      </c>
      <c r="Z121" s="235">
        <f t="shared" ref="Z121:Z158" si="100">H121*$C$35*G121*$C$10</f>
        <v>9817700.369593218</v>
      </c>
      <c r="AA121" s="236">
        <f t="shared" ref="AA121:AA158" si="101">I121*$C$36*G121*$C$10</f>
        <v>0</v>
      </c>
      <c r="AB121" s="236">
        <f t="shared" ref="AB121:AB158" si="102">J121*$C$37*G121*$C$10</f>
        <v>9817700.369593218</v>
      </c>
      <c r="AC121" s="236">
        <f t="shared" ref="AC121:AC158" si="103">K121*$C$40*G121*$C$10</f>
        <v>5497912.2069722041</v>
      </c>
      <c r="AD121" s="236">
        <f t="shared" ref="AD121:AD158" si="104">L121*$C$41*G121*$C$10</f>
        <v>785416.02956745739</v>
      </c>
      <c r="AE121" s="236">
        <f t="shared" ref="AE121:AE158" si="105">M121*$C$42*G121*$C$10</f>
        <v>0</v>
      </c>
      <c r="AF121" s="242">
        <f t="shared" si="80"/>
        <v>25918728.975726098</v>
      </c>
      <c r="AG121" s="235">
        <f t="shared" ref="AG121:AG158" si="106">N121*$C$35*G121*$C$11</f>
        <v>0</v>
      </c>
      <c r="AH121" s="236">
        <f t="shared" ref="AH121:AH158" si="107">O121*$C$36*G121*$C$11</f>
        <v>0</v>
      </c>
      <c r="AI121" s="236">
        <f t="shared" ref="AI121:AI158" si="108">P121*$C$37*G121*$C$11</f>
        <v>4531246.3244276391</v>
      </c>
      <c r="AJ121" s="236">
        <f t="shared" ref="AJ121:AJ158" si="109">Q121*$C$38*G121*$C$11</f>
        <v>906249.26488552778</v>
      </c>
      <c r="AK121" s="236">
        <f t="shared" ref="AK121:AK158" si="110">R121*$C$41*G121*$C$11</f>
        <v>0</v>
      </c>
      <c r="AL121" s="236">
        <f t="shared" ref="AL121:AL158" si="111">S121*$C$42*G121*$C$11</f>
        <v>0</v>
      </c>
      <c r="AM121" s="242">
        <f t="shared" si="81"/>
        <v>5437495.5893131671</v>
      </c>
      <c r="AN121" s="235">
        <f t="shared" ref="AN121:AN158" si="112">T121*$C$35*G121*$C$12</f>
        <v>41939202.091646932</v>
      </c>
      <c r="AO121" s="236">
        <f t="shared" ref="AO121:AO158" si="113">U121*$C$36*G121*$C$12</f>
        <v>0</v>
      </c>
      <c r="AP121" s="236">
        <f t="shared" ref="AP121:AP158" si="114">V121*$C$37*G121*$C$12</f>
        <v>20969601.045823466</v>
      </c>
      <c r="AQ121" s="236">
        <f t="shared" ref="AQ121:AQ158" si="115">W121*$C$39*G121*$C$12</f>
        <v>29604142.652927242</v>
      </c>
      <c r="AR121" s="236">
        <f t="shared" ref="AR121:AR158" si="116">X121*$C$41*G121*$C$12</f>
        <v>1233505.9438719684</v>
      </c>
      <c r="AS121" s="236">
        <f t="shared" si="82"/>
        <v>0</v>
      </c>
      <c r="AT121" s="242">
        <f t="shared" si="83"/>
        <v>93746451.734269619</v>
      </c>
      <c r="AU121" s="254">
        <v>0</v>
      </c>
      <c r="AV121" s="246">
        <f t="shared" si="84"/>
        <v>125.10267629930888</v>
      </c>
      <c r="AW121" s="257">
        <f t="shared" si="77"/>
        <v>2.718336134939475</v>
      </c>
    </row>
    <row r="122" spans="1:49">
      <c r="A122" s="193">
        <f>'Input data'!A115</f>
        <v>2015</v>
      </c>
      <c r="B122" s="208">
        <f>'Input data'!B115</f>
        <v>54.750491457321111</v>
      </c>
      <c r="C122" s="114">
        <f>'Input data'!F115</f>
        <v>0.71479999999999999</v>
      </c>
      <c r="D122" s="114">
        <f>'Input data'!G115</f>
        <v>0.28959999999999997</v>
      </c>
      <c r="E122" s="235">
        <f t="shared" si="76"/>
        <v>852164708.66861773</v>
      </c>
      <c r="F122" s="236">
        <v>0</v>
      </c>
      <c r="G122" s="237">
        <f t="shared" si="78"/>
        <v>852164708.66861773</v>
      </c>
      <c r="H122" s="118">
        <f t="shared" ref="H122:H124" si="117">$C$16</f>
        <v>0.1</v>
      </c>
      <c r="I122" s="118">
        <f t="shared" si="85"/>
        <v>0</v>
      </c>
      <c r="J122" s="118">
        <f t="shared" si="86"/>
        <v>0.1</v>
      </c>
      <c r="K122" s="118">
        <f t="shared" si="87"/>
        <v>0.28000000000000003</v>
      </c>
      <c r="L122" s="118">
        <f t="shared" si="88"/>
        <v>0.04</v>
      </c>
      <c r="M122" s="205">
        <f t="shared" si="89"/>
        <v>0.48</v>
      </c>
      <c r="N122" s="117">
        <f t="shared" ref="N122:N171" si="118">$C$17</f>
        <v>0</v>
      </c>
      <c r="O122" s="118">
        <f t="shared" si="90"/>
        <v>0.7</v>
      </c>
      <c r="P122" s="118">
        <f t="shared" si="91"/>
        <v>0.15</v>
      </c>
      <c r="Q122" s="118">
        <f t="shared" si="92"/>
        <v>0.15</v>
      </c>
      <c r="R122" s="118">
        <f t="shared" si="93"/>
        <v>0</v>
      </c>
      <c r="S122" s="205">
        <f t="shared" si="94"/>
        <v>0</v>
      </c>
      <c r="T122" s="117">
        <f t="shared" si="79"/>
        <v>0.34</v>
      </c>
      <c r="U122" s="118">
        <f t="shared" si="95"/>
        <v>0</v>
      </c>
      <c r="V122" s="118">
        <f t="shared" si="96"/>
        <v>0.17</v>
      </c>
      <c r="W122" s="118">
        <f t="shared" si="97"/>
        <v>0.24</v>
      </c>
      <c r="X122" s="118">
        <f t="shared" si="98"/>
        <v>0.05</v>
      </c>
      <c r="Y122" s="205">
        <f t="shared" si="99"/>
        <v>0.2</v>
      </c>
      <c r="Z122" s="235">
        <f t="shared" si="100"/>
        <v>9970327.0914228261</v>
      </c>
      <c r="AA122" s="236">
        <f t="shared" si="101"/>
        <v>0</v>
      </c>
      <c r="AB122" s="236">
        <f t="shared" si="102"/>
        <v>9970327.0914228261</v>
      </c>
      <c r="AC122" s="236">
        <f t="shared" si="103"/>
        <v>5583383.1711967848</v>
      </c>
      <c r="AD122" s="236">
        <f t="shared" si="104"/>
        <v>797626.16731382615</v>
      </c>
      <c r="AE122" s="236">
        <f t="shared" si="105"/>
        <v>0</v>
      </c>
      <c r="AF122" s="242">
        <f t="shared" si="80"/>
        <v>26321663.521356262</v>
      </c>
      <c r="AG122" s="235">
        <f t="shared" si="106"/>
        <v>0</v>
      </c>
      <c r="AH122" s="236">
        <f t="shared" si="107"/>
        <v>0</v>
      </c>
      <c r="AI122" s="236">
        <f t="shared" si="108"/>
        <v>4601689.4268105356</v>
      </c>
      <c r="AJ122" s="236">
        <f t="shared" si="109"/>
        <v>920337.88536210696</v>
      </c>
      <c r="AK122" s="236">
        <f t="shared" si="110"/>
        <v>0</v>
      </c>
      <c r="AL122" s="236">
        <f t="shared" si="111"/>
        <v>0</v>
      </c>
      <c r="AM122" s="242">
        <f t="shared" si="81"/>
        <v>5522027.3121726429</v>
      </c>
      <c r="AN122" s="235">
        <f t="shared" si="112"/>
        <v>42591192.139257513</v>
      </c>
      <c r="AO122" s="236">
        <f t="shared" si="113"/>
        <v>0</v>
      </c>
      <c r="AP122" s="236">
        <f t="shared" si="114"/>
        <v>21295596.069628756</v>
      </c>
      <c r="AQ122" s="236">
        <f t="shared" si="115"/>
        <v>30064370.921828829</v>
      </c>
      <c r="AR122" s="236">
        <f t="shared" si="116"/>
        <v>1252682.1217428679</v>
      </c>
      <c r="AS122" s="236">
        <f t="shared" si="82"/>
        <v>0</v>
      </c>
      <c r="AT122" s="242">
        <f t="shared" si="83"/>
        <v>95203841.252457976</v>
      </c>
      <c r="AU122" s="254">
        <v>0</v>
      </c>
      <c r="AV122" s="246">
        <f t="shared" si="84"/>
        <v>127.04753208598689</v>
      </c>
      <c r="AW122" s="257">
        <f t="shared" si="77"/>
        <v>2.7605955966757243</v>
      </c>
    </row>
    <row r="123" spans="1:49">
      <c r="A123" s="193">
        <f>'Input data'!A116</f>
        <v>2016</v>
      </c>
      <c r="B123" s="208">
        <f>'Input data'!B116</f>
        <v>55.619940469824826</v>
      </c>
      <c r="C123" s="114">
        <f>'Input data'!F116</f>
        <v>0.71479999999999999</v>
      </c>
      <c r="D123" s="114">
        <f>'Input data'!G116</f>
        <v>0.28959999999999997</v>
      </c>
      <c r="E123" s="235">
        <f t="shared" si="76"/>
        <v>865697258.69184446</v>
      </c>
      <c r="F123" s="236">
        <v>0</v>
      </c>
      <c r="G123" s="237">
        <f t="shared" si="78"/>
        <v>865697258.69184446</v>
      </c>
      <c r="H123" s="118">
        <f t="shared" si="117"/>
        <v>0.1</v>
      </c>
      <c r="I123" s="118">
        <f t="shared" si="85"/>
        <v>0</v>
      </c>
      <c r="J123" s="118">
        <f t="shared" si="86"/>
        <v>0.1</v>
      </c>
      <c r="K123" s="118">
        <f t="shared" si="87"/>
        <v>0.28000000000000003</v>
      </c>
      <c r="L123" s="118">
        <f t="shared" si="88"/>
        <v>0.04</v>
      </c>
      <c r="M123" s="205">
        <f t="shared" si="89"/>
        <v>0.48</v>
      </c>
      <c r="N123" s="117">
        <f t="shared" si="118"/>
        <v>0</v>
      </c>
      <c r="O123" s="118">
        <f t="shared" si="90"/>
        <v>0.7</v>
      </c>
      <c r="P123" s="118">
        <f t="shared" si="91"/>
        <v>0.15</v>
      </c>
      <c r="Q123" s="118">
        <f t="shared" si="92"/>
        <v>0.15</v>
      </c>
      <c r="R123" s="118">
        <f t="shared" si="93"/>
        <v>0</v>
      </c>
      <c r="S123" s="205">
        <f t="shared" si="94"/>
        <v>0</v>
      </c>
      <c r="T123" s="117">
        <f t="shared" si="79"/>
        <v>0.34</v>
      </c>
      <c r="U123" s="118">
        <f t="shared" si="95"/>
        <v>0</v>
      </c>
      <c r="V123" s="118">
        <f t="shared" si="96"/>
        <v>0.17</v>
      </c>
      <c r="W123" s="118">
        <f t="shared" si="97"/>
        <v>0.24</v>
      </c>
      <c r="X123" s="118">
        <f t="shared" si="98"/>
        <v>0.05</v>
      </c>
      <c r="Y123" s="205">
        <f t="shared" si="99"/>
        <v>0.2</v>
      </c>
      <c r="Z123" s="235">
        <f t="shared" si="100"/>
        <v>10128657.926694581</v>
      </c>
      <c r="AA123" s="236">
        <f t="shared" si="101"/>
        <v>0</v>
      </c>
      <c r="AB123" s="236">
        <f t="shared" si="102"/>
        <v>10128657.926694581</v>
      </c>
      <c r="AC123" s="236">
        <f t="shared" si="103"/>
        <v>5672048.4389489656</v>
      </c>
      <c r="AD123" s="236">
        <f t="shared" si="104"/>
        <v>810292.63413556642</v>
      </c>
      <c r="AE123" s="236">
        <f t="shared" si="105"/>
        <v>0</v>
      </c>
      <c r="AF123" s="242">
        <f t="shared" si="80"/>
        <v>26739656.926473696</v>
      </c>
      <c r="AG123" s="235">
        <f t="shared" si="106"/>
        <v>0</v>
      </c>
      <c r="AH123" s="236">
        <f t="shared" si="107"/>
        <v>0</v>
      </c>
      <c r="AI123" s="236">
        <f t="shared" si="108"/>
        <v>4674765.1969359601</v>
      </c>
      <c r="AJ123" s="236">
        <f t="shared" si="109"/>
        <v>934953.039387192</v>
      </c>
      <c r="AK123" s="236">
        <f t="shared" si="110"/>
        <v>0</v>
      </c>
      <c r="AL123" s="236">
        <f t="shared" si="111"/>
        <v>0</v>
      </c>
      <c r="AM123" s="242">
        <f t="shared" si="81"/>
        <v>5609718.2363231517</v>
      </c>
      <c r="AN123" s="235">
        <f t="shared" si="112"/>
        <v>43267548.989418387</v>
      </c>
      <c r="AO123" s="236">
        <f t="shared" si="113"/>
        <v>0</v>
      </c>
      <c r="AP123" s="236">
        <f t="shared" si="114"/>
        <v>21633774.494709194</v>
      </c>
      <c r="AQ123" s="236">
        <f t="shared" si="115"/>
        <v>30541799.28664827</v>
      </c>
      <c r="AR123" s="236">
        <f t="shared" si="116"/>
        <v>1272574.9702770114</v>
      </c>
      <c r="AS123" s="236">
        <f t="shared" si="82"/>
        <v>0</v>
      </c>
      <c r="AT123" s="242">
        <f t="shared" si="83"/>
        <v>96715697.741052866</v>
      </c>
      <c r="AU123" s="254">
        <v>0</v>
      </c>
      <c r="AV123" s="246">
        <f t="shared" si="84"/>
        <v>129.06507290384971</v>
      </c>
      <c r="AW123" s="257">
        <f t="shared" si="77"/>
        <v>2.804434419881956</v>
      </c>
    </row>
    <row r="124" spans="1:49" ht="15.75" thickBot="1">
      <c r="A124" s="193">
        <f>'Input data'!A117</f>
        <v>2017</v>
      </c>
      <c r="B124" s="208">
        <f>'Input data'!B117</f>
        <v>56.521948041648095</v>
      </c>
      <c r="C124" s="114">
        <f>'Input data'!F117</f>
        <v>0.71479999999999999</v>
      </c>
      <c r="D124" s="114">
        <f>'Input data'!G117</f>
        <v>0.28959999999999997</v>
      </c>
      <c r="E124" s="235">
        <f t="shared" si="76"/>
        <v>879736566.8185823</v>
      </c>
      <c r="F124" s="236">
        <v>0</v>
      </c>
      <c r="G124" s="237">
        <f t="shared" si="78"/>
        <v>879736566.8185823</v>
      </c>
      <c r="H124" s="118">
        <f t="shared" si="117"/>
        <v>0.1</v>
      </c>
      <c r="I124" s="118">
        <f t="shared" si="85"/>
        <v>0</v>
      </c>
      <c r="J124" s="118">
        <f t="shared" si="86"/>
        <v>0.1</v>
      </c>
      <c r="K124" s="118">
        <f t="shared" si="87"/>
        <v>0.28000000000000003</v>
      </c>
      <c r="L124" s="118">
        <f t="shared" si="88"/>
        <v>0.04</v>
      </c>
      <c r="M124" s="205">
        <f t="shared" si="89"/>
        <v>0.48</v>
      </c>
      <c r="N124" s="117">
        <f t="shared" si="118"/>
        <v>0</v>
      </c>
      <c r="O124" s="118">
        <f t="shared" si="90"/>
        <v>0.7</v>
      </c>
      <c r="P124" s="118">
        <f t="shared" si="91"/>
        <v>0.15</v>
      </c>
      <c r="Q124" s="118">
        <f t="shared" si="92"/>
        <v>0.15</v>
      </c>
      <c r="R124" s="118">
        <f t="shared" si="93"/>
        <v>0</v>
      </c>
      <c r="S124" s="205">
        <f t="shared" si="94"/>
        <v>0</v>
      </c>
      <c r="T124" s="117">
        <f t="shared" si="79"/>
        <v>0.34</v>
      </c>
      <c r="U124" s="118">
        <f t="shared" si="95"/>
        <v>0</v>
      </c>
      <c r="V124" s="118">
        <f t="shared" si="96"/>
        <v>0.17</v>
      </c>
      <c r="W124" s="118">
        <f t="shared" si="97"/>
        <v>0.24</v>
      </c>
      <c r="X124" s="118">
        <f t="shared" si="98"/>
        <v>0.05</v>
      </c>
      <c r="Y124" s="205">
        <f t="shared" si="99"/>
        <v>0.2</v>
      </c>
      <c r="Z124" s="235">
        <f t="shared" si="100"/>
        <v>10292917.831777412</v>
      </c>
      <c r="AA124" s="236">
        <f t="shared" si="101"/>
        <v>0</v>
      </c>
      <c r="AB124" s="236">
        <f t="shared" si="102"/>
        <v>10292917.831777412</v>
      </c>
      <c r="AC124" s="236">
        <f t="shared" si="103"/>
        <v>5764033.9857953526</v>
      </c>
      <c r="AD124" s="236">
        <f t="shared" si="104"/>
        <v>823433.42654219293</v>
      </c>
      <c r="AE124" s="236">
        <f t="shared" si="105"/>
        <v>0</v>
      </c>
      <c r="AF124" s="242">
        <f t="shared" si="80"/>
        <v>27173303.07589237</v>
      </c>
      <c r="AG124" s="235">
        <f t="shared" si="106"/>
        <v>0</v>
      </c>
      <c r="AH124" s="236">
        <f t="shared" si="107"/>
        <v>0</v>
      </c>
      <c r="AI124" s="236">
        <f t="shared" si="108"/>
        <v>4750577.4608203433</v>
      </c>
      <c r="AJ124" s="236">
        <f t="shared" si="109"/>
        <v>950115.49216406874</v>
      </c>
      <c r="AK124" s="236">
        <f t="shared" si="110"/>
        <v>0</v>
      </c>
      <c r="AL124" s="236">
        <f t="shared" si="111"/>
        <v>0</v>
      </c>
      <c r="AM124" s="242">
        <f t="shared" si="81"/>
        <v>5700692.9529844122</v>
      </c>
      <c r="AN124" s="235">
        <f t="shared" si="112"/>
        <v>43969233.609592743</v>
      </c>
      <c r="AO124" s="236">
        <f t="shared" si="113"/>
        <v>0</v>
      </c>
      <c r="AP124" s="236">
        <f t="shared" si="114"/>
        <v>21984616.804796372</v>
      </c>
      <c r="AQ124" s="236">
        <f t="shared" si="115"/>
        <v>31037106.07735958</v>
      </c>
      <c r="AR124" s="236">
        <f t="shared" si="116"/>
        <v>1293212.753223316</v>
      </c>
      <c r="AS124" s="236">
        <f t="shared" si="82"/>
        <v>0</v>
      </c>
      <c r="AT124" s="242">
        <f t="shared" si="83"/>
        <v>98284169.244972005</v>
      </c>
      <c r="AU124" s="254">
        <v>0</v>
      </c>
      <c r="AV124" s="246">
        <f t="shared" si="84"/>
        <v>131.15816527384879</v>
      </c>
      <c r="AW124" s="257">
        <f t="shared" si="77"/>
        <v>2.8499148907355294</v>
      </c>
    </row>
    <row r="125" spans="1:49" ht="21.75" thickBot="1">
      <c r="A125" s="975" t="s">
        <v>569</v>
      </c>
      <c r="B125" s="982"/>
      <c r="C125" s="983"/>
      <c r="D125" s="983"/>
      <c r="E125" s="984"/>
      <c r="F125" s="984"/>
      <c r="G125" s="984"/>
      <c r="H125" s="944"/>
      <c r="I125" s="944"/>
      <c r="J125" s="944"/>
      <c r="K125" s="944"/>
      <c r="L125" s="944"/>
      <c r="M125" s="944"/>
      <c r="N125" s="944"/>
      <c r="O125" s="944"/>
      <c r="P125" s="944"/>
      <c r="Q125" s="944"/>
      <c r="R125" s="944"/>
      <c r="S125" s="944"/>
      <c r="T125" s="944"/>
      <c r="U125" s="944"/>
      <c r="V125" s="944"/>
      <c r="W125" s="944"/>
      <c r="X125" s="944"/>
      <c r="Y125" s="944"/>
      <c r="Z125" s="977"/>
      <c r="AA125" s="977"/>
      <c r="AB125" s="977"/>
      <c r="AC125" s="977"/>
      <c r="AD125" s="977"/>
      <c r="AE125" s="977"/>
      <c r="AF125" s="977"/>
      <c r="AG125" s="977"/>
      <c r="AH125" s="977"/>
      <c r="AI125" s="977"/>
      <c r="AJ125" s="977"/>
      <c r="AK125" s="977"/>
      <c r="AL125" s="977"/>
      <c r="AM125" s="977"/>
      <c r="AN125" s="977"/>
      <c r="AO125" s="977"/>
      <c r="AP125" s="977"/>
      <c r="AQ125" s="977"/>
      <c r="AR125" s="977"/>
      <c r="AS125" s="977"/>
      <c r="AT125" s="977"/>
      <c r="AU125" s="978"/>
      <c r="AV125" s="979"/>
      <c r="AW125" s="980"/>
    </row>
    <row r="126" spans="1:49">
      <c r="A126" s="193">
        <f>'Input data'!A118</f>
        <v>2018</v>
      </c>
      <c r="B126" s="208">
        <f>'Input data'!B118</f>
        <v>57.436000617299655</v>
      </c>
      <c r="C126" s="417">
        <f>'Recycling - Case 1'!E98</f>
        <v>0.72344242424242422</v>
      </c>
      <c r="D126" s="525">
        <f>'Recycling - Case 1'!F98</f>
        <v>0.29195303030303027</v>
      </c>
      <c r="E126" s="235">
        <f>B126*$C$4*($C$7*$C$11+$C$8*$C$10+$C$7*$C$12)*10^6</f>
        <v>893963349.55796838</v>
      </c>
      <c r="F126" s="236">
        <v>0</v>
      </c>
      <c r="G126" s="237">
        <f t="shared" si="78"/>
        <v>893963349.55796838</v>
      </c>
      <c r="H126" s="118">
        <f>($H$158-$H$124)/($A$158-$A$124)+H124</f>
        <v>0.10279720279720281</v>
      </c>
      <c r="I126" s="118">
        <f t="shared" si="85"/>
        <v>0</v>
      </c>
      <c r="J126" s="118">
        <f>($J$158-$J$124)/($A$158-$A$124)+J124</f>
        <v>0.10279720279720281</v>
      </c>
      <c r="K126" s="118">
        <f>($K$158-$K$124)/($A$158-$A$124)+K124</f>
        <v>0.28783216783216786</v>
      </c>
      <c r="L126" s="118">
        <f>($L$158-$L$124)/($A$158-$A$124)+L124</f>
        <v>4.1118881118881123E-2</v>
      </c>
      <c r="M126" s="118">
        <f>($M$158-$M$124)/($A$158-$A$124)+M124</f>
        <v>0.46545454545454545</v>
      </c>
      <c r="N126" s="117">
        <f t="shared" si="118"/>
        <v>0</v>
      </c>
      <c r="O126" s="118">
        <f t="shared" si="90"/>
        <v>0.7</v>
      </c>
      <c r="P126" s="118">
        <f t="shared" si="91"/>
        <v>0.15</v>
      </c>
      <c r="Q126" s="118">
        <f t="shared" si="92"/>
        <v>0.15</v>
      </c>
      <c r="R126" s="118">
        <f t="shared" si="93"/>
        <v>0</v>
      </c>
      <c r="S126" s="205">
        <f t="shared" si="94"/>
        <v>0</v>
      </c>
      <c r="T126" s="118">
        <f>($T$158-$T$124)/($A$158-$A$124)+T124</f>
        <v>0.34257575757575759</v>
      </c>
      <c r="U126" s="118">
        <f t="shared" ref="U126:U157" si="119">$D$16</f>
        <v>0</v>
      </c>
      <c r="V126" s="118">
        <f>($V$158-$V$124)/($A$158-$A$124)+V124</f>
        <v>0.17128787878787879</v>
      </c>
      <c r="W126" s="118">
        <f>($W$158-$W$124)/($A$158-$A$124)+W124</f>
        <v>0.24181818181818182</v>
      </c>
      <c r="X126" s="118">
        <f>($X$158-$X$124)/($A$158-$A$124)+X124</f>
        <v>5.0378787878787884E-2</v>
      </c>
      <c r="Y126" s="118">
        <f>($Y$158-$Y$124)/($A$158-$A$124)+Y124</f>
        <v>0.19393939393939394</v>
      </c>
      <c r="Z126" s="235">
        <f t="shared" si="100"/>
        <v>10751941.01331993</v>
      </c>
      <c r="AA126" s="236">
        <f t="shared" si="101"/>
        <v>0</v>
      </c>
      <c r="AB126" s="236">
        <f t="shared" si="102"/>
        <v>10751941.01331993</v>
      </c>
      <c r="AC126" s="236">
        <f t="shared" si="103"/>
        <v>6021086.9674591608</v>
      </c>
      <c r="AD126" s="236">
        <f t="shared" si="104"/>
        <v>860155.2810655944</v>
      </c>
      <c r="AE126" s="236">
        <f t="shared" si="105"/>
        <v>0</v>
      </c>
      <c r="AF126" s="242">
        <f t="shared" si="80"/>
        <v>28385124.275164615</v>
      </c>
      <c r="AG126" s="235">
        <f t="shared" si="106"/>
        <v>0</v>
      </c>
      <c r="AH126" s="236">
        <f t="shared" si="107"/>
        <v>0</v>
      </c>
      <c r="AI126" s="236">
        <f t="shared" si="108"/>
        <v>4827402.0876130285</v>
      </c>
      <c r="AJ126" s="236">
        <f t="shared" si="109"/>
        <v>965480.41752260574</v>
      </c>
      <c r="AK126" s="236">
        <f t="shared" si="110"/>
        <v>0</v>
      </c>
      <c r="AL126" s="236">
        <f t="shared" si="111"/>
        <v>0</v>
      </c>
      <c r="AM126" s="242">
        <f t="shared" si="81"/>
        <v>5792882.505135634</v>
      </c>
      <c r="AN126" s="235">
        <f t="shared" si="112"/>
        <v>45018775.242808074</v>
      </c>
      <c r="AO126" s="236">
        <f t="shared" si="113"/>
        <v>0</v>
      </c>
      <c r="AP126" s="236">
        <f t="shared" si="114"/>
        <v>22509387.621404037</v>
      </c>
      <c r="AQ126" s="236">
        <f t="shared" si="115"/>
        <v>31777958.994923342</v>
      </c>
      <c r="AR126" s="236">
        <f t="shared" si="116"/>
        <v>1324081.6247884727</v>
      </c>
      <c r="AS126" s="236">
        <f t="shared" si="82"/>
        <v>0</v>
      </c>
      <c r="AT126" s="242">
        <f t="shared" si="83"/>
        <v>100630203.48392393</v>
      </c>
      <c r="AU126" s="254">
        <v>0</v>
      </c>
      <c r="AV126" s="246">
        <f t="shared" si="84"/>
        <v>134.80821026422416</v>
      </c>
      <c r="AW126" s="257">
        <f t="shared" si="77"/>
        <v>2.8960026873618072</v>
      </c>
    </row>
    <row r="127" spans="1:49">
      <c r="A127" s="193">
        <f>'Input data'!A119</f>
        <v>2019</v>
      </c>
      <c r="B127" s="208">
        <f>'Input data'!B119</f>
        <v>58.364834921819444</v>
      </c>
      <c r="C127" s="417">
        <f>'Recycling - Case 1'!E99</f>
        <v>0.73208484848484845</v>
      </c>
      <c r="D127" s="525">
        <f>'Recycling - Case 1'!F99</f>
        <v>0.29430606060606057</v>
      </c>
      <c r="E127" s="235">
        <f t="shared" si="76"/>
        <v>908420202.70109534</v>
      </c>
      <c r="F127" s="236">
        <v>0</v>
      </c>
      <c r="G127" s="237">
        <f t="shared" si="78"/>
        <v>908420202.70109534</v>
      </c>
      <c r="H127" s="118">
        <f t="shared" ref="H127:H157" si="120">($H$158-$H$124)/($A$158-$A$124)+H126</f>
        <v>0.10559440559440561</v>
      </c>
      <c r="I127" s="118">
        <f t="shared" si="85"/>
        <v>0</v>
      </c>
      <c r="J127" s="118">
        <f t="shared" ref="J127:J157" si="121">($J$158-$J$124)/($A$158-$A$124)+J126</f>
        <v>0.10559440559440561</v>
      </c>
      <c r="K127" s="118">
        <f t="shared" ref="K127:K157" si="122">($K$158-$K$124)/($A$158-$A$124)+K126</f>
        <v>0.2956643356643357</v>
      </c>
      <c r="L127" s="118">
        <f t="shared" ref="L127:L157" si="123">($L$158-$L$124)/($A$158-$A$124)+L126</f>
        <v>4.2237762237762239E-2</v>
      </c>
      <c r="M127" s="118">
        <f t="shared" ref="M127:M157" si="124">($M$158-$M$124)/($A$158-$A$124)+M126</f>
        <v>0.45090909090909093</v>
      </c>
      <c r="N127" s="117">
        <f t="shared" si="118"/>
        <v>0</v>
      </c>
      <c r="O127" s="118">
        <f t="shared" si="90"/>
        <v>0.7</v>
      </c>
      <c r="P127" s="118">
        <f t="shared" si="91"/>
        <v>0.15</v>
      </c>
      <c r="Q127" s="118">
        <f t="shared" si="92"/>
        <v>0.15</v>
      </c>
      <c r="R127" s="118">
        <f t="shared" si="93"/>
        <v>0</v>
      </c>
      <c r="S127" s="205">
        <f t="shared" si="94"/>
        <v>0</v>
      </c>
      <c r="T127" s="118">
        <f t="shared" ref="T127:T157" si="125">($T$158-$T$124)/($A$158-$A$124)+T126</f>
        <v>0.34515151515151515</v>
      </c>
      <c r="U127" s="118">
        <f t="shared" si="119"/>
        <v>0</v>
      </c>
      <c r="V127" s="118">
        <f t="shared" ref="V127:V157" si="126">($V$158-$V$124)/($A$158-$A$124)+V126</f>
        <v>0.17257575757575758</v>
      </c>
      <c r="W127" s="118">
        <f t="shared" ref="W127:W157" si="127">($W$158-$W$124)/($A$158-$A$124)+W126</f>
        <v>0.24363636363636365</v>
      </c>
      <c r="X127" s="118">
        <f t="shared" ref="X127:X157" si="128">($X$158-$X$124)/($A$158-$A$124)+X126</f>
        <v>5.0757575757575765E-2</v>
      </c>
      <c r="Y127" s="118">
        <f t="shared" ref="Y127:Y157" si="129">($Y$158-$Y$124)/($A$158-$A$124)+Y126</f>
        <v>0.18787878787878787</v>
      </c>
      <c r="Z127" s="235">
        <f t="shared" si="100"/>
        <v>11223118.686098078</v>
      </c>
      <c r="AA127" s="236">
        <f t="shared" si="101"/>
        <v>0</v>
      </c>
      <c r="AB127" s="236">
        <f t="shared" si="102"/>
        <v>11223118.686098078</v>
      </c>
      <c r="AC127" s="236">
        <f t="shared" si="103"/>
        <v>6284946.4642149238</v>
      </c>
      <c r="AD127" s="236">
        <f t="shared" si="104"/>
        <v>897849.49488784617</v>
      </c>
      <c r="AE127" s="236">
        <f t="shared" si="105"/>
        <v>0</v>
      </c>
      <c r="AF127" s="242">
        <f t="shared" si="80"/>
        <v>29629033.331298929</v>
      </c>
      <c r="AG127" s="235">
        <f t="shared" si="106"/>
        <v>0</v>
      </c>
      <c r="AH127" s="236">
        <f t="shared" si="107"/>
        <v>0</v>
      </c>
      <c r="AI127" s="236">
        <f t="shared" si="108"/>
        <v>4905469.0945859142</v>
      </c>
      <c r="AJ127" s="236">
        <f t="shared" si="109"/>
        <v>981093.81891718286</v>
      </c>
      <c r="AK127" s="236">
        <f t="shared" si="110"/>
        <v>0</v>
      </c>
      <c r="AL127" s="236">
        <f t="shared" si="111"/>
        <v>0</v>
      </c>
      <c r="AM127" s="242">
        <f t="shared" si="81"/>
        <v>5886562.9135030974</v>
      </c>
      <c r="AN127" s="235">
        <f t="shared" si="112"/>
        <v>46090763.575409845</v>
      </c>
      <c r="AO127" s="236">
        <f t="shared" si="113"/>
        <v>0</v>
      </c>
      <c r="AP127" s="236">
        <f t="shared" si="114"/>
        <v>23045381.787704922</v>
      </c>
      <c r="AQ127" s="236">
        <f t="shared" si="115"/>
        <v>32534656.641465776</v>
      </c>
      <c r="AR127" s="236">
        <f t="shared" si="116"/>
        <v>1355610.6933944072</v>
      </c>
      <c r="AS127" s="236">
        <f t="shared" si="82"/>
        <v>0</v>
      </c>
      <c r="AT127" s="242">
        <f t="shared" si="83"/>
        <v>103026412.69797496</v>
      </c>
      <c r="AU127" s="254">
        <v>0</v>
      </c>
      <c r="AV127" s="246">
        <f t="shared" si="84"/>
        <v>138.54200894277699</v>
      </c>
      <c r="AW127" s="257">
        <f t="shared" si="77"/>
        <v>2.9428357992270668</v>
      </c>
    </row>
    <row r="128" spans="1:49">
      <c r="A128" s="193">
        <f>'Input data'!A120</f>
        <v>2020</v>
      </c>
      <c r="B128" s="208">
        <f>'Input data'!B120</f>
        <v>59.308690000000006</v>
      </c>
      <c r="C128" s="417">
        <f>'Recycling - Case 1'!E100</f>
        <v>0.74072727272727268</v>
      </c>
      <c r="D128" s="525">
        <f>'Recycling - Case 1'!F100</f>
        <v>0.29665909090909087</v>
      </c>
      <c r="E128" s="235">
        <f t="shared" si="76"/>
        <v>923110846.86362517</v>
      </c>
      <c r="F128" s="236">
        <v>0</v>
      </c>
      <c r="G128" s="237">
        <f t="shared" si="78"/>
        <v>923110846.86362517</v>
      </c>
      <c r="H128" s="118">
        <f t="shared" si="120"/>
        <v>0.10839160839160841</v>
      </c>
      <c r="I128" s="118">
        <f t="shared" si="85"/>
        <v>0</v>
      </c>
      <c r="J128" s="118">
        <f t="shared" si="121"/>
        <v>0.10839160839160841</v>
      </c>
      <c r="K128" s="118">
        <f t="shared" si="122"/>
        <v>0.30349650349650353</v>
      </c>
      <c r="L128" s="118">
        <f t="shared" si="123"/>
        <v>4.3356643356643354E-2</v>
      </c>
      <c r="M128" s="118">
        <f t="shared" si="124"/>
        <v>0.4363636363636364</v>
      </c>
      <c r="N128" s="117">
        <f t="shared" si="118"/>
        <v>0</v>
      </c>
      <c r="O128" s="118">
        <f t="shared" si="90"/>
        <v>0.7</v>
      </c>
      <c r="P128" s="118">
        <f t="shared" si="91"/>
        <v>0.15</v>
      </c>
      <c r="Q128" s="118">
        <f t="shared" si="92"/>
        <v>0.15</v>
      </c>
      <c r="R128" s="118">
        <f t="shared" si="93"/>
        <v>0</v>
      </c>
      <c r="S128" s="205">
        <f t="shared" si="94"/>
        <v>0</v>
      </c>
      <c r="T128" s="118">
        <f t="shared" si="125"/>
        <v>0.34772727272727272</v>
      </c>
      <c r="U128" s="118">
        <f t="shared" si="119"/>
        <v>0</v>
      </c>
      <c r="V128" s="118">
        <f t="shared" si="126"/>
        <v>0.17386363636363636</v>
      </c>
      <c r="W128" s="118">
        <f t="shared" si="127"/>
        <v>0.24545454545454548</v>
      </c>
      <c r="X128" s="118">
        <f t="shared" si="128"/>
        <v>5.1136363636363646E-2</v>
      </c>
      <c r="Y128" s="118">
        <f t="shared" si="129"/>
        <v>0.1818181818181818</v>
      </c>
      <c r="Z128" s="235">
        <f t="shared" si="100"/>
        <v>11706723.921588704</v>
      </c>
      <c r="AA128" s="236">
        <f t="shared" si="101"/>
        <v>0</v>
      </c>
      <c r="AB128" s="236">
        <f t="shared" si="102"/>
        <v>11706723.921588704</v>
      </c>
      <c r="AC128" s="236">
        <f t="shared" si="103"/>
        <v>6555765.396089674</v>
      </c>
      <c r="AD128" s="236">
        <f t="shared" si="104"/>
        <v>936537.91372709605</v>
      </c>
      <c r="AE128" s="236">
        <f t="shared" si="105"/>
        <v>0</v>
      </c>
      <c r="AF128" s="242">
        <f t="shared" si="80"/>
        <v>30905751.152994178</v>
      </c>
      <c r="AG128" s="235">
        <f t="shared" si="106"/>
        <v>0</v>
      </c>
      <c r="AH128" s="236">
        <f t="shared" si="107"/>
        <v>0</v>
      </c>
      <c r="AI128" s="236">
        <f t="shared" si="108"/>
        <v>4984798.5730635757</v>
      </c>
      <c r="AJ128" s="236">
        <f t="shared" si="109"/>
        <v>996959.71461271506</v>
      </c>
      <c r="AK128" s="236">
        <f t="shared" si="110"/>
        <v>0</v>
      </c>
      <c r="AL128" s="236">
        <f t="shared" si="111"/>
        <v>0</v>
      </c>
      <c r="AM128" s="242">
        <f t="shared" si="81"/>
        <v>5981758.2876762906</v>
      </c>
      <c r="AN128" s="235">
        <f t="shared" si="112"/>
        <v>47185650.12911316</v>
      </c>
      <c r="AO128" s="236">
        <f t="shared" si="113"/>
        <v>0</v>
      </c>
      <c r="AP128" s="236">
        <f t="shared" si="114"/>
        <v>23592825.06455658</v>
      </c>
      <c r="AQ128" s="236">
        <f t="shared" si="115"/>
        <v>33307517.738197528</v>
      </c>
      <c r="AR128" s="236">
        <f t="shared" si="116"/>
        <v>1387813.239091564</v>
      </c>
      <c r="AS128" s="236">
        <f t="shared" si="82"/>
        <v>0</v>
      </c>
      <c r="AT128" s="242">
        <f t="shared" si="83"/>
        <v>105473806.17095883</v>
      </c>
      <c r="AU128" s="254">
        <v>0</v>
      </c>
      <c r="AV128" s="246">
        <f t="shared" si="84"/>
        <v>142.36131561162929</v>
      </c>
      <c r="AW128" s="257">
        <f t="shared" si="77"/>
        <v>2.9904262793007734</v>
      </c>
    </row>
    <row r="129" spans="1:49">
      <c r="A129" s="193">
        <f>'Input data'!A121</f>
        <v>2021</v>
      </c>
      <c r="B129" s="208">
        <f>'Input data'!B121</f>
        <v>59.991580449204264</v>
      </c>
      <c r="C129" s="417">
        <f>'Recycling - Case 1'!E101</f>
        <v>0.74936969696969691</v>
      </c>
      <c r="D129" s="525">
        <f>'Recycling - Case 1'!F101</f>
        <v>0.29901212121212117</v>
      </c>
      <c r="E129" s="235">
        <f t="shared" si="76"/>
        <v>933739703.79639542</v>
      </c>
      <c r="F129" s="236">
        <v>0</v>
      </c>
      <c r="G129" s="237">
        <f t="shared" si="78"/>
        <v>933739703.79639542</v>
      </c>
      <c r="H129" s="118">
        <f t="shared" si="120"/>
        <v>0.11118881118881122</v>
      </c>
      <c r="I129" s="118">
        <f t="shared" si="85"/>
        <v>0</v>
      </c>
      <c r="J129" s="118">
        <f t="shared" si="121"/>
        <v>0.11118881118881122</v>
      </c>
      <c r="K129" s="118">
        <f t="shared" si="122"/>
        <v>0.31132867132867137</v>
      </c>
      <c r="L129" s="118">
        <f t="shared" si="123"/>
        <v>4.4475524475524469E-2</v>
      </c>
      <c r="M129" s="118">
        <f t="shared" si="124"/>
        <v>0.42181818181818187</v>
      </c>
      <c r="N129" s="117">
        <f t="shared" si="118"/>
        <v>0</v>
      </c>
      <c r="O129" s="118">
        <f t="shared" si="90"/>
        <v>0.7</v>
      </c>
      <c r="P129" s="118">
        <f t="shared" si="91"/>
        <v>0.15</v>
      </c>
      <c r="Q129" s="118">
        <f t="shared" si="92"/>
        <v>0.15</v>
      </c>
      <c r="R129" s="118">
        <f t="shared" si="93"/>
        <v>0</v>
      </c>
      <c r="S129" s="205">
        <f t="shared" si="94"/>
        <v>0</v>
      </c>
      <c r="T129" s="118">
        <f t="shared" si="125"/>
        <v>0.35030303030303028</v>
      </c>
      <c r="U129" s="118">
        <f t="shared" si="119"/>
        <v>0</v>
      </c>
      <c r="V129" s="118">
        <f t="shared" si="126"/>
        <v>0.17515151515151514</v>
      </c>
      <c r="W129" s="118">
        <f t="shared" si="127"/>
        <v>0.24727272727272731</v>
      </c>
      <c r="X129" s="118">
        <f t="shared" si="128"/>
        <v>5.1515151515151528E-2</v>
      </c>
      <c r="Y129" s="118">
        <f t="shared" si="129"/>
        <v>0.17575757575757572</v>
      </c>
      <c r="Z129" s="235">
        <f t="shared" si="100"/>
        <v>12147104.692114931</v>
      </c>
      <c r="AA129" s="236">
        <f t="shared" si="101"/>
        <v>0</v>
      </c>
      <c r="AB129" s="236">
        <f t="shared" si="102"/>
        <v>12147104.692114931</v>
      </c>
      <c r="AC129" s="236">
        <f t="shared" si="103"/>
        <v>6802378.6275843596</v>
      </c>
      <c r="AD129" s="236">
        <f t="shared" si="104"/>
        <v>971768.37536919396</v>
      </c>
      <c r="AE129" s="236">
        <f t="shared" si="105"/>
        <v>0</v>
      </c>
      <c r="AF129" s="242">
        <f t="shared" si="80"/>
        <v>32068356.387183417</v>
      </c>
      <c r="AG129" s="235">
        <f t="shared" si="106"/>
        <v>0</v>
      </c>
      <c r="AH129" s="236">
        <f t="shared" si="107"/>
        <v>0</v>
      </c>
      <c r="AI129" s="236">
        <f t="shared" si="108"/>
        <v>5042194.400500535</v>
      </c>
      <c r="AJ129" s="236">
        <f t="shared" si="109"/>
        <v>1008438.8801001071</v>
      </c>
      <c r="AK129" s="236">
        <f t="shared" si="110"/>
        <v>0</v>
      </c>
      <c r="AL129" s="236">
        <f t="shared" si="111"/>
        <v>0</v>
      </c>
      <c r="AM129" s="242">
        <f t="shared" si="81"/>
        <v>6050633.2806006419</v>
      </c>
      <c r="AN129" s="235">
        <f t="shared" si="112"/>
        <v>48082501.619857289</v>
      </c>
      <c r="AO129" s="236">
        <f t="shared" si="113"/>
        <v>0</v>
      </c>
      <c r="AP129" s="236">
        <f t="shared" si="114"/>
        <v>24041250.809928644</v>
      </c>
      <c r="AQ129" s="236">
        <f t="shared" si="115"/>
        <v>33940589.378722802</v>
      </c>
      <c r="AR129" s="236">
        <f t="shared" si="116"/>
        <v>1414191.2241134502</v>
      </c>
      <c r="AS129" s="236">
        <f t="shared" si="82"/>
        <v>0</v>
      </c>
      <c r="AT129" s="242">
        <f t="shared" si="83"/>
        <v>107478533.03262219</v>
      </c>
      <c r="AU129" s="254">
        <v>0</v>
      </c>
      <c r="AV129" s="246">
        <f t="shared" si="84"/>
        <v>145.59752270040624</v>
      </c>
      <c r="AW129" s="257">
        <f t="shared" si="77"/>
        <v>3.0248585614028385</v>
      </c>
    </row>
    <row r="130" spans="1:49">
      <c r="A130" s="193">
        <f>'Input data'!A122</f>
        <v>2022</v>
      </c>
      <c r="B130" s="208">
        <f>'Input data'!B122</f>
        <v>60.682333816399378</v>
      </c>
      <c r="C130" s="417">
        <f>'Recycling - Case 1'!E102</f>
        <v>0.75801212121212114</v>
      </c>
      <c r="D130" s="525">
        <f>'Recycling - Case 1'!F102</f>
        <v>0.30136515151515147</v>
      </c>
      <c r="E130" s="235">
        <f t="shared" si="76"/>
        <v>944490943.21452093</v>
      </c>
      <c r="F130" s="236">
        <v>0</v>
      </c>
      <c r="G130" s="237">
        <f t="shared" si="78"/>
        <v>944490943.21452093</v>
      </c>
      <c r="H130" s="118">
        <f t="shared" si="120"/>
        <v>0.11398601398601402</v>
      </c>
      <c r="I130" s="118">
        <f t="shared" si="85"/>
        <v>0</v>
      </c>
      <c r="J130" s="118">
        <f t="shared" si="121"/>
        <v>0.11398601398601402</v>
      </c>
      <c r="K130" s="118">
        <f t="shared" si="122"/>
        <v>0.3191608391608392</v>
      </c>
      <c r="L130" s="118">
        <f t="shared" si="123"/>
        <v>4.5594405594405585E-2</v>
      </c>
      <c r="M130" s="118">
        <f t="shared" si="124"/>
        <v>0.40727272727272734</v>
      </c>
      <c r="N130" s="117">
        <f t="shared" si="118"/>
        <v>0</v>
      </c>
      <c r="O130" s="118">
        <f t="shared" si="90"/>
        <v>0.7</v>
      </c>
      <c r="P130" s="118">
        <f t="shared" si="91"/>
        <v>0.15</v>
      </c>
      <c r="Q130" s="118">
        <f t="shared" si="92"/>
        <v>0.15</v>
      </c>
      <c r="R130" s="118">
        <f t="shared" si="93"/>
        <v>0</v>
      </c>
      <c r="S130" s="205">
        <f t="shared" si="94"/>
        <v>0</v>
      </c>
      <c r="T130" s="118">
        <f t="shared" si="125"/>
        <v>0.35287878787878785</v>
      </c>
      <c r="U130" s="118">
        <f t="shared" si="119"/>
        <v>0</v>
      </c>
      <c r="V130" s="118">
        <f t="shared" si="126"/>
        <v>0.17643939393939392</v>
      </c>
      <c r="W130" s="118">
        <f t="shared" si="127"/>
        <v>0.24909090909090914</v>
      </c>
      <c r="X130" s="118">
        <f t="shared" si="128"/>
        <v>5.1893939393939409E-2</v>
      </c>
      <c r="Y130" s="118">
        <f t="shared" si="129"/>
        <v>0.16969696969696965</v>
      </c>
      <c r="Z130" s="235">
        <f t="shared" si="100"/>
        <v>12596074.669960931</v>
      </c>
      <c r="AA130" s="236">
        <f t="shared" si="101"/>
        <v>0</v>
      </c>
      <c r="AB130" s="236">
        <f t="shared" si="102"/>
        <v>12596074.669960931</v>
      </c>
      <c r="AC130" s="236">
        <f t="shared" si="103"/>
        <v>7053801.8151781214</v>
      </c>
      <c r="AD130" s="236">
        <f t="shared" si="104"/>
        <v>1007685.973596874</v>
      </c>
      <c r="AE130" s="236">
        <f t="shared" si="105"/>
        <v>0</v>
      </c>
      <c r="AF130" s="242">
        <f t="shared" si="80"/>
        <v>33253637.128696859</v>
      </c>
      <c r="AG130" s="235">
        <f t="shared" si="106"/>
        <v>0</v>
      </c>
      <c r="AH130" s="236">
        <f t="shared" si="107"/>
        <v>0</v>
      </c>
      <c r="AI130" s="236">
        <f t="shared" si="108"/>
        <v>5100251.0933584133</v>
      </c>
      <c r="AJ130" s="236">
        <f t="shared" si="109"/>
        <v>1020050.2186716824</v>
      </c>
      <c r="AK130" s="236">
        <f t="shared" si="110"/>
        <v>0</v>
      </c>
      <c r="AL130" s="236">
        <f t="shared" si="111"/>
        <v>0</v>
      </c>
      <c r="AM130" s="242">
        <f t="shared" si="81"/>
        <v>6120301.3120300956</v>
      </c>
      <c r="AN130" s="235">
        <f t="shared" si="112"/>
        <v>48993750.422992878</v>
      </c>
      <c r="AO130" s="236">
        <f t="shared" si="113"/>
        <v>0</v>
      </c>
      <c r="AP130" s="236">
        <f t="shared" si="114"/>
        <v>24496875.211496439</v>
      </c>
      <c r="AQ130" s="236">
        <f t="shared" si="115"/>
        <v>34583823.82799498</v>
      </c>
      <c r="AR130" s="236">
        <f t="shared" si="116"/>
        <v>1440992.659499791</v>
      </c>
      <c r="AS130" s="236">
        <f t="shared" si="82"/>
        <v>0</v>
      </c>
      <c r="AT130" s="242">
        <f t="shared" si="83"/>
        <v>109515442.12198409</v>
      </c>
      <c r="AU130" s="254">
        <v>0</v>
      </c>
      <c r="AV130" s="246">
        <f t="shared" si="84"/>
        <v>148.88938056271107</v>
      </c>
      <c r="AW130" s="257">
        <f t="shared" si="77"/>
        <v>3.0596873027184164</v>
      </c>
    </row>
    <row r="131" spans="1:49">
      <c r="A131" s="193">
        <f>'Input data'!A123</f>
        <v>2023</v>
      </c>
      <c r="B131" s="208">
        <f>'Input data'!B123</f>
        <v>61.381040636574369</v>
      </c>
      <c r="C131" s="417">
        <f>'Recycling - Case 1'!E103</f>
        <v>0.76665454545454537</v>
      </c>
      <c r="D131" s="525">
        <f>'Recycling - Case 1'!F103</f>
        <v>0.30371818181818178</v>
      </c>
      <c r="E131" s="235">
        <f t="shared" si="76"/>
        <v>955365974.25096989</v>
      </c>
      <c r="F131" s="236">
        <v>0</v>
      </c>
      <c r="G131" s="237">
        <f t="shared" si="78"/>
        <v>955365974.25096989</v>
      </c>
      <c r="H131" s="118">
        <f t="shared" si="120"/>
        <v>0.11678321678321682</v>
      </c>
      <c r="I131" s="118">
        <f t="shared" si="85"/>
        <v>0</v>
      </c>
      <c r="J131" s="118">
        <f t="shared" si="121"/>
        <v>0.11678321678321682</v>
      </c>
      <c r="K131" s="118">
        <f t="shared" si="122"/>
        <v>0.32699300699300704</v>
      </c>
      <c r="L131" s="118">
        <f t="shared" si="123"/>
        <v>4.67132867132867E-2</v>
      </c>
      <c r="M131" s="118">
        <f t="shared" si="124"/>
        <v>0.39272727272727281</v>
      </c>
      <c r="N131" s="117">
        <f t="shared" si="118"/>
        <v>0</v>
      </c>
      <c r="O131" s="118">
        <f t="shared" si="90"/>
        <v>0.7</v>
      </c>
      <c r="P131" s="118">
        <f t="shared" si="91"/>
        <v>0.15</v>
      </c>
      <c r="Q131" s="118">
        <f t="shared" si="92"/>
        <v>0.15</v>
      </c>
      <c r="R131" s="118">
        <f t="shared" si="93"/>
        <v>0</v>
      </c>
      <c r="S131" s="205">
        <f t="shared" si="94"/>
        <v>0</v>
      </c>
      <c r="T131" s="118">
        <f t="shared" si="125"/>
        <v>0.35545454545454541</v>
      </c>
      <c r="U131" s="118">
        <f t="shared" si="119"/>
        <v>0</v>
      </c>
      <c r="V131" s="118">
        <f t="shared" si="126"/>
        <v>0.17772727272727271</v>
      </c>
      <c r="W131" s="118">
        <f t="shared" si="127"/>
        <v>0.25090909090909097</v>
      </c>
      <c r="X131" s="118">
        <f t="shared" si="128"/>
        <v>5.227272727272729E-2</v>
      </c>
      <c r="Y131" s="118">
        <f t="shared" si="129"/>
        <v>0.16363636363636358</v>
      </c>
      <c r="Z131" s="235">
        <f t="shared" si="100"/>
        <v>13053773.266356438</v>
      </c>
      <c r="AA131" s="236">
        <f t="shared" si="101"/>
        <v>0</v>
      </c>
      <c r="AB131" s="236">
        <f t="shared" si="102"/>
        <v>13053773.266356438</v>
      </c>
      <c r="AC131" s="236">
        <f t="shared" si="103"/>
        <v>7310113.0291596027</v>
      </c>
      <c r="AD131" s="236">
        <f t="shared" si="104"/>
        <v>1044301.8613085144</v>
      </c>
      <c r="AE131" s="236">
        <f t="shared" si="105"/>
        <v>0</v>
      </c>
      <c r="AF131" s="242">
        <f t="shared" si="80"/>
        <v>34461961.42318099</v>
      </c>
      <c r="AG131" s="235">
        <f t="shared" si="106"/>
        <v>0</v>
      </c>
      <c r="AH131" s="236">
        <f t="shared" si="107"/>
        <v>0</v>
      </c>
      <c r="AI131" s="236">
        <f t="shared" si="108"/>
        <v>5158976.2609552369</v>
      </c>
      <c r="AJ131" s="236">
        <f t="shared" si="109"/>
        <v>1031795.2521910473</v>
      </c>
      <c r="AK131" s="236">
        <f t="shared" si="110"/>
        <v>0</v>
      </c>
      <c r="AL131" s="236">
        <f t="shared" si="111"/>
        <v>0</v>
      </c>
      <c r="AM131" s="242">
        <f t="shared" si="81"/>
        <v>6190771.513146284</v>
      </c>
      <c r="AN131" s="235">
        <f t="shared" si="112"/>
        <v>49919609.183657259</v>
      </c>
      <c r="AO131" s="236">
        <f t="shared" si="113"/>
        <v>0</v>
      </c>
      <c r="AP131" s="236">
        <f t="shared" si="114"/>
        <v>24959804.591828629</v>
      </c>
      <c r="AQ131" s="236">
        <f t="shared" si="115"/>
        <v>35237371.188463956</v>
      </c>
      <c r="AR131" s="236">
        <f t="shared" si="116"/>
        <v>1468223.7995193319</v>
      </c>
      <c r="AS131" s="236">
        <f t="shared" si="82"/>
        <v>0</v>
      </c>
      <c r="AT131" s="242">
        <f t="shared" si="83"/>
        <v>111585008.76346917</v>
      </c>
      <c r="AU131" s="254">
        <v>0</v>
      </c>
      <c r="AV131" s="246">
        <f t="shared" si="84"/>
        <v>152.23774169979643</v>
      </c>
      <c r="AW131" s="257">
        <f t="shared" si="77"/>
        <v>3.0949170681470224</v>
      </c>
    </row>
    <row r="132" spans="1:49">
      <c r="A132" s="193">
        <f>'Input data'!A124</f>
        <v>2024</v>
      </c>
      <c r="B132" s="208">
        <f>'Input data'!B124</f>
        <v>62.087792487153699</v>
      </c>
      <c r="C132" s="417">
        <f>'Recycling - Case 1'!E104</f>
        <v>0.7752969696969696</v>
      </c>
      <c r="D132" s="525">
        <f>'Recycling - Case 1'!F104</f>
        <v>0.30607121212121208</v>
      </c>
      <c r="E132" s="235">
        <f t="shared" si="76"/>
        <v>966366222.26371002</v>
      </c>
      <c r="F132" s="236">
        <v>0</v>
      </c>
      <c r="G132" s="237">
        <f t="shared" si="78"/>
        <v>966366222.26371002</v>
      </c>
      <c r="H132" s="118">
        <f t="shared" si="120"/>
        <v>0.11958041958041962</v>
      </c>
      <c r="I132" s="118">
        <f t="shared" si="85"/>
        <v>0</v>
      </c>
      <c r="J132" s="118">
        <f t="shared" si="121"/>
        <v>0.11958041958041962</v>
      </c>
      <c r="K132" s="118">
        <f t="shared" si="122"/>
        <v>0.33482517482517488</v>
      </c>
      <c r="L132" s="118">
        <f t="shared" si="123"/>
        <v>4.7832167832167816E-2</v>
      </c>
      <c r="M132" s="118">
        <f t="shared" si="124"/>
        <v>0.37818181818181829</v>
      </c>
      <c r="N132" s="117">
        <f t="shared" si="118"/>
        <v>0</v>
      </c>
      <c r="O132" s="118">
        <f t="shared" si="90"/>
        <v>0.7</v>
      </c>
      <c r="P132" s="118">
        <f t="shared" si="91"/>
        <v>0.15</v>
      </c>
      <c r="Q132" s="118">
        <f t="shared" si="92"/>
        <v>0.15</v>
      </c>
      <c r="R132" s="118">
        <f t="shared" si="93"/>
        <v>0</v>
      </c>
      <c r="S132" s="205">
        <f t="shared" si="94"/>
        <v>0</v>
      </c>
      <c r="T132" s="118">
        <f t="shared" si="125"/>
        <v>0.35803030303030298</v>
      </c>
      <c r="U132" s="118">
        <f t="shared" si="119"/>
        <v>0</v>
      </c>
      <c r="V132" s="118">
        <f t="shared" si="126"/>
        <v>0.17901515151515149</v>
      </c>
      <c r="W132" s="118">
        <f t="shared" si="127"/>
        <v>0.2527272727272728</v>
      </c>
      <c r="X132" s="118">
        <f t="shared" si="128"/>
        <v>5.2651515151515171E-2</v>
      </c>
      <c r="Y132" s="118">
        <f t="shared" si="129"/>
        <v>0.15757575757575751</v>
      </c>
      <c r="Z132" s="235">
        <f t="shared" si="100"/>
        <v>13520341.964216821</v>
      </c>
      <c r="AA132" s="236">
        <f t="shared" si="101"/>
        <v>0</v>
      </c>
      <c r="AB132" s="236">
        <f t="shared" si="102"/>
        <v>13520341.964216821</v>
      </c>
      <c r="AC132" s="236">
        <f t="shared" si="103"/>
        <v>7571391.4999614181</v>
      </c>
      <c r="AD132" s="236">
        <f t="shared" si="104"/>
        <v>1081627.357137345</v>
      </c>
      <c r="AE132" s="236">
        <f t="shared" si="105"/>
        <v>0</v>
      </c>
      <c r="AF132" s="242">
        <f t="shared" si="80"/>
        <v>35693702.785532407</v>
      </c>
      <c r="AG132" s="235">
        <f t="shared" si="106"/>
        <v>0</v>
      </c>
      <c r="AH132" s="236">
        <f t="shared" si="107"/>
        <v>0</v>
      </c>
      <c r="AI132" s="236">
        <f t="shared" si="108"/>
        <v>5218377.6002240339</v>
      </c>
      <c r="AJ132" s="236">
        <f t="shared" si="109"/>
        <v>1043675.5200448068</v>
      </c>
      <c r="AK132" s="236">
        <f t="shared" si="110"/>
        <v>0</v>
      </c>
      <c r="AL132" s="236">
        <f t="shared" si="111"/>
        <v>0</v>
      </c>
      <c r="AM132" s="242">
        <f t="shared" si="81"/>
        <v>6262053.1202688403</v>
      </c>
      <c r="AN132" s="235">
        <f t="shared" si="112"/>
        <v>50860293.535112806</v>
      </c>
      <c r="AO132" s="236">
        <f t="shared" si="113"/>
        <v>0</v>
      </c>
      <c r="AP132" s="236">
        <f t="shared" si="114"/>
        <v>25430146.767556403</v>
      </c>
      <c r="AQ132" s="236">
        <f t="shared" si="115"/>
        <v>35901383.671844348</v>
      </c>
      <c r="AR132" s="236">
        <f t="shared" si="116"/>
        <v>1495890.9863268479</v>
      </c>
      <c r="AS132" s="236">
        <f t="shared" si="82"/>
        <v>0</v>
      </c>
      <c r="AT132" s="242">
        <f t="shared" si="83"/>
        <v>113687714.9608404</v>
      </c>
      <c r="AU132" s="254">
        <v>0</v>
      </c>
      <c r="AV132" s="246">
        <f t="shared" si="84"/>
        <v>155.64347086664165</v>
      </c>
      <c r="AW132" s="257">
        <f t="shared" si="77"/>
        <v>3.1305524751492158</v>
      </c>
    </row>
    <row r="133" spans="1:49">
      <c r="A133" s="193">
        <f>'Input data'!A125</f>
        <v>2025</v>
      </c>
      <c r="B133" s="208">
        <f>'Input data'!B125</f>
        <v>62.802682000000026</v>
      </c>
      <c r="C133" s="417">
        <f>'Recycling - Case 1'!E105</f>
        <v>0.78393939393939382</v>
      </c>
      <c r="D133" s="525">
        <f>'Recycling - Case 1'!F105</f>
        <v>0.30842424242424238</v>
      </c>
      <c r="E133" s="235">
        <f t="shared" si="76"/>
        <v>977493129.02252555</v>
      </c>
      <c r="F133" s="236">
        <v>0</v>
      </c>
      <c r="G133" s="237">
        <f t="shared" si="78"/>
        <v>977493129.02252555</v>
      </c>
      <c r="H133" s="118">
        <f t="shared" si="120"/>
        <v>0.12237762237762242</v>
      </c>
      <c r="I133" s="118">
        <f t="shared" si="85"/>
        <v>0</v>
      </c>
      <c r="J133" s="118">
        <f t="shared" si="121"/>
        <v>0.12237762237762242</v>
      </c>
      <c r="K133" s="118">
        <f t="shared" si="122"/>
        <v>0.34265734265734271</v>
      </c>
      <c r="L133" s="118">
        <f t="shared" si="123"/>
        <v>4.8951048951048931E-2</v>
      </c>
      <c r="M133" s="118">
        <f t="shared" si="124"/>
        <v>0.36363636363636376</v>
      </c>
      <c r="N133" s="117">
        <f t="shared" si="118"/>
        <v>0</v>
      </c>
      <c r="O133" s="118">
        <f t="shared" si="90"/>
        <v>0.7</v>
      </c>
      <c r="P133" s="118">
        <f t="shared" si="91"/>
        <v>0.15</v>
      </c>
      <c r="Q133" s="118">
        <f t="shared" si="92"/>
        <v>0.15</v>
      </c>
      <c r="R133" s="118">
        <f t="shared" si="93"/>
        <v>0</v>
      </c>
      <c r="S133" s="205">
        <f t="shared" si="94"/>
        <v>0</v>
      </c>
      <c r="T133" s="118">
        <f t="shared" si="125"/>
        <v>0.36060606060606054</v>
      </c>
      <c r="U133" s="118">
        <f t="shared" si="119"/>
        <v>0</v>
      </c>
      <c r="V133" s="118">
        <f t="shared" si="126"/>
        <v>0.18030303030303027</v>
      </c>
      <c r="W133" s="118">
        <f t="shared" si="127"/>
        <v>0.25454545454545463</v>
      </c>
      <c r="X133" s="118">
        <f t="shared" si="128"/>
        <v>5.3030303030303053E-2</v>
      </c>
      <c r="Y133" s="118">
        <f t="shared" si="129"/>
        <v>0.15151515151515144</v>
      </c>
      <c r="Z133" s="235">
        <f t="shared" si="100"/>
        <v>13995924.347367985</v>
      </c>
      <c r="AA133" s="236">
        <f t="shared" si="101"/>
        <v>0</v>
      </c>
      <c r="AB133" s="236">
        <f t="shared" si="102"/>
        <v>13995924.347367985</v>
      </c>
      <c r="AC133" s="236">
        <f t="shared" si="103"/>
        <v>7837717.6345260702</v>
      </c>
      <c r="AD133" s="236">
        <f t="shared" si="104"/>
        <v>1119673.9477894378</v>
      </c>
      <c r="AE133" s="236">
        <f t="shared" si="105"/>
        <v>0</v>
      </c>
      <c r="AF133" s="242">
        <f t="shared" si="80"/>
        <v>36949240.277051479</v>
      </c>
      <c r="AG133" s="235">
        <f t="shared" si="106"/>
        <v>0</v>
      </c>
      <c r="AH133" s="236">
        <f t="shared" si="107"/>
        <v>0</v>
      </c>
      <c r="AI133" s="236">
        <f t="shared" si="108"/>
        <v>5278462.8967216378</v>
      </c>
      <c r="AJ133" s="236">
        <f t="shared" si="109"/>
        <v>1055692.5793443273</v>
      </c>
      <c r="AK133" s="236">
        <f t="shared" si="110"/>
        <v>0</v>
      </c>
      <c r="AL133" s="236">
        <f t="shared" si="111"/>
        <v>0</v>
      </c>
      <c r="AM133" s="242">
        <f t="shared" si="81"/>
        <v>6334155.4760659654</v>
      </c>
      <c r="AN133" s="235">
        <f t="shared" si="112"/>
        <v>51816022.139366776</v>
      </c>
      <c r="AO133" s="236">
        <f t="shared" si="113"/>
        <v>0</v>
      </c>
      <c r="AP133" s="236">
        <f t="shared" si="114"/>
        <v>25908011.069683388</v>
      </c>
      <c r="AQ133" s="236">
        <f t="shared" si="115"/>
        <v>36576015.627788328</v>
      </c>
      <c r="AR133" s="236">
        <f t="shared" si="116"/>
        <v>1524000.6511578471</v>
      </c>
      <c r="AS133" s="236">
        <f t="shared" si="82"/>
        <v>0</v>
      </c>
      <c r="AT133" s="242">
        <f t="shared" si="83"/>
        <v>115824049.48799632</v>
      </c>
      <c r="AU133" s="254">
        <v>0</v>
      </c>
      <c r="AV133" s="246">
        <f t="shared" si="84"/>
        <v>159.10744524111379</v>
      </c>
      <c r="AW133" s="257">
        <f t="shared" si="77"/>
        <v>3.166598194351784</v>
      </c>
    </row>
    <row r="134" spans="1:49">
      <c r="A134" s="193">
        <f>'Input data'!A126</f>
        <v>2026</v>
      </c>
      <c r="B134" s="208">
        <f>'Input data'!B126</f>
        <v>63.421065342005143</v>
      </c>
      <c r="C134" s="417">
        <f>'Recycling - Case 1'!E106</f>
        <v>0.79258181818181805</v>
      </c>
      <c r="D134" s="525">
        <f>'Recycling - Case 1'!F106</f>
        <v>0.31077727272727268</v>
      </c>
      <c r="E134" s="235">
        <f t="shared" si="76"/>
        <v>987117964.27895594</v>
      </c>
      <c r="F134" s="236">
        <v>0</v>
      </c>
      <c r="G134" s="237">
        <f t="shared" si="78"/>
        <v>987117964.27895594</v>
      </c>
      <c r="H134" s="118">
        <f t="shared" si="120"/>
        <v>0.12517482517482523</v>
      </c>
      <c r="I134" s="118">
        <f t="shared" si="85"/>
        <v>0</v>
      </c>
      <c r="J134" s="118">
        <f t="shared" si="121"/>
        <v>0.12517482517482523</v>
      </c>
      <c r="K134" s="118">
        <f t="shared" si="122"/>
        <v>0.35048951048951055</v>
      </c>
      <c r="L134" s="118">
        <f t="shared" si="123"/>
        <v>5.0069930069930046E-2</v>
      </c>
      <c r="M134" s="118">
        <f t="shared" si="124"/>
        <v>0.34909090909090923</v>
      </c>
      <c r="N134" s="117">
        <f t="shared" si="118"/>
        <v>0</v>
      </c>
      <c r="O134" s="118">
        <f t="shared" si="90"/>
        <v>0.7</v>
      </c>
      <c r="P134" s="118">
        <f t="shared" si="91"/>
        <v>0.15</v>
      </c>
      <c r="Q134" s="118">
        <f t="shared" si="92"/>
        <v>0.15</v>
      </c>
      <c r="R134" s="118">
        <f t="shared" si="93"/>
        <v>0</v>
      </c>
      <c r="S134" s="205">
        <f t="shared" si="94"/>
        <v>0</v>
      </c>
      <c r="T134" s="118">
        <f t="shared" si="125"/>
        <v>0.36318181818181811</v>
      </c>
      <c r="U134" s="118">
        <f t="shared" si="119"/>
        <v>0</v>
      </c>
      <c r="V134" s="118">
        <f t="shared" si="126"/>
        <v>0.18159090909090905</v>
      </c>
      <c r="W134" s="118">
        <f t="shared" si="127"/>
        <v>0.25636363636363646</v>
      </c>
      <c r="X134" s="118">
        <f t="shared" si="128"/>
        <v>5.3409090909090934E-2</v>
      </c>
      <c r="Y134" s="118">
        <f t="shared" si="129"/>
        <v>0.14545454545454536</v>
      </c>
      <c r="Z134" s="235">
        <f t="shared" si="100"/>
        <v>14456791.276849082</v>
      </c>
      <c r="AA134" s="236">
        <f t="shared" si="101"/>
        <v>0</v>
      </c>
      <c r="AB134" s="236">
        <f t="shared" si="102"/>
        <v>14456791.276849082</v>
      </c>
      <c r="AC134" s="236">
        <f t="shared" si="103"/>
        <v>8095803.1150354818</v>
      </c>
      <c r="AD134" s="236">
        <f t="shared" si="104"/>
        <v>1156543.3021479254</v>
      </c>
      <c r="AE134" s="236">
        <f t="shared" si="105"/>
        <v>0</v>
      </c>
      <c r="AF134" s="242">
        <f t="shared" si="80"/>
        <v>38165928.970881566</v>
      </c>
      <c r="AG134" s="235">
        <f t="shared" si="106"/>
        <v>0</v>
      </c>
      <c r="AH134" s="236">
        <f t="shared" si="107"/>
        <v>0</v>
      </c>
      <c r="AI134" s="236">
        <f t="shared" si="108"/>
        <v>5330437.0071063619</v>
      </c>
      <c r="AJ134" s="236">
        <f t="shared" si="109"/>
        <v>1066087.4014212722</v>
      </c>
      <c r="AK134" s="236">
        <f t="shared" si="110"/>
        <v>0</v>
      </c>
      <c r="AL134" s="236">
        <f t="shared" si="111"/>
        <v>0</v>
      </c>
      <c r="AM134" s="242">
        <f t="shared" si="81"/>
        <v>6396524.4085276341</v>
      </c>
      <c r="AN134" s="235">
        <f t="shared" si="112"/>
        <v>52699984.662934631</v>
      </c>
      <c r="AO134" s="236">
        <f t="shared" si="113"/>
        <v>0</v>
      </c>
      <c r="AP134" s="236">
        <f t="shared" si="114"/>
        <v>26349992.331467316</v>
      </c>
      <c r="AQ134" s="236">
        <f t="shared" si="115"/>
        <v>37199989.173836231</v>
      </c>
      <c r="AR134" s="236">
        <f t="shared" si="116"/>
        <v>1549999.548909843</v>
      </c>
      <c r="AS134" s="236">
        <f t="shared" si="82"/>
        <v>0</v>
      </c>
      <c r="AT134" s="242">
        <f t="shared" si="83"/>
        <v>117799965.71714802</v>
      </c>
      <c r="AU134" s="254">
        <v>0</v>
      </c>
      <c r="AV134" s="246">
        <f t="shared" si="84"/>
        <v>162.36241909655723</v>
      </c>
      <c r="AW134" s="257">
        <f t="shared" si="77"/>
        <v>3.1977779387807019</v>
      </c>
    </row>
    <row r="135" spans="1:49">
      <c r="A135" s="193">
        <f>'Input data'!A127</f>
        <v>2027</v>
      </c>
      <c r="B135" s="208">
        <f>'Input data'!B127</f>
        <v>64.045537563425796</v>
      </c>
      <c r="C135" s="417">
        <f>'Recycling - Case 1'!E107</f>
        <v>0.80122424242424228</v>
      </c>
      <c r="D135" s="525">
        <f>'Recycling - Case 1'!F107</f>
        <v>0.31313030303030298</v>
      </c>
      <c r="E135" s="235">
        <f t="shared" si="76"/>
        <v>996837569.97516036</v>
      </c>
      <c r="F135" s="236">
        <v>0</v>
      </c>
      <c r="G135" s="237">
        <f t="shared" si="78"/>
        <v>996837569.97516036</v>
      </c>
      <c r="H135" s="118">
        <f t="shared" si="120"/>
        <v>0.12797202797202803</v>
      </c>
      <c r="I135" s="118">
        <f t="shared" si="85"/>
        <v>0</v>
      </c>
      <c r="J135" s="118">
        <f t="shared" si="121"/>
        <v>0.12797202797202803</v>
      </c>
      <c r="K135" s="118">
        <f t="shared" si="122"/>
        <v>0.35832167832167838</v>
      </c>
      <c r="L135" s="118">
        <f t="shared" si="123"/>
        <v>5.1188811188811162E-2</v>
      </c>
      <c r="M135" s="118">
        <f t="shared" si="124"/>
        <v>0.3345454545454547</v>
      </c>
      <c r="N135" s="117">
        <f t="shared" si="118"/>
        <v>0</v>
      </c>
      <c r="O135" s="118">
        <f t="shared" si="90"/>
        <v>0.7</v>
      </c>
      <c r="P135" s="118">
        <f t="shared" si="91"/>
        <v>0.15</v>
      </c>
      <c r="Q135" s="118">
        <f t="shared" si="92"/>
        <v>0.15</v>
      </c>
      <c r="R135" s="118">
        <f t="shared" si="93"/>
        <v>0</v>
      </c>
      <c r="S135" s="205">
        <f t="shared" si="94"/>
        <v>0</v>
      </c>
      <c r="T135" s="118">
        <f t="shared" si="125"/>
        <v>0.36575757575757567</v>
      </c>
      <c r="U135" s="118">
        <f t="shared" si="119"/>
        <v>0</v>
      </c>
      <c r="V135" s="118">
        <f t="shared" si="126"/>
        <v>0.18287878787878784</v>
      </c>
      <c r="W135" s="118">
        <f t="shared" si="127"/>
        <v>0.25818181818181829</v>
      </c>
      <c r="X135" s="118">
        <f t="shared" si="128"/>
        <v>5.3787878787878815E-2</v>
      </c>
      <c r="Y135" s="118">
        <f t="shared" si="129"/>
        <v>0.13939393939393929</v>
      </c>
      <c r="Z135" s="235">
        <f t="shared" si="100"/>
        <v>14925377.070446271</v>
      </c>
      <c r="AA135" s="236">
        <f t="shared" si="101"/>
        <v>0</v>
      </c>
      <c r="AB135" s="236">
        <f t="shared" si="102"/>
        <v>14925377.070446271</v>
      </c>
      <c r="AC135" s="236">
        <f t="shared" si="103"/>
        <v>8358211.1594499107</v>
      </c>
      <c r="AD135" s="236">
        <f t="shared" si="104"/>
        <v>1194030.1656357006</v>
      </c>
      <c r="AE135" s="236">
        <f t="shared" si="105"/>
        <v>0</v>
      </c>
      <c r="AF135" s="242">
        <f t="shared" si="80"/>
        <v>39402995.465978153</v>
      </c>
      <c r="AG135" s="235">
        <f t="shared" si="106"/>
        <v>0</v>
      </c>
      <c r="AH135" s="236">
        <f t="shared" si="107"/>
        <v>0</v>
      </c>
      <c r="AI135" s="236">
        <f t="shared" si="108"/>
        <v>5382922.8778658658</v>
      </c>
      <c r="AJ135" s="236">
        <f t="shared" si="109"/>
        <v>1076584.5755731731</v>
      </c>
      <c r="AK135" s="236">
        <f t="shared" si="110"/>
        <v>0</v>
      </c>
      <c r="AL135" s="236">
        <f t="shared" si="111"/>
        <v>0</v>
      </c>
      <c r="AM135" s="242">
        <f t="shared" si="81"/>
        <v>6459507.4534390392</v>
      </c>
      <c r="AN135" s="235">
        <f t="shared" si="112"/>
        <v>53596331.273673534</v>
      </c>
      <c r="AO135" s="236">
        <f t="shared" si="113"/>
        <v>0</v>
      </c>
      <c r="AP135" s="236">
        <f t="shared" si="114"/>
        <v>26798165.636836767</v>
      </c>
      <c r="AQ135" s="236">
        <f t="shared" si="115"/>
        <v>37832704.428475462</v>
      </c>
      <c r="AR135" s="236">
        <f t="shared" si="116"/>
        <v>1576362.6845198111</v>
      </c>
      <c r="AS135" s="236">
        <f t="shared" si="82"/>
        <v>0</v>
      </c>
      <c r="AT135" s="242">
        <f t="shared" si="83"/>
        <v>119803564.02350558</v>
      </c>
      <c r="AU135" s="254">
        <v>0</v>
      </c>
      <c r="AV135" s="246">
        <f t="shared" si="84"/>
        <v>165.66606694292278</v>
      </c>
      <c r="AW135" s="257">
        <f t="shared" si="77"/>
        <v>3.2292646929415123</v>
      </c>
    </row>
    <row r="136" spans="1:49">
      <c r="A136" s="193">
        <f>'Input data'!A128</f>
        <v>2028</v>
      </c>
      <c r="B136" s="208">
        <f>'Input data'!B128</f>
        <v>64.676158618096451</v>
      </c>
      <c r="C136" s="417">
        <f>'Recycling - Case 1'!E108</f>
        <v>0.80986666666666651</v>
      </c>
      <c r="D136" s="525">
        <f>'Recycling - Case 1'!F108</f>
        <v>0.31548333333333328</v>
      </c>
      <c r="E136" s="235">
        <f t="shared" si="76"/>
        <v>1006652879.2633451</v>
      </c>
      <c r="F136" s="236">
        <v>0</v>
      </c>
      <c r="G136" s="237">
        <f t="shared" si="78"/>
        <v>1006652879.2633451</v>
      </c>
      <c r="H136" s="118">
        <f t="shared" si="120"/>
        <v>0.13076923076923083</v>
      </c>
      <c r="I136" s="118">
        <f t="shared" si="85"/>
        <v>0</v>
      </c>
      <c r="J136" s="118">
        <f t="shared" si="121"/>
        <v>0.13076923076923083</v>
      </c>
      <c r="K136" s="118">
        <f t="shared" si="122"/>
        <v>0.36615384615384622</v>
      </c>
      <c r="L136" s="118">
        <f t="shared" si="123"/>
        <v>5.2307692307692277E-2</v>
      </c>
      <c r="M136" s="118">
        <f t="shared" si="124"/>
        <v>0.32000000000000017</v>
      </c>
      <c r="N136" s="117">
        <f t="shared" si="118"/>
        <v>0</v>
      </c>
      <c r="O136" s="118">
        <f t="shared" si="90"/>
        <v>0.7</v>
      </c>
      <c r="P136" s="118">
        <f t="shared" si="91"/>
        <v>0.15</v>
      </c>
      <c r="Q136" s="118">
        <f t="shared" si="92"/>
        <v>0.15</v>
      </c>
      <c r="R136" s="118">
        <f t="shared" si="93"/>
        <v>0</v>
      </c>
      <c r="S136" s="205">
        <f t="shared" si="94"/>
        <v>0</v>
      </c>
      <c r="T136" s="118">
        <f t="shared" si="125"/>
        <v>0.36833333333333323</v>
      </c>
      <c r="U136" s="118">
        <f t="shared" si="119"/>
        <v>0</v>
      </c>
      <c r="V136" s="118">
        <f t="shared" si="126"/>
        <v>0.18416666666666662</v>
      </c>
      <c r="W136" s="118">
        <f t="shared" si="127"/>
        <v>0.26000000000000012</v>
      </c>
      <c r="X136" s="118">
        <f t="shared" si="128"/>
        <v>5.4166666666666696E-2</v>
      </c>
      <c r="Y136" s="118">
        <f t="shared" si="129"/>
        <v>0.13333333333333322</v>
      </c>
      <c r="Z136" s="235">
        <f t="shared" si="100"/>
        <v>15401789.052729189</v>
      </c>
      <c r="AA136" s="236">
        <f t="shared" si="101"/>
        <v>0</v>
      </c>
      <c r="AB136" s="236">
        <f t="shared" si="102"/>
        <v>15401789.052729189</v>
      </c>
      <c r="AC136" s="236">
        <f t="shared" si="103"/>
        <v>8625001.869528342</v>
      </c>
      <c r="AD136" s="236">
        <f t="shared" si="104"/>
        <v>1232143.1242183337</v>
      </c>
      <c r="AE136" s="236">
        <f t="shared" si="105"/>
        <v>0</v>
      </c>
      <c r="AF136" s="242">
        <f t="shared" si="80"/>
        <v>40660723.099205054</v>
      </c>
      <c r="AG136" s="235">
        <f t="shared" si="106"/>
        <v>0</v>
      </c>
      <c r="AH136" s="236">
        <f t="shared" si="107"/>
        <v>0</v>
      </c>
      <c r="AI136" s="236">
        <f t="shared" si="108"/>
        <v>5435925.5480220634</v>
      </c>
      <c r="AJ136" s="236">
        <f t="shared" si="109"/>
        <v>1087185.1096044125</v>
      </c>
      <c r="AK136" s="236">
        <f t="shared" si="110"/>
        <v>0</v>
      </c>
      <c r="AL136" s="236">
        <f t="shared" si="111"/>
        <v>0</v>
      </c>
      <c r="AM136" s="242">
        <f t="shared" si="81"/>
        <v>6523110.6576264761</v>
      </c>
      <c r="AN136" s="235">
        <f t="shared" si="112"/>
        <v>54505220.14771381</v>
      </c>
      <c r="AO136" s="236">
        <f t="shared" si="113"/>
        <v>0</v>
      </c>
      <c r="AP136" s="236">
        <f t="shared" si="114"/>
        <v>27252610.073856905</v>
      </c>
      <c r="AQ136" s="236">
        <f t="shared" si="115"/>
        <v>38474273.045445062</v>
      </c>
      <c r="AR136" s="236">
        <f t="shared" si="116"/>
        <v>1603094.7102268778</v>
      </c>
      <c r="AS136" s="236">
        <f t="shared" si="82"/>
        <v>0</v>
      </c>
      <c r="AT136" s="242">
        <f t="shared" si="83"/>
        <v>121835197.97724266</v>
      </c>
      <c r="AU136" s="254">
        <v>0</v>
      </c>
      <c r="AV136" s="246">
        <f t="shared" si="84"/>
        <v>169.01903173407416</v>
      </c>
      <c r="AW136" s="257">
        <f t="shared" si="77"/>
        <v>3.2610614797895683</v>
      </c>
    </row>
    <row r="137" spans="1:49">
      <c r="A137" s="193">
        <f>'Input data'!A129</f>
        <v>2029</v>
      </c>
      <c r="B137" s="208">
        <f>'Input data'!B129</f>
        <v>65.31298905018393</v>
      </c>
      <c r="C137" s="417">
        <f>'Recycling - Case 1'!E109</f>
        <v>0.81850909090909074</v>
      </c>
      <c r="D137" s="525">
        <f>'Recycling - Case 1'!F109</f>
        <v>0.31783636363636358</v>
      </c>
      <c r="E137" s="235">
        <f t="shared" si="76"/>
        <v>1016564834.483951</v>
      </c>
      <c r="F137" s="236">
        <v>0</v>
      </c>
      <c r="G137" s="237">
        <f t="shared" si="78"/>
        <v>1016564834.483951</v>
      </c>
      <c r="H137" s="118">
        <f t="shared" si="120"/>
        <v>0.13356643356643363</v>
      </c>
      <c r="I137" s="118">
        <f t="shared" si="85"/>
        <v>0</v>
      </c>
      <c r="J137" s="118">
        <f t="shared" si="121"/>
        <v>0.13356643356643363</v>
      </c>
      <c r="K137" s="118">
        <f t="shared" si="122"/>
        <v>0.37398601398601405</v>
      </c>
      <c r="L137" s="118">
        <f t="shared" si="123"/>
        <v>5.3426573426573393E-2</v>
      </c>
      <c r="M137" s="118">
        <f t="shared" si="124"/>
        <v>0.30545454545454565</v>
      </c>
      <c r="N137" s="117">
        <f t="shared" si="118"/>
        <v>0</v>
      </c>
      <c r="O137" s="118">
        <f t="shared" si="90"/>
        <v>0.7</v>
      </c>
      <c r="P137" s="118">
        <f t="shared" si="91"/>
        <v>0.15</v>
      </c>
      <c r="Q137" s="118">
        <f t="shared" si="92"/>
        <v>0.15</v>
      </c>
      <c r="R137" s="118">
        <f t="shared" si="93"/>
        <v>0</v>
      </c>
      <c r="S137" s="205">
        <f t="shared" si="94"/>
        <v>0</v>
      </c>
      <c r="T137" s="118">
        <f t="shared" si="125"/>
        <v>0.3709090909090908</v>
      </c>
      <c r="U137" s="118">
        <f t="shared" si="119"/>
        <v>0</v>
      </c>
      <c r="V137" s="118">
        <f t="shared" si="126"/>
        <v>0.1854545454545454</v>
      </c>
      <c r="W137" s="118">
        <f t="shared" si="127"/>
        <v>0.26181818181818195</v>
      </c>
      <c r="X137" s="118">
        <f t="shared" si="128"/>
        <v>5.4545454545454577E-2</v>
      </c>
      <c r="Y137" s="118">
        <f t="shared" si="129"/>
        <v>0.12727272727272715</v>
      </c>
      <c r="Z137" s="235">
        <f t="shared" si="100"/>
        <v>15886135.913435567</v>
      </c>
      <c r="AA137" s="236">
        <f t="shared" si="101"/>
        <v>0</v>
      </c>
      <c r="AB137" s="236">
        <f t="shared" si="102"/>
        <v>15886135.913435567</v>
      </c>
      <c r="AC137" s="236">
        <f t="shared" si="103"/>
        <v>8896236.1115239151</v>
      </c>
      <c r="AD137" s="236">
        <f t="shared" si="104"/>
        <v>1270890.873074844</v>
      </c>
      <c r="AE137" s="236">
        <f t="shared" si="105"/>
        <v>0</v>
      </c>
      <c r="AF137" s="242">
        <f t="shared" si="80"/>
        <v>41939398.811469898</v>
      </c>
      <c r="AG137" s="235">
        <f t="shared" si="106"/>
        <v>0</v>
      </c>
      <c r="AH137" s="236">
        <f t="shared" si="107"/>
        <v>0</v>
      </c>
      <c r="AI137" s="236">
        <f t="shared" si="108"/>
        <v>5489450.1062133349</v>
      </c>
      <c r="AJ137" s="236">
        <f t="shared" si="109"/>
        <v>1097890.021242667</v>
      </c>
      <c r="AK137" s="236">
        <f t="shared" si="110"/>
        <v>0</v>
      </c>
      <c r="AL137" s="236">
        <f t="shared" si="111"/>
        <v>0</v>
      </c>
      <c r="AM137" s="242">
        <f t="shared" si="81"/>
        <v>6587340.1274560019</v>
      </c>
      <c r="AN137" s="235">
        <f t="shared" si="112"/>
        <v>55426811.375463113</v>
      </c>
      <c r="AO137" s="236">
        <f t="shared" si="113"/>
        <v>0</v>
      </c>
      <c r="AP137" s="236">
        <f t="shared" si="114"/>
        <v>27713405.687731557</v>
      </c>
      <c r="AQ137" s="236">
        <f t="shared" si="115"/>
        <v>39124808.029738694</v>
      </c>
      <c r="AR137" s="236">
        <f t="shared" si="116"/>
        <v>1630200.3345724458</v>
      </c>
      <c r="AS137" s="236">
        <f t="shared" si="82"/>
        <v>0</v>
      </c>
      <c r="AT137" s="242">
        <f t="shared" si="83"/>
        <v>123895225.42750581</v>
      </c>
      <c r="AU137" s="254">
        <v>0</v>
      </c>
      <c r="AV137" s="246">
        <f t="shared" si="84"/>
        <v>172.42196436643172</v>
      </c>
      <c r="AW137" s="257">
        <f t="shared" si="77"/>
        <v>3.2931713520456056</v>
      </c>
    </row>
    <row r="138" spans="1:49">
      <c r="A138" s="123">
        <f>'Input data'!A130</f>
        <v>2030</v>
      </c>
      <c r="B138" s="208">
        <f>'Input data'!B130</f>
        <v>65.956090000000003</v>
      </c>
      <c r="C138" s="417">
        <f>'Recycling - Case 1'!E110</f>
        <v>0.82715151515151497</v>
      </c>
      <c r="D138" s="525">
        <f>'Recycling - Case 1'!F110</f>
        <v>0.32018939393939388</v>
      </c>
      <c r="E138" s="235">
        <f t="shared" si="76"/>
        <v>1026574387.2561252</v>
      </c>
      <c r="F138" s="236">
        <v>0</v>
      </c>
      <c r="G138" s="237">
        <f t="shared" si="78"/>
        <v>1026574387.2561252</v>
      </c>
      <c r="H138" s="118">
        <f t="shared" si="120"/>
        <v>0.13636363636363644</v>
      </c>
      <c r="I138" s="118">
        <f t="shared" si="85"/>
        <v>0</v>
      </c>
      <c r="J138" s="118">
        <f t="shared" si="121"/>
        <v>0.13636363636363644</v>
      </c>
      <c r="K138" s="118">
        <f t="shared" si="122"/>
        <v>0.38181818181818189</v>
      </c>
      <c r="L138" s="118">
        <f t="shared" si="123"/>
        <v>5.4545454545454508E-2</v>
      </c>
      <c r="M138" s="118">
        <f t="shared" si="124"/>
        <v>0.29090909090909112</v>
      </c>
      <c r="N138" s="117">
        <f t="shared" si="118"/>
        <v>0</v>
      </c>
      <c r="O138" s="118">
        <f t="shared" si="90"/>
        <v>0.7</v>
      </c>
      <c r="P138" s="118">
        <f t="shared" si="91"/>
        <v>0.15</v>
      </c>
      <c r="Q138" s="118">
        <f t="shared" si="92"/>
        <v>0.15</v>
      </c>
      <c r="R138" s="118">
        <f t="shared" si="93"/>
        <v>0</v>
      </c>
      <c r="S138" s="205">
        <f t="shared" si="94"/>
        <v>0</v>
      </c>
      <c r="T138" s="118">
        <f t="shared" si="125"/>
        <v>0.37348484848484836</v>
      </c>
      <c r="U138" s="118">
        <f t="shared" si="119"/>
        <v>0</v>
      </c>
      <c r="V138" s="118">
        <f t="shared" si="126"/>
        <v>0.18674242424242418</v>
      </c>
      <c r="W138" s="118">
        <f t="shared" si="127"/>
        <v>0.26363636363636378</v>
      </c>
      <c r="X138" s="118">
        <f t="shared" si="128"/>
        <v>5.4924242424242459E-2</v>
      </c>
      <c r="Y138" s="118">
        <f t="shared" si="129"/>
        <v>0.12121212121212109</v>
      </c>
      <c r="Z138" s="235">
        <f t="shared" si="100"/>
        <v>16378527.723950006</v>
      </c>
      <c r="AA138" s="236">
        <f t="shared" si="101"/>
        <v>0</v>
      </c>
      <c r="AB138" s="236">
        <f t="shared" si="102"/>
        <v>16378527.723950006</v>
      </c>
      <c r="AC138" s="236">
        <f t="shared" si="103"/>
        <v>9171975.5254120007</v>
      </c>
      <c r="AD138" s="236">
        <f t="shared" si="104"/>
        <v>1310282.2179159988</v>
      </c>
      <c r="AE138" s="236">
        <f t="shared" si="105"/>
        <v>0</v>
      </c>
      <c r="AF138" s="242">
        <f t="shared" si="80"/>
        <v>43239313.19122801</v>
      </c>
      <c r="AG138" s="235">
        <f t="shared" si="106"/>
        <v>0</v>
      </c>
      <c r="AH138" s="236">
        <f t="shared" si="107"/>
        <v>0</v>
      </c>
      <c r="AI138" s="236">
        <f t="shared" si="108"/>
        <v>5543501.6911830753</v>
      </c>
      <c r="AJ138" s="236">
        <f t="shared" si="109"/>
        <v>1108700.3382366151</v>
      </c>
      <c r="AK138" s="236">
        <f t="shared" si="110"/>
        <v>0</v>
      </c>
      <c r="AL138" s="236">
        <f t="shared" si="111"/>
        <v>0</v>
      </c>
      <c r="AM138" s="242">
        <f t="shared" si="81"/>
        <v>6652202.0294196904</v>
      </c>
      <c r="AN138" s="235">
        <f t="shared" si="112"/>
        <v>56361266.983968653</v>
      </c>
      <c r="AO138" s="236">
        <f t="shared" si="113"/>
        <v>0</v>
      </c>
      <c r="AP138" s="236">
        <f t="shared" si="114"/>
        <v>28180633.491984326</v>
      </c>
      <c r="AQ138" s="236">
        <f t="shared" si="115"/>
        <v>39784423.753389671</v>
      </c>
      <c r="AR138" s="236">
        <f t="shared" si="116"/>
        <v>1657684.3230579032</v>
      </c>
      <c r="AS138" s="236">
        <f t="shared" si="82"/>
        <v>0</v>
      </c>
      <c r="AT138" s="242">
        <f t="shared" si="83"/>
        <v>125984008.55240056</v>
      </c>
      <c r="AU138" s="254">
        <v>0</v>
      </c>
      <c r="AV138" s="246">
        <f t="shared" si="84"/>
        <v>175.87552377304826</v>
      </c>
      <c r="AW138" s="257">
        <f t="shared" si="77"/>
        <v>3.3255973924888065</v>
      </c>
    </row>
    <row r="139" spans="1:49">
      <c r="A139" s="193">
        <f>'Input data'!A131</f>
        <v>2031</v>
      </c>
      <c r="B139" s="208">
        <f>'Input data'!B131</f>
        <v>66.518977190687664</v>
      </c>
      <c r="C139" s="417">
        <f>'Recycling - Case 1'!E111</f>
        <v>0.8357939393939392</v>
      </c>
      <c r="D139" s="525">
        <f>'Recycling - Case 1'!F111</f>
        <v>0.32254242424242419</v>
      </c>
      <c r="E139" s="235">
        <f t="shared" si="76"/>
        <v>1035335451.9716731</v>
      </c>
      <c r="F139" s="236">
        <v>0</v>
      </c>
      <c r="G139" s="237">
        <f t="shared" si="78"/>
        <v>1035335451.9716731</v>
      </c>
      <c r="H139" s="118">
        <f t="shared" si="120"/>
        <v>0.13916083916083924</v>
      </c>
      <c r="I139" s="118">
        <f t="shared" si="85"/>
        <v>0</v>
      </c>
      <c r="J139" s="118">
        <f t="shared" si="121"/>
        <v>0.13916083916083924</v>
      </c>
      <c r="K139" s="118">
        <f t="shared" si="122"/>
        <v>0.38965034965034973</v>
      </c>
      <c r="L139" s="118">
        <f t="shared" si="123"/>
        <v>5.5664335664335624E-2</v>
      </c>
      <c r="M139" s="118">
        <f t="shared" si="124"/>
        <v>0.27636363636363659</v>
      </c>
      <c r="N139" s="117">
        <f t="shared" si="118"/>
        <v>0</v>
      </c>
      <c r="O139" s="118">
        <f t="shared" si="90"/>
        <v>0.7</v>
      </c>
      <c r="P139" s="118">
        <f t="shared" si="91"/>
        <v>0.15</v>
      </c>
      <c r="Q139" s="118">
        <f t="shared" si="92"/>
        <v>0.15</v>
      </c>
      <c r="R139" s="118">
        <f t="shared" si="93"/>
        <v>0</v>
      </c>
      <c r="S139" s="205">
        <f t="shared" si="94"/>
        <v>0</v>
      </c>
      <c r="T139" s="118">
        <f t="shared" si="125"/>
        <v>0.37606060606060593</v>
      </c>
      <c r="U139" s="118">
        <f t="shared" si="119"/>
        <v>0</v>
      </c>
      <c r="V139" s="118">
        <f t="shared" si="126"/>
        <v>0.18803030303030296</v>
      </c>
      <c r="W139" s="118">
        <f t="shared" si="127"/>
        <v>0.26545454545454561</v>
      </c>
      <c r="X139" s="118">
        <f t="shared" si="128"/>
        <v>5.530303030303034E-2</v>
      </c>
      <c r="Y139" s="118">
        <f t="shared" si="129"/>
        <v>0.11515151515151503</v>
      </c>
      <c r="Z139" s="235">
        <f t="shared" si="100"/>
        <v>16857143.586193342</v>
      </c>
      <c r="AA139" s="236">
        <f t="shared" si="101"/>
        <v>0</v>
      </c>
      <c r="AB139" s="236">
        <f t="shared" si="102"/>
        <v>16857143.586193342</v>
      </c>
      <c r="AC139" s="236">
        <f t="shared" si="103"/>
        <v>9440000.4082682692</v>
      </c>
      <c r="AD139" s="236">
        <f t="shared" si="104"/>
        <v>1348571.4868954658</v>
      </c>
      <c r="AE139" s="236">
        <f t="shared" si="105"/>
        <v>0</v>
      </c>
      <c r="AF139" s="242">
        <f t="shared" si="80"/>
        <v>44502859.067550413</v>
      </c>
      <c r="AG139" s="235">
        <f t="shared" si="106"/>
        <v>0</v>
      </c>
      <c r="AH139" s="236">
        <f t="shared" si="107"/>
        <v>0</v>
      </c>
      <c r="AI139" s="236">
        <f t="shared" si="108"/>
        <v>5590811.4406470349</v>
      </c>
      <c r="AJ139" s="236">
        <f t="shared" si="109"/>
        <v>1118162.288129407</v>
      </c>
      <c r="AK139" s="236">
        <f t="shared" si="110"/>
        <v>0</v>
      </c>
      <c r="AL139" s="236">
        <f t="shared" si="111"/>
        <v>0</v>
      </c>
      <c r="AM139" s="242">
        <f t="shared" si="81"/>
        <v>6708973.7287764419</v>
      </c>
      <c r="AN139" s="235">
        <f t="shared" si="112"/>
        <v>57234284.999041311</v>
      </c>
      <c r="AO139" s="236">
        <f t="shared" si="113"/>
        <v>0</v>
      </c>
      <c r="AP139" s="236">
        <f t="shared" si="114"/>
        <v>28617142.499520656</v>
      </c>
      <c r="AQ139" s="236">
        <f t="shared" si="115"/>
        <v>40400671.764029205</v>
      </c>
      <c r="AR139" s="236">
        <f t="shared" si="116"/>
        <v>1683361.3235012169</v>
      </c>
      <c r="AS139" s="236">
        <f t="shared" si="82"/>
        <v>0</v>
      </c>
      <c r="AT139" s="242">
        <f t="shared" si="83"/>
        <v>127935460.58609238</v>
      </c>
      <c r="AU139" s="254">
        <v>0</v>
      </c>
      <c r="AV139" s="246">
        <f t="shared" si="84"/>
        <v>179.14729338241924</v>
      </c>
      <c r="AW139" s="257">
        <f t="shared" si="77"/>
        <v>3.3539789441183268</v>
      </c>
    </row>
    <row r="140" spans="1:49">
      <c r="A140" s="193">
        <f>'Input data'!A132</f>
        <v>2032</v>
      </c>
      <c r="B140" s="208">
        <f>'Input data'!B132</f>
        <v>67.08666821358311</v>
      </c>
      <c r="C140" s="417">
        <f>'Recycling - Case 1'!E112</f>
        <v>0.84443636363636343</v>
      </c>
      <c r="D140" s="525">
        <f>'Recycling - Case 1'!F112</f>
        <v>0.32489545454545449</v>
      </c>
      <c r="E140" s="235">
        <f t="shared" ref="E140:E157" si="130">B140*$C$4*($C$7*$C$11+$C$8*$C$10+$C$7*$C$12)*10^6</f>
        <v>1044171285.9936672</v>
      </c>
      <c r="F140" s="236">
        <v>0</v>
      </c>
      <c r="G140" s="237">
        <f t="shared" si="78"/>
        <v>1044171285.9936672</v>
      </c>
      <c r="H140" s="118">
        <f t="shared" si="120"/>
        <v>0.14195804195804204</v>
      </c>
      <c r="I140" s="118">
        <f t="shared" si="85"/>
        <v>0</v>
      </c>
      <c r="J140" s="118">
        <f t="shared" si="121"/>
        <v>0.14195804195804204</v>
      </c>
      <c r="K140" s="118">
        <f t="shared" si="122"/>
        <v>0.39748251748251756</v>
      </c>
      <c r="L140" s="118">
        <f t="shared" si="123"/>
        <v>5.6783216783216739E-2</v>
      </c>
      <c r="M140" s="118">
        <f t="shared" si="124"/>
        <v>0.26181818181818206</v>
      </c>
      <c r="N140" s="117">
        <f t="shared" si="118"/>
        <v>0</v>
      </c>
      <c r="O140" s="118">
        <f t="shared" si="90"/>
        <v>0.7</v>
      </c>
      <c r="P140" s="118">
        <f t="shared" si="91"/>
        <v>0.15</v>
      </c>
      <c r="Q140" s="118">
        <f t="shared" si="92"/>
        <v>0.15</v>
      </c>
      <c r="R140" s="118">
        <f t="shared" si="93"/>
        <v>0</v>
      </c>
      <c r="S140" s="205">
        <f t="shared" si="94"/>
        <v>0</v>
      </c>
      <c r="T140" s="118">
        <f t="shared" si="125"/>
        <v>0.37863636363636349</v>
      </c>
      <c r="U140" s="118">
        <f t="shared" si="119"/>
        <v>0</v>
      </c>
      <c r="V140" s="118">
        <f t="shared" si="126"/>
        <v>0.18931818181818175</v>
      </c>
      <c r="W140" s="118">
        <f t="shared" si="127"/>
        <v>0.26727272727272744</v>
      </c>
      <c r="X140" s="118">
        <f t="shared" si="128"/>
        <v>5.5681818181818221E-2</v>
      </c>
      <c r="Y140" s="118">
        <f t="shared" si="129"/>
        <v>0.10909090909090897</v>
      </c>
      <c r="Z140" s="235">
        <f t="shared" si="100"/>
        <v>17342735.813731194</v>
      </c>
      <c r="AA140" s="236">
        <f t="shared" si="101"/>
        <v>0</v>
      </c>
      <c r="AB140" s="236">
        <f t="shared" si="102"/>
        <v>17342735.813731194</v>
      </c>
      <c r="AC140" s="236">
        <f t="shared" si="103"/>
        <v>9711932.0556894634</v>
      </c>
      <c r="AD140" s="236">
        <f t="shared" si="104"/>
        <v>1387418.8650984936</v>
      </c>
      <c r="AE140" s="236">
        <f t="shared" si="105"/>
        <v>0</v>
      </c>
      <c r="AF140" s="242">
        <f t="shared" si="80"/>
        <v>45784822.54825034</v>
      </c>
      <c r="AG140" s="235">
        <f t="shared" si="106"/>
        <v>0</v>
      </c>
      <c r="AH140" s="236">
        <f t="shared" si="107"/>
        <v>0</v>
      </c>
      <c r="AI140" s="236">
        <f t="shared" si="108"/>
        <v>5638524.9443658032</v>
      </c>
      <c r="AJ140" s="236">
        <f t="shared" si="109"/>
        <v>1127704.9888731604</v>
      </c>
      <c r="AK140" s="236">
        <f t="shared" si="110"/>
        <v>0</v>
      </c>
      <c r="AL140" s="236">
        <f t="shared" si="111"/>
        <v>0</v>
      </c>
      <c r="AM140" s="242">
        <f t="shared" si="81"/>
        <v>6766229.9332389636</v>
      </c>
      <c r="AN140" s="235">
        <f t="shared" si="112"/>
        <v>58118099.155095682</v>
      </c>
      <c r="AO140" s="236">
        <f t="shared" si="113"/>
        <v>0</v>
      </c>
      <c r="AP140" s="236">
        <f t="shared" si="114"/>
        <v>29059049.577547841</v>
      </c>
      <c r="AQ140" s="236">
        <f t="shared" si="115"/>
        <v>41024540.580067575</v>
      </c>
      <c r="AR140" s="236">
        <f t="shared" si="116"/>
        <v>1709355.8575028158</v>
      </c>
      <c r="AS140" s="236">
        <f t="shared" si="82"/>
        <v>0</v>
      </c>
      <c r="AT140" s="242">
        <f t="shared" si="83"/>
        <v>129911045.17021391</v>
      </c>
      <c r="AU140" s="254">
        <v>0</v>
      </c>
      <c r="AV140" s="246">
        <f t="shared" si="84"/>
        <v>182.4620976517032</v>
      </c>
      <c r="AW140" s="257">
        <f t="shared" ref="AW140:AW158" si="131">((B140*$C$46*$C$47*$C$48*$C$49)-$C$50)*$C$51*$C$52</f>
        <v>3.3826027116200144</v>
      </c>
    </row>
    <row r="141" spans="1:49">
      <c r="A141" s="193">
        <f>'Input data'!A133</f>
        <v>2033</v>
      </c>
      <c r="B141" s="208">
        <f>'Input data'!B133</f>
        <v>67.659204065895452</v>
      </c>
      <c r="C141" s="417">
        <f>'Recycling - Case 1'!E113</f>
        <v>0.85307878787878766</v>
      </c>
      <c r="D141" s="525">
        <f>'Recycling - Case 1'!F113</f>
        <v>0.32724848484848479</v>
      </c>
      <c r="E141" s="235">
        <f t="shared" si="130"/>
        <v>1053082527.4236807</v>
      </c>
      <c r="F141" s="236">
        <v>0</v>
      </c>
      <c r="G141" s="237">
        <f t="shared" si="78"/>
        <v>1053082527.4236807</v>
      </c>
      <c r="H141" s="118">
        <f t="shared" si="120"/>
        <v>0.14475524475524484</v>
      </c>
      <c r="I141" s="118">
        <f t="shared" si="85"/>
        <v>0</v>
      </c>
      <c r="J141" s="118">
        <f t="shared" si="121"/>
        <v>0.14475524475524484</v>
      </c>
      <c r="K141" s="118">
        <f t="shared" si="122"/>
        <v>0.4053146853146854</v>
      </c>
      <c r="L141" s="118">
        <f t="shared" si="123"/>
        <v>5.7902097902097854E-2</v>
      </c>
      <c r="M141" s="118">
        <f t="shared" si="124"/>
        <v>0.2472727272727275</v>
      </c>
      <c r="N141" s="117">
        <f t="shared" si="118"/>
        <v>0</v>
      </c>
      <c r="O141" s="118">
        <f t="shared" si="90"/>
        <v>0.7</v>
      </c>
      <c r="P141" s="118">
        <f t="shared" si="91"/>
        <v>0.15</v>
      </c>
      <c r="Q141" s="118">
        <f t="shared" si="92"/>
        <v>0.15</v>
      </c>
      <c r="R141" s="118">
        <f t="shared" si="93"/>
        <v>0</v>
      </c>
      <c r="S141" s="205">
        <f t="shared" si="94"/>
        <v>0</v>
      </c>
      <c r="T141" s="118">
        <f t="shared" si="125"/>
        <v>0.38121212121212106</v>
      </c>
      <c r="U141" s="118">
        <f t="shared" si="119"/>
        <v>0</v>
      </c>
      <c r="V141" s="118">
        <f t="shared" si="126"/>
        <v>0.19060606060606053</v>
      </c>
      <c r="W141" s="118">
        <f t="shared" si="127"/>
        <v>0.26909090909090927</v>
      </c>
      <c r="X141" s="118">
        <f t="shared" si="128"/>
        <v>5.6060606060606102E-2</v>
      </c>
      <c r="Y141" s="118">
        <f t="shared" si="129"/>
        <v>0.10303030303030292</v>
      </c>
      <c r="Z141" s="235">
        <f t="shared" si="100"/>
        <v>17835388.623548348</v>
      </c>
      <c r="AA141" s="236">
        <f t="shared" si="101"/>
        <v>0</v>
      </c>
      <c r="AB141" s="236">
        <f t="shared" si="102"/>
        <v>17835388.623548348</v>
      </c>
      <c r="AC141" s="236">
        <f t="shared" si="103"/>
        <v>9987817.6291870717</v>
      </c>
      <c r="AD141" s="236">
        <f t="shared" si="104"/>
        <v>1426831.0898838658</v>
      </c>
      <c r="AE141" s="236">
        <f t="shared" si="105"/>
        <v>0</v>
      </c>
      <c r="AF141" s="242">
        <f t="shared" si="80"/>
        <v>47085425.966167629</v>
      </c>
      <c r="AG141" s="235">
        <f t="shared" si="106"/>
        <v>0</v>
      </c>
      <c r="AH141" s="236">
        <f t="shared" si="107"/>
        <v>0</v>
      </c>
      <c r="AI141" s="236">
        <f t="shared" si="108"/>
        <v>5686645.648087875</v>
      </c>
      <c r="AJ141" s="236">
        <f t="shared" si="109"/>
        <v>1137329.1296175751</v>
      </c>
      <c r="AK141" s="236">
        <f t="shared" si="110"/>
        <v>0</v>
      </c>
      <c r="AL141" s="236">
        <f t="shared" si="111"/>
        <v>0</v>
      </c>
      <c r="AM141" s="242">
        <f t="shared" si="81"/>
        <v>6823974.7777054496</v>
      </c>
      <c r="AN141" s="235">
        <f t="shared" si="112"/>
        <v>59012830.141318627</v>
      </c>
      <c r="AO141" s="236">
        <f t="shared" si="113"/>
        <v>0</v>
      </c>
      <c r="AP141" s="236">
        <f t="shared" si="114"/>
        <v>29506415.070659313</v>
      </c>
      <c r="AQ141" s="236">
        <f t="shared" si="115"/>
        <v>41656115.393872015</v>
      </c>
      <c r="AR141" s="236">
        <f t="shared" si="116"/>
        <v>1735671.4747446675</v>
      </c>
      <c r="AS141" s="236">
        <f t="shared" si="82"/>
        <v>0</v>
      </c>
      <c r="AT141" s="242">
        <f t="shared" si="83"/>
        <v>131911032.08059461</v>
      </c>
      <c r="AU141" s="254">
        <v>0</v>
      </c>
      <c r="AV141" s="246">
        <f t="shared" si="84"/>
        <v>185.8204328244677</v>
      </c>
      <c r="AW141" s="257">
        <f t="shared" si="131"/>
        <v>3.4114707621299263</v>
      </c>
    </row>
    <row r="142" spans="1:49">
      <c r="A142" s="193">
        <f>'Input data'!A134</f>
        <v>2034</v>
      </c>
      <c r="B142" s="208">
        <f>'Input data'!B134</f>
        <v>68.236626094715163</v>
      </c>
      <c r="C142" s="417">
        <f>'Recycling - Case 1'!E114</f>
        <v>0.86172121212121189</v>
      </c>
      <c r="D142" s="525">
        <f>'Recycling - Case 1'!F114</f>
        <v>0.32960151515151509</v>
      </c>
      <c r="E142" s="235">
        <f t="shared" si="130"/>
        <v>1062069819.8090204</v>
      </c>
      <c r="F142" s="236">
        <v>0</v>
      </c>
      <c r="G142" s="237">
        <f t="shared" si="78"/>
        <v>1062069819.8090204</v>
      </c>
      <c r="H142" s="118">
        <f t="shared" si="120"/>
        <v>0.14755244755244765</v>
      </c>
      <c r="I142" s="118">
        <f t="shared" si="85"/>
        <v>0</v>
      </c>
      <c r="J142" s="118">
        <f t="shared" si="121"/>
        <v>0.14755244755244765</v>
      </c>
      <c r="K142" s="118">
        <f t="shared" si="122"/>
        <v>0.41314685314685323</v>
      </c>
      <c r="L142" s="118">
        <f t="shared" si="123"/>
        <v>5.902097902097897E-2</v>
      </c>
      <c r="M142" s="118">
        <f t="shared" si="124"/>
        <v>0.23272727272727295</v>
      </c>
      <c r="N142" s="117">
        <f t="shared" si="118"/>
        <v>0</v>
      </c>
      <c r="O142" s="118">
        <f t="shared" si="90"/>
        <v>0.7</v>
      </c>
      <c r="P142" s="118">
        <f t="shared" si="91"/>
        <v>0.15</v>
      </c>
      <c r="Q142" s="118">
        <f t="shared" si="92"/>
        <v>0.15</v>
      </c>
      <c r="R142" s="118">
        <f t="shared" si="93"/>
        <v>0</v>
      </c>
      <c r="S142" s="205">
        <f t="shared" si="94"/>
        <v>0</v>
      </c>
      <c r="T142" s="118">
        <f t="shared" si="125"/>
        <v>0.38378787878787862</v>
      </c>
      <c r="U142" s="118">
        <f t="shared" si="119"/>
        <v>0</v>
      </c>
      <c r="V142" s="118">
        <f t="shared" si="126"/>
        <v>0.19189393939393931</v>
      </c>
      <c r="W142" s="118">
        <f t="shared" si="127"/>
        <v>0.2709090909090911</v>
      </c>
      <c r="X142" s="118">
        <f t="shared" si="128"/>
        <v>5.6439393939393984E-2</v>
      </c>
      <c r="Y142" s="118">
        <f t="shared" si="129"/>
        <v>9.6969696969696859E-2</v>
      </c>
      <c r="Z142" s="235">
        <f t="shared" si="100"/>
        <v>18335187.161975738</v>
      </c>
      <c r="AA142" s="236">
        <f t="shared" si="101"/>
        <v>0</v>
      </c>
      <c r="AB142" s="236">
        <f t="shared" si="102"/>
        <v>18335187.161975738</v>
      </c>
      <c r="AC142" s="236">
        <f t="shared" si="103"/>
        <v>10267704.810706407</v>
      </c>
      <c r="AD142" s="236">
        <f t="shared" si="104"/>
        <v>1466814.9729580567</v>
      </c>
      <c r="AE142" s="236">
        <f t="shared" si="105"/>
        <v>0</v>
      </c>
      <c r="AF142" s="242">
        <f t="shared" si="80"/>
        <v>48404894.10761594</v>
      </c>
      <c r="AG142" s="235">
        <f t="shared" si="106"/>
        <v>0</v>
      </c>
      <c r="AH142" s="236">
        <f t="shared" si="107"/>
        <v>0</v>
      </c>
      <c r="AI142" s="236">
        <f t="shared" si="108"/>
        <v>5735177.0269687101</v>
      </c>
      <c r="AJ142" s="236">
        <f t="shared" si="109"/>
        <v>1147035.405393742</v>
      </c>
      <c r="AK142" s="236">
        <f t="shared" si="110"/>
        <v>0</v>
      </c>
      <c r="AL142" s="236">
        <f t="shared" si="111"/>
        <v>0</v>
      </c>
      <c r="AM142" s="242">
        <f t="shared" si="81"/>
        <v>6882212.4323624521</v>
      </c>
      <c r="AN142" s="235">
        <f t="shared" si="112"/>
        <v>59918599.920561872</v>
      </c>
      <c r="AO142" s="236">
        <f t="shared" si="113"/>
        <v>0</v>
      </c>
      <c r="AP142" s="236">
        <f t="shared" si="114"/>
        <v>29959299.960280936</v>
      </c>
      <c r="AQ142" s="236">
        <f t="shared" si="115"/>
        <v>42295482.296867251</v>
      </c>
      <c r="AR142" s="236">
        <f t="shared" si="116"/>
        <v>1762311.7623694688</v>
      </c>
      <c r="AS142" s="236">
        <f t="shared" si="82"/>
        <v>0</v>
      </c>
      <c r="AT142" s="242">
        <f t="shared" si="83"/>
        <v>133935693.94007953</v>
      </c>
      <c r="AU142" s="254">
        <v>0</v>
      </c>
      <c r="AV142" s="246">
        <f t="shared" si="84"/>
        <v>189.22280048005791</v>
      </c>
      <c r="AW142" s="257">
        <f t="shared" si="131"/>
        <v>3.4405851804256198</v>
      </c>
    </row>
    <row r="143" spans="1:49">
      <c r="A143" s="193">
        <f>'Input data'!A135</f>
        <v>2035</v>
      </c>
      <c r="B143" s="208">
        <f>'Input data'!B135</f>
        <v>68.818976000000006</v>
      </c>
      <c r="C143" s="417">
        <f>'Recycling - Case 1'!E115</f>
        <v>0.87036363636363612</v>
      </c>
      <c r="D143" s="525">
        <f>'Recycling - Case 1'!F115</f>
        <v>0.33195454545454539</v>
      </c>
      <c r="E143" s="235">
        <f t="shared" si="130"/>
        <v>1071133812.1892002</v>
      </c>
      <c r="F143" s="236">
        <v>0</v>
      </c>
      <c r="G143" s="237">
        <f t="shared" si="78"/>
        <v>1071133812.1892002</v>
      </c>
      <c r="H143" s="118">
        <f t="shared" si="120"/>
        <v>0.15034965034965045</v>
      </c>
      <c r="I143" s="118">
        <f t="shared" si="85"/>
        <v>0</v>
      </c>
      <c r="J143" s="118">
        <f t="shared" si="121"/>
        <v>0.15034965034965045</v>
      </c>
      <c r="K143" s="118">
        <f t="shared" si="122"/>
        <v>0.42097902097902107</v>
      </c>
      <c r="L143" s="118">
        <f t="shared" si="123"/>
        <v>6.0139860139860085E-2</v>
      </c>
      <c r="M143" s="118">
        <f t="shared" si="124"/>
        <v>0.21818181818181839</v>
      </c>
      <c r="N143" s="117">
        <f t="shared" si="118"/>
        <v>0</v>
      </c>
      <c r="O143" s="118">
        <f t="shared" si="90"/>
        <v>0.7</v>
      </c>
      <c r="P143" s="118">
        <f t="shared" si="91"/>
        <v>0.15</v>
      </c>
      <c r="Q143" s="118">
        <f t="shared" si="92"/>
        <v>0.15</v>
      </c>
      <c r="R143" s="118">
        <f t="shared" si="93"/>
        <v>0</v>
      </c>
      <c r="S143" s="205">
        <f t="shared" si="94"/>
        <v>0</v>
      </c>
      <c r="T143" s="118">
        <f t="shared" si="125"/>
        <v>0.38636363636363619</v>
      </c>
      <c r="U143" s="118">
        <f t="shared" si="119"/>
        <v>0</v>
      </c>
      <c r="V143" s="118">
        <f t="shared" si="126"/>
        <v>0.19318181818181809</v>
      </c>
      <c r="W143" s="118">
        <f t="shared" si="127"/>
        <v>0.27272727272727293</v>
      </c>
      <c r="X143" s="118">
        <f t="shared" si="128"/>
        <v>5.6818181818181865E-2</v>
      </c>
      <c r="Y143" s="118">
        <f t="shared" si="129"/>
        <v>9.0909090909090801E-2</v>
      </c>
      <c r="Z143" s="235">
        <f t="shared" si="100"/>
        <v>18842217.514419127</v>
      </c>
      <c r="AA143" s="236">
        <f t="shared" si="101"/>
        <v>0</v>
      </c>
      <c r="AB143" s="236">
        <f t="shared" si="102"/>
        <v>18842217.514419127</v>
      </c>
      <c r="AC143" s="236">
        <f t="shared" si="103"/>
        <v>10551641.808074705</v>
      </c>
      <c r="AD143" s="236">
        <f t="shared" si="104"/>
        <v>1507377.4011535277</v>
      </c>
      <c r="AE143" s="236">
        <f t="shared" si="105"/>
        <v>0</v>
      </c>
      <c r="AF143" s="242">
        <f t="shared" si="80"/>
        <v>49743454.238066487</v>
      </c>
      <c r="AG143" s="235">
        <f t="shared" si="106"/>
        <v>0</v>
      </c>
      <c r="AH143" s="236">
        <f t="shared" si="107"/>
        <v>0</v>
      </c>
      <c r="AI143" s="236">
        <f t="shared" si="108"/>
        <v>5784122.5858216807</v>
      </c>
      <c r="AJ143" s="236">
        <f t="shared" si="109"/>
        <v>1156824.5171643361</v>
      </c>
      <c r="AK143" s="236">
        <f t="shared" si="110"/>
        <v>0</v>
      </c>
      <c r="AL143" s="236">
        <f t="shared" si="111"/>
        <v>0</v>
      </c>
      <c r="AM143" s="242">
        <f t="shared" si="81"/>
        <v>6940947.1029860172</v>
      </c>
      <c r="AN143" s="235">
        <f t="shared" si="112"/>
        <v>60835531.74229113</v>
      </c>
      <c r="AO143" s="236">
        <f t="shared" si="113"/>
        <v>0</v>
      </c>
      <c r="AP143" s="236">
        <f t="shared" si="114"/>
        <v>30417765.871145565</v>
      </c>
      <c r="AQ143" s="236">
        <f t="shared" si="115"/>
        <v>42942728.288676143</v>
      </c>
      <c r="AR143" s="236">
        <f t="shared" si="116"/>
        <v>1789280.3453615063</v>
      </c>
      <c r="AS143" s="236">
        <f t="shared" si="82"/>
        <v>0</v>
      </c>
      <c r="AT143" s="242">
        <f t="shared" si="83"/>
        <v>135985306.24747434</v>
      </c>
      <c r="AU143" s="254">
        <v>0</v>
      </c>
      <c r="AV143" s="246">
        <f t="shared" si="84"/>
        <v>192.66970758852685</v>
      </c>
      <c r="AW143" s="257">
        <f t="shared" si="131"/>
        <v>3.4699480690767106</v>
      </c>
    </row>
    <row r="144" spans="1:49">
      <c r="A144" s="193">
        <f>'Input data'!A136</f>
        <v>2036</v>
      </c>
      <c r="B144" s="208">
        <f>'Input data'!B136</f>
        <v>69.322810489383542</v>
      </c>
      <c r="C144" s="417">
        <f>'Recycling - Case 1'!E116</f>
        <v>0.87900606060606035</v>
      </c>
      <c r="D144" s="525">
        <f>'Recycling - Case 1'!F116</f>
        <v>0.33430757575757569</v>
      </c>
      <c r="E144" s="235">
        <f t="shared" si="130"/>
        <v>1078975750.3971415</v>
      </c>
      <c r="F144" s="236">
        <v>0</v>
      </c>
      <c r="G144" s="237">
        <f t="shared" si="78"/>
        <v>1078975750.3971415</v>
      </c>
      <c r="H144" s="118">
        <f t="shared" si="120"/>
        <v>0.15314685314685325</v>
      </c>
      <c r="I144" s="118">
        <f t="shared" si="85"/>
        <v>0</v>
      </c>
      <c r="J144" s="118">
        <f t="shared" si="121"/>
        <v>0.15314685314685325</v>
      </c>
      <c r="K144" s="118">
        <f t="shared" si="122"/>
        <v>0.4288111888111889</v>
      </c>
      <c r="L144" s="118">
        <f t="shared" si="123"/>
        <v>6.1258741258741201E-2</v>
      </c>
      <c r="M144" s="118">
        <f t="shared" si="124"/>
        <v>0.20363636363636384</v>
      </c>
      <c r="N144" s="117">
        <f t="shared" si="118"/>
        <v>0</v>
      </c>
      <c r="O144" s="118">
        <f t="shared" si="90"/>
        <v>0.7</v>
      </c>
      <c r="P144" s="118">
        <f t="shared" si="91"/>
        <v>0.15</v>
      </c>
      <c r="Q144" s="118">
        <f t="shared" si="92"/>
        <v>0.15</v>
      </c>
      <c r="R144" s="118">
        <f t="shared" si="93"/>
        <v>0</v>
      </c>
      <c r="S144" s="205">
        <f t="shared" si="94"/>
        <v>0</v>
      </c>
      <c r="T144" s="118">
        <f t="shared" si="125"/>
        <v>0.38893939393939375</v>
      </c>
      <c r="U144" s="118">
        <f t="shared" si="119"/>
        <v>0</v>
      </c>
      <c r="V144" s="118">
        <f t="shared" si="126"/>
        <v>0.19446969696969688</v>
      </c>
      <c r="W144" s="118">
        <f t="shared" si="127"/>
        <v>0.27454545454545476</v>
      </c>
      <c r="X144" s="118">
        <f t="shared" si="128"/>
        <v>5.7196969696969746E-2</v>
      </c>
      <c r="Y144" s="118">
        <f t="shared" si="129"/>
        <v>8.4848484848484743E-2</v>
      </c>
      <c r="Z144" s="235">
        <f t="shared" si="100"/>
        <v>19333283.673025157</v>
      </c>
      <c r="AA144" s="236">
        <f t="shared" si="101"/>
        <v>0</v>
      </c>
      <c r="AB144" s="236">
        <f t="shared" si="102"/>
        <v>19333283.673025157</v>
      </c>
      <c r="AC144" s="236">
        <f t="shared" si="103"/>
        <v>10826638.856894083</v>
      </c>
      <c r="AD144" s="236">
        <f t="shared" si="104"/>
        <v>1546662.6938420099</v>
      </c>
      <c r="AE144" s="236">
        <f t="shared" si="105"/>
        <v>0</v>
      </c>
      <c r="AF144" s="242">
        <f t="shared" si="80"/>
        <v>51039868.896786407</v>
      </c>
      <c r="AG144" s="235">
        <f t="shared" si="106"/>
        <v>0</v>
      </c>
      <c r="AH144" s="236">
        <f t="shared" si="107"/>
        <v>0</v>
      </c>
      <c r="AI144" s="236">
        <f t="shared" si="108"/>
        <v>5826469.0521445638</v>
      </c>
      <c r="AJ144" s="236">
        <f t="shared" si="109"/>
        <v>1165293.8104289128</v>
      </c>
      <c r="AK144" s="236">
        <f t="shared" si="110"/>
        <v>0</v>
      </c>
      <c r="AL144" s="236">
        <f t="shared" si="111"/>
        <v>0</v>
      </c>
      <c r="AM144" s="242">
        <f t="shared" si="81"/>
        <v>6991762.8625734765</v>
      </c>
      <c r="AN144" s="235">
        <f t="shared" si="112"/>
        <v>61689457.641910717</v>
      </c>
      <c r="AO144" s="236">
        <f t="shared" si="113"/>
        <v>0</v>
      </c>
      <c r="AP144" s="236">
        <f t="shared" si="114"/>
        <v>30844728.820955358</v>
      </c>
      <c r="AQ144" s="236">
        <f t="shared" si="115"/>
        <v>43545499.51193703</v>
      </c>
      <c r="AR144" s="236">
        <f t="shared" si="116"/>
        <v>1814395.8129973763</v>
      </c>
      <c r="AS144" s="236">
        <f t="shared" si="82"/>
        <v>0</v>
      </c>
      <c r="AT144" s="242">
        <f t="shared" si="83"/>
        <v>137894081.78780046</v>
      </c>
      <c r="AU144" s="254">
        <v>0</v>
      </c>
      <c r="AV144" s="246">
        <f t="shared" si="84"/>
        <v>195.92571354716031</v>
      </c>
      <c r="AW144" s="257">
        <f t="shared" si="131"/>
        <v>3.4953521017314642</v>
      </c>
    </row>
    <row r="145" spans="1:49">
      <c r="A145" s="193">
        <f>'Input data'!A137</f>
        <v>2037</v>
      </c>
      <c r="B145" s="208">
        <f>'Input data'!B137</f>
        <v>69.830333629884052</v>
      </c>
      <c r="C145" s="417">
        <f>'Recycling - Case 1'!E117</f>
        <v>0.88764848484848458</v>
      </c>
      <c r="D145" s="525">
        <f>'Recycling - Case 1'!F117</f>
        <v>0.33666060606060599</v>
      </c>
      <c r="E145" s="235">
        <f t="shared" si="130"/>
        <v>1086875100.6615009</v>
      </c>
      <c r="F145" s="236">
        <v>0</v>
      </c>
      <c r="G145" s="237">
        <f t="shared" si="78"/>
        <v>1086875100.6615009</v>
      </c>
      <c r="H145" s="118">
        <f t="shared" si="120"/>
        <v>0.15594405594405605</v>
      </c>
      <c r="I145" s="118">
        <f t="shared" si="85"/>
        <v>0</v>
      </c>
      <c r="J145" s="118">
        <f t="shared" si="121"/>
        <v>0.15594405594405605</v>
      </c>
      <c r="K145" s="118">
        <f t="shared" si="122"/>
        <v>0.43664335664335674</v>
      </c>
      <c r="L145" s="118">
        <f t="shared" si="123"/>
        <v>6.2377622377622316E-2</v>
      </c>
      <c r="M145" s="118">
        <f t="shared" si="124"/>
        <v>0.18909090909090928</v>
      </c>
      <c r="N145" s="117">
        <f t="shared" si="118"/>
        <v>0</v>
      </c>
      <c r="O145" s="118">
        <f t="shared" si="90"/>
        <v>0.7</v>
      </c>
      <c r="P145" s="118">
        <f t="shared" si="91"/>
        <v>0.15</v>
      </c>
      <c r="Q145" s="118">
        <f t="shared" si="92"/>
        <v>0.15</v>
      </c>
      <c r="R145" s="118">
        <f t="shared" si="93"/>
        <v>0</v>
      </c>
      <c r="S145" s="205">
        <f t="shared" si="94"/>
        <v>0</v>
      </c>
      <c r="T145" s="118">
        <f t="shared" si="125"/>
        <v>0.39151515151515132</v>
      </c>
      <c r="U145" s="118">
        <f t="shared" si="119"/>
        <v>0</v>
      </c>
      <c r="V145" s="118">
        <f t="shared" si="126"/>
        <v>0.19575757575757566</v>
      </c>
      <c r="W145" s="118">
        <f t="shared" si="127"/>
        <v>0.27636363636363659</v>
      </c>
      <c r="X145" s="118">
        <f t="shared" si="128"/>
        <v>5.7575757575757627E-2</v>
      </c>
      <c r="Y145" s="118">
        <f t="shared" si="129"/>
        <v>7.8787878787878685E-2</v>
      </c>
      <c r="Z145" s="235">
        <f t="shared" si="100"/>
        <v>19830530.245705761</v>
      </c>
      <c r="AA145" s="236">
        <f t="shared" si="101"/>
        <v>0</v>
      </c>
      <c r="AB145" s="236">
        <f t="shared" si="102"/>
        <v>19830530.245705761</v>
      </c>
      <c r="AC145" s="236">
        <f t="shared" si="103"/>
        <v>11105096.937595222</v>
      </c>
      <c r="AD145" s="236">
        <f t="shared" si="104"/>
        <v>1586442.4196564583</v>
      </c>
      <c r="AE145" s="236">
        <f t="shared" si="105"/>
        <v>0</v>
      </c>
      <c r="AF145" s="242">
        <f t="shared" si="80"/>
        <v>52352599.848663196</v>
      </c>
      <c r="AG145" s="235">
        <f t="shared" si="106"/>
        <v>0</v>
      </c>
      <c r="AH145" s="236">
        <f t="shared" si="107"/>
        <v>0</v>
      </c>
      <c r="AI145" s="236">
        <f t="shared" si="108"/>
        <v>5869125.5435721045</v>
      </c>
      <c r="AJ145" s="236">
        <f t="shared" si="109"/>
        <v>1173825.1087144208</v>
      </c>
      <c r="AK145" s="236">
        <f t="shared" si="110"/>
        <v>0</v>
      </c>
      <c r="AL145" s="236">
        <f t="shared" si="111"/>
        <v>0</v>
      </c>
      <c r="AM145" s="242">
        <f t="shared" si="81"/>
        <v>7042950.6522865258</v>
      </c>
      <c r="AN145" s="235">
        <f t="shared" si="112"/>
        <v>62552626.247889332</v>
      </c>
      <c r="AO145" s="236">
        <f t="shared" si="113"/>
        <v>0</v>
      </c>
      <c r="AP145" s="236">
        <f t="shared" si="114"/>
        <v>31276313.123944666</v>
      </c>
      <c r="AQ145" s="236">
        <f t="shared" si="115"/>
        <v>44154794.998510174</v>
      </c>
      <c r="AR145" s="236">
        <f t="shared" si="116"/>
        <v>1839783.1249379241</v>
      </c>
      <c r="AS145" s="236">
        <f t="shared" si="82"/>
        <v>0</v>
      </c>
      <c r="AT145" s="242">
        <f t="shared" si="83"/>
        <v>139823517.49528208</v>
      </c>
      <c r="AU145" s="254">
        <v>0</v>
      </c>
      <c r="AV145" s="246">
        <f t="shared" si="84"/>
        <v>199.21906799623179</v>
      </c>
      <c r="AW145" s="257">
        <f t="shared" si="131"/>
        <v>3.5209421212835057</v>
      </c>
    </row>
    <row r="146" spans="1:49">
      <c r="A146" s="193">
        <f>'Input data'!A138</f>
        <v>2038</v>
      </c>
      <c r="B146" s="208">
        <f>'Input data'!B138</f>
        <v>70.341572426693446</v>
      </c>
      <c r="C146" s="417">
        <f>'Recycling - Case 1'!E118</f>
        <v>0.89629090909090881</v>
      </c>
      <c r="D146" s="525">
        <f>'Recycling - Case 1'!F118</f>
        <v>0.33901363636363629</v>
      </c>
      <c r="E146" s="235">
        <f t="shared" si="130"/>
        <v>1094832283.3049257</v>
      </c>
      <c r="F146" s="236">
        <v>0</v>
      </c>
      <c r="G146" s="237">
        <f t="shared" si="78"/>
        <v>1094832283.3049257</v>
      </c>
      <c r="H146" s="118">
        <f t="shared" si="120"/>
        <v>0.15874125874125886</v>
      </c>
      <c r="I146" s="118">
        <f t="shared" si="85"/>
        <v>0</v>
      </c>
      <c r="J146" s="118">
        <f t="shared" si="121"/>
        <v>0.15874125874125886</v>
      </c>
      <c r="K146" s="118">
        <f t="shared" si="122"/>
        <v>0.44447552447552457</v>
      </c>
      <c r="L146" s="118">
        <f t="shared" si="123"/>
        <v>6.3496503496503431E-2</v>
      </c>
      <c r="M146" s="118">
        <f t="shared" si="124"/>
        <v>0.17454545454545473</v>
      </c>
      <c r="N146" s="117">
        <f t="shared" si="118"/>
        <v>0</v>
      </c>
      <c r="O146" s="118">
        <f t="shared" si="90"/>
        <v>0.7</v>
      </c>
      <c r="P146" s="118">
        <f t="shared" si="91"/>
        <v>0.15</v>
      </c>
      <c r="Q146" s="118">
        <f t="shared" si="92"/>
        <v>0.15</v>
      </c>
      <c r="R146" s="118">
        <f t="shared" si="93"/>
        <v>0</v>
      </c>
      <c r="S146" s="205">
        <f t="shared" si="94"/>
        <v>0</v>
      </c>
      <c r="T146" s="118">
        <f t="shared" si="125"/>
        <v>0.39409090909090888</v>
      </c>
      <c r="U146" s="118">
        <f t="shared" si="119"/>
        <v>0</v>
      </c>
      <c r="V146" s="118">
        <f t="shared" si="126"/>
        <v>0.19704545454545444</v>
      </c>
      <c r="W146" s="118">
        <f t="shared" si="127"/>
        <v>0.27818181818181842</v>
      </c>
      <c r="X146" s="118">
        <f t="shared" si="128"/>
        <v>5.7954545454545509E-2</v>
      </c>
      <c r="Y146" s="118">
        <f t="shared" si="129"/>
        <v>7.2727272727272627E-2</v>
      </c>
      <c r="Z146" s="235">
        <f t="shared" si="100"/>
        <v>20334021.407199681</v>
      </c>
      <c r="AA146" s="236">
        <f t="shared" si="101"/>
        <v>0</v>
      </c>
      <c r="AB146" s="236">
        <f t="shared" si="102"/>
        <v>20334021.407199681</v>
      </c>
      <c r="AC146" s="236">
        <f t="shared" si="103"/>
        <v>11387051.988031816</v>
      </c>
      <c r="AD146" s="236">
        <f t="shared" si="104"/>
        <v>1626721.7125759716</v>
      </c>
      <c r="AE146" s="236">
        <f t="shared" si="105"/>
        <v>0</v>
      </c>
      <c r="AF146" s="242">
        <f t="shared" si="80"/>
        <v>53681816.515007153</v>
      </c>
      <c r="AG146" s="235">
        <f t="shared" si="106"/>
        <v>0</v>
      </c>
      <c r="AH146" s="236">
        <f t="shared" si="107"/>
        <v>0</v>
      </c>
      <c r="AI146" s="236">
        <f t="shared" si="108"/>
        <v>5912094.3298465982</v>
      </c>
      <c r="AJ146" s="236">
        <f t="shared" si="109"/>
        <v>1182418.8659693196</v>
      </c>
      <c r="AK146" s="236">
        <f t="shared" si="110"/>
        <v>0</v>
      </c>
      <c r="AL146" s="236">
        <f t="shared" si="111"/>
        <v>0</v>
      </c>
      <c r="AM146" s="242">
        <f t="shared" si="81"/>
        <v>7094513.195815918</v>
      </c>
      <c r="AN146" s="235">
        <f t="shared" si="112"/>
        <v>63425127.124967895</v>
      </c>
      <c r="AO146" s="236">
        <f t="shared" si="113"/>
        <v>0</v>
      </c>
      <c r="AP146" s="236">
        <f t="shared" si="114"/>
        <v>31712563.562483948</v>
      </c>
      <c r="AQ146" s="236">
        <f t="shared" si="115"/>
        <v>44770677.970565639</v>
      </c>
      <c r="AR146" s="236">
        <f t="shared" si="116"/>
        <v>1865444.9154402353</v>
      </c>
      <c r="AS146" s="236">
        <f t="shared" si="82"/>
        <v>0</v>
      </c>
      <c r="AT146" s="242">
        <f t="shared" si="83"/>
        <v>141773813.57345772</v>
      </c>
      <c r="AU146" s="254">
        <v>0</v>
      </c>
      <c r="AV146" s="246">
        <f t="shared" si="84"/>
        <v>202.55014328428078</v>
      </c>
      <c r="AW146" s="257">
        <f t="shared" si="131"/>
        <v>3.5467194893720086</v>
      </c>
    </row>
    <row r="147" spans="1:49">
      <c r="A147" s="193">
        <f>'Input data'!A139</f>
        <v>2039</v>
      </c>
      <c r="B147" s="208">
        <f>'Input data'!B139</f>
        <v>70.856554082712819</v>
      </c>
      <c r="C147" s="417">
        <f>'Recycling - Case 1'!E119</f>
        <v>0.90493333333333303</v>
      </c>
      <c r="D147" s="525">
        <f>'Recycling - Case 1'!F119</f>
        <v>0.3413666666666666</v>
      </c>
      <c r="E147" s="235">
        <f t="shared" si="130"/>
        <v>1102847721.7273097</v>
      </c>
      <c r="F147" s="236">
        <v>0</v>
      </c>
      <c r="G147" s="237">
        <f t="shared" si="78"/>
        <v>1102847721.7273097</v>
      </c>
      <c r="H147" s="118">
        <f t="shared" si="120"/>
        <v>0.16153846153846166</v>
      </c>
      <c r="I147" s="118">
        <f t="shared" si="85"/>
        <v>0</v>
      </c>
      <c r="J147" s="118">
        <f t="shared" si="121"/>
        <v>0.16153846153846166</v>
      </c>
      <c r="K147" s="118">
        <f t="shared" si="122"/>
        <v>0.45230769230769241</v>
      </c>
      <c r="L147" s="118">
        <f t="shared" si="123"/>
        <v>6.4615384615384547E-2</v>
      </c>
      <c r="M147" s="118">
        <f t="shared" si="124"/>
        <v>0.16000000000000017</v>
      </c>
      <c r="N147" s="117">
        <f t="shared" si="118"/>
        <v>0</v>
      </c>
      <c r="O147" s="118">
        <f t="shared" si="90"/>
        <v>0.7</v>
      </c>
      <c r="P147" s="118">
        <f t="shared" si="91"/>
        <v>0.15</v>
      </c>
      <c r="Q147" s="118">
        <f t="shared" si="92"/>
        <v>0.15</v>
      </c>
      <c r="R147" s="118">
        <f t="shared" si="93"/>
        <v>0</v>
      </c>
      <c r="S147" s="205">
        <f t="shared" si="94"/>
        <v>0</v>
      </c>
      <c r="T147" s="118">
        <f t="shared" si="125"/>
        <v>0.39666666666666645</v>
      </c>
      <c r="U147" s="118">
        <f t="shared" si="119"/>
        <v>0</v>
      </c>
      <c r="V147" s="118">
        <f t="shared" si="126"/>
        <v>0.19833333333333322</v>
      </c>
      <c r="W147" s="118">
        <f t="shared" si="127"/>
        <v>0.28000000000000025</v>
      </c>
      <c r="X147" s="118">
        <f t="shared" si="128"/>
        <v>5.833333333333339E-2</v>
      </c>
      <c r="Y147" s="118">
        <f t="shared" si="129"/>
        <v>6.6666666666666569E-2</v>
      </c>
      <c r="Z147" s="235">
        <f t="shared" si="100"/>
        <v>20843821.940646168</v>
      </c>
      <c r="AA147" s="236">
        <f t="shared" si="101"/>
        <v>0</v>
      </c>
      <c r="AB147" s="236">
        <f t="shared" si="102"/>
        <v>20843821.940646168</v>
      </c>
      <c r="AC147" s="236">
        <f t="shared" si="103"/>
        <v>11672540.286761848</v>
      </c>
      <c r="AD147" s="236">
        <f t="shared" si="104"/>
        <v>1667505.7552516905</v>
      </c>
      <c r="AE147" s="236">
        <f t="shared" si="105"/>
        <v>0</v>
      </c>
      <c r="AF147" s="242">
        <f t="shared" si="80"/>
        <v>55027689.923305877</v>
      </c>
      <c r="AG147" s="235">
        <f t="shared" si="106"/>
        <v>0</v>
      </c>
      <c r="AH147" s="236">
        <f t="shared" si="107"/>
        <v>0</v>
      </c>
      <c r="AI147" s="236">
        <f t="shared" si="108"/>
        <v>5955377.6973274713</v>
      </c>
      <c r="AJ147" s="236">
        <f t="shared" si="109"/>
        <v>1191075.5394654942</v>
      </c>
      <c r="AK147" s="236">
        <f t="shared" si="110"/>
        <v>0</v>
      </c>
      <c r="AL147" s="236">
        <f t="shared" si="111"/>
        <v>0</v>
      </c>
      <c r="AM147" s="242">
        <f t="shared" si="81"/>
        <v>7146453.2367929658</v>
      </c>
      <c r="AN147" s="235">
        <f t="shared" si="112"/>
        <v>64307050.653919384</v>
      </c>
      <c r="AO147" s="236">
        <f t="shared" si="113"/>
        <v>0</v>
      </c>
      <c r="AP147" s="236">
        <f t="shared" si="114"/>
        <v>32153525.326959692</v>
      </c>
      <c r="AQ147" s="236">
        <f t="shared" si="115"/>
        <v>45393212.226296112</v>
      </c>
      <c r="AR147" s="236">
        <f t="shared" si="116"/>
        <v>1891383.8427623378</v>
      </c>
      <c r="AS147" s="236">
        <f t="shared" si="82"/>
        <v>0</v>
      </c>
      <c r="AT147" s="242">
        <f t="shared" si="83"/>
        <v>143745172.04993755</v>
      </c>
      <c r="AU147" s="254">
        <v>0</v>
      </c>
      <c r="AV147" s="246">
        <f t="shared" si="84"/>
        <v>205.91931521003639</v>
      </c>
      <c r="AW147" s="257">
        <f t="shared" si="131"/>
        <v>3.5726855776049167</v>
      </c>
    </row>
    <row r="148" spans="1:49">
      <c r="A148" s="193">
        <f>'Input data'!A140</f>
        <v>2040</v>
      </c>
      <c r="B148" s="208">
        <f>'Input data'!B140</f>
        <v>71.375305999999995</v>
      </c>
      <c r="C148" s="417">
        <f>'Recycling - Case 1'!E120</f>
        <v>0.91357575757575726</v>
      </c>
      <c r="D148" s="525">
        <f>'Recycling - Case 1'!F120</f>
        <v>0.3437196969696969</v>
      </c>
      <c r="E148" s="235">
        <f t="shared" si="130"/>
        <v>1110921842.4283249</v>
      </c>
      <c r="F148" s="236">
        <v>0</v>
      </c>
      <c r="G148" s="237">
        <f t="shared" si="78"/>
        <v>1110921842.4283249</v>
      </c>
      <c r="H148" s="118">
        <f t="shared" si="120"/>
        <v>0.16433566433566446</v>
      </c>
      <c r="I148" s="118">
        <f t="shared" si="85"/>
        <v>0</v>
      </c>
      <c r="J148" s="118">
        <f t="shared" si="121"/>
        <v>0.16433566433566446</v>
      </c>
      <c r="K148" s="118">
        <f t="shared" si="122"/>
        <v>0.46013986013986025</v>
      </c>
      <c r="L148" s="118">
        <f t="shared" si="123"/>
        <v>6.5734265734265662E-2</v>
      </c>
      <c r="M148" s="118">
        <f t="shared" si="124"/>
        <v>0.14545454545454561</v>
      </c>
      <c r="N148" s="117">
        <f t="shared" si="118"/>
        <v>0</v>
      </c>
      <c r="O148" s="118">
        <f t="shared" si="90"/>
        <v>0.7</v>
      </c>
      <c r="P148" s="118">
        <f t="shared" si="91"/>
        <v>0.15</v>
      </c>
      <c r="Q148" s="118">
        <f t="shared" si="92"/>
        <v>0.15</v>
      </c>
      <c r="R148" s="118">
        <f t="shared" si="93"/>
        <v>0</v>
      </c>
      <c r="S148" s="205">
        <f t="shared" si="94"/>
        <v>0</v>
      </c>
      <c r="T148" s="118">
        <f t="shared" si="125"/>
        <v>0.39924242424242401</v>
      </c>
      <c r="U148" s="118">
        <f t="shared" si="119"/>
        <v>0</v>
      </c>
      <c r="V148" s="118">
        <f t="shared" si="126"/>
        <v>0.199621212121212</v>
      </c>
      <c r="W148" s="118">
        <f t="shared" si="127"/>
        <v>0.28181818181818208</v>
      </c>
      <c r="X148" s="118">
        <f t="shared" si="128"/>
        <v>5.8712121212121271E-2</v>
      </c>
      <c r="Y148" s="118">
        <f t="shared" si="129"/>
        <v>6.0606060606060511E-2</v>
      </c>
      <c r="Z148" s="235">
        <f t="shared" si="100"/>
        <v>21359997.243053719</v>
      </c>
      <c r="AA148" s="236">
        <f t="shared" si="101"/>
        <v>0</v>
      </c>
      <c r="AB148" s="236">
        <f t="shared" si="102"/>
        <v>21359997.243053719</v>
      </c>
      <c r="AC148" s="236">
        <f t="shared" si="103"/>
        <v>11961598.456110077</v>
      </c>
      <c r="AD148" s="236">
        <f t="shared" si="104"/>
        <v>1708799.7794442943</v>
      </c>
      <c r="AE148" s="236">
        <f t="shared" si="105"/>
        <v>0</v>
      </c>
      <c r="AF148" s="242">
        <f t="shared" si="80"/>
        <v>56390392.721661806</v>
      </c>
      <c r="AG148" s="235">
        <f t="shared" si="106"/>
        <v>0</v>
      </c>
      <c r="AH148" s="236">
        <f t="shared" si="107"/>
        <v>0</v>
      </c>
      <c r="AI148" s="236">
        <f t="shared" si="108"/>
        <v>5998977.9491129545</v>
      </c>
      <c r="AJ148" s="236">
        <f t="shared" si="109"/>
        <v>1199795.5898225908</v>
      </c>
      <c r="AK148" s="236">
        <f t="shared" si="110"/>
        <v>0</v>
      </c>
      <c r="AL148" s="236">
        <f t="shared" si="111"/>
        <v>0</v>
      </c>
      <c r="AM148" s="242">
        <f t="shared" si="81"/>
        <v>7198773.5389355458</v>
      </c>
      <c r="AN148" s="235">
        <f t="shared" si="112"/>
        <v>65198488.038696855</v>
      </c>
      <c r="AO148" s="236">
        <f t="shared" si="113"/>
        <v>0</v>
      </c>
      <c r="AP148" s="236">
        <f t="shared" si="114"/>
        <v>32599244.019348428</v>
      </c>
      <c r="AQ148" s="236">
        <f t="shared" si="115"/>
        <v>46022462.144962557</v>
      </c>
      <c r="AR148" s="236">
        <f t="shared" si="116"/>
        <v>1917602.58937344</v>
      </c>
      <c r="AS148" s="236">
        <f t="shared" si="82"/>
        <v>0</v>
      </c>
      <c r="AT148" s="242">
        <f t="shared" si="83"/>
        <v>145737796.79238129</v>
      </c>
      <c r="AU148" s="254">
        <v>0</v>
      </c>
      <c r="AV148" s="246">
        <f t="shared" si="84"/>
        <v>209.32696305297864</v>
      </c>
      <c r="AW148" s="257">
        <f t="shared" si="131"/>
        <v>3.5988417676319293</v>
      </c>
    </row>
    <row r="149" spans="1:49">
      <c r="A149" s="193">
        <f>'Input data'!A141</f>
        <v>2041</v>
      </c>
      <c r="B149" s="208">
        <f>'Input data'!B141</f>
        <v>71.818612994947316</v>
      </c>
      <c r="C149" s="417">
        <f>'Recycling - Case 1'!E121</f>
        <v>0.92221818181818149</v>
      </c>
      <c r="D149" s="525">
        <f>'Recycling - Case 1'!F121</f>
        <v>0.3460727272727272</v>
      </c>
      <c r="E149" s="235">
        <f t="shared" si="130"/>
        <v>1117821699.6925201</v>
      </c>
      <c r="F149" s="236">
        <v>0</v>
      </c>
      <c r="G149" s="237">
        <f t="shared" si="78"/>
        <v>1117821699.6925201</v>
      </c>
      <c r="H149" s="118">
        <f t="shared" si="120"/>
        <v>0.16713286713286726</v>
      </c>
      <c r="I149" s="118">
        <f t="shared" si="85"/>
        <v>0</v>
      </c>
      <c r="J149" s="118">
        <f t="shared" si="121"/>
        <v>0.16713286713286726</v>
      </c>
      <c r="K149" s="118">
        <f t="shared" si="122"/>
        <v>0.46797202797202808</v>
      </c>
      <c r="L149" s="118">
        <f t="shared" si="123"/>
        <v>6.6853146853146778E-2</v>
      </c>
      <c r="M149" s="118">
        <f t="shared" si="124"/>
        <v>0.13090909090909106</v>
      </c>
      <c r="N149" s="117">
        <f t="shared" si="118"/>
        <v>0</v>
      </c>
      <c r="O149" s="118">
        <f t="shared" si="90"/>
        <v>0.7</v>
      </c>
      <c r="P149" s="118">
        <f t="shared" si="91"/>
        <v>0.15</v>
      </c>
      <c r="Q149" s="118">
        <f t="shared" si="92"/>
        <v>0.15</v>
      </c>
      <c r="R149" s="118">
        <f t="shared" si="93"/>
        <v>0</v>
      </c>
      <c r="S149" s="205">
        <f t="shared" si="94"/>
        <v>0</v>
      </c>
      <c r="T149" s="118">
        <f t="shared" si="125"/>
        <v>0.40181818181818157</v>
      </c>
      <c r="U149" s="118">
        <f t="shared" si="119"/>
        <v>0</v>
      </c>
      <c r="V149" s="118">
        <f t="shared" si="126"/>
        <v>0.20090909090909079</v>
      </c>
      <c r="W149" s="118">
        <f t="shared" si="127"/>
        <v>0.28363636363636391</v>
      </c>
      <c r="X149" s="118">
        <f t="shared" si="128"/>
        <v>5.9090909090909152E-2</v>
      </c>
      <c r="Y149" s="118">
        <f t="shared" si="129"/>
        <v>5.4545454545454453E-2</v>
      </c>
      <c r="Z149" s="235">
        <f t="shared" si="100"/>
        <v>21858495.236714661</v>
      </c>
      <c r="AA149" s="236">
        <f t="shared" si="101"/>
        <v>0</v>
      </c>
      <c r="AB149" s="236">
        <f t="shared" si="102"/>
        <v>21858495.236714661</v>
      </c>
      <c r="AC149" s="236">
        <f t="shared" si="103"/>
        <v>12240757.332560204</v>
      </c>
      <c r="AD149" s="236">
        <f t="shared" si="104"/>
        <v>1748679.6189371699</v>
      </c>
      <c r="AE149" s="236">
        <f t="shared" si="105"/>
        <v>0</v>
      </c>
      <c r="AF149" s="242">
        <f t="shared" si="80"/>
        <v>57706427.424926698</v>
      </c>
      <c r="AG149" s="235">
        <f t="shared" si="106"/>
        <v>0</v>
      </c>
      <c r="AH149" s="236">
        <f t="shared" si="107"/>
        <v>0</v>
      </c>
      <c r="AI149" s="236">
        <f t="shared" si="108"/>
        <v>6036237.1783396089</v>
      </c>
      <c r="AJ149" s="236">
        <f t="shared" si="109"/>
        <v>1207247.4356679216</v>
      </c>
      <c r="AK149" s="236">
        <f t="shared" si="110"/>
        <v>0</v>
      </c>
      <c r="AL149" s="236">
        <f t="shared" si="111"/>
        <v>0</v>
      </c>
      <c r="AM149" s="242">
        <f t="shared" si="81"/>
        <v>7243484.6140075307</v>
      </c>
      <c r="AN149" s="235">
        <f t="shared" si="112"/>
        <v>66026679.1962016</v>
      </c>
      <c r="AO149" s="236">
        <f t="shared" si="113"/>
        <v>0</v>
      </c>
      <c r="AP149" s="236">
        <f t="shared" si="114"/>
        <v>33013339.5981008</v>
      </c>
      <c r="AQ149" s="236">
        <f t="shared" si="115"/>
        <v>46607067.667907082</v>
      </c>
      <c r="AR149" s="236">
        <f t="shared" si="116"/>
        <v>1941961.152829462</v>
      </c>
      <c r="AS149" s="236">
        <f t="shared" si="82"/>
        <v>0</v>
      </c>
      <c r="AT149" s="242">
        <f t="shared" si="83"/>
        <v>147589047.61503896</v>
      </c>
      <c r="AU149" s="254">
        <v>0</v>
      </c>
      <c r="AV149" s="246">
        <f t="shared" si="84"/>
        <v>212.53895965397319</v>
      </c>
      <c r="AW149" s="257">
        <f t="shared" si="131"/>
        <v>3.6211939201999317</v>
      </c>
    </row>
    <row r="150" spans="1:49">
      <c r="A150" s="193">
        <f>'Input data'!A142</f>
        <v>2042</v>
      </c>
      <c r="B150" s="208">
        <f>'Input data'!B142</f>
        <v>72.264673338395411</v>
      </c>
      <c r="C150" s="417">
        <f>'Recycling - Case 1'!E122</f>
        <v>0.93086060606060572</v>
      </c>
      <c r="D150" s="525">
        <f>'Recycling - Case 1'!F122</f>
        <v>0.3484257575757575</v>
      </c>
      <c r="E150" s="235">
        <f t="shared" si="130"/>
        <v>1124764411.4838722</v>
      </c>
      <c r="F150" s="236">
        <v>0</v>
      </c>
      <c r="G150" s="237">
        <f t="shared" si="78"/>
        <v>1124764411.4838722</v>
      </c>
      <c r="H150" s="118">
        <f t="shared" si="120"/>
        <v>0.16993006993007007</v>
      </c>
      <c r="I150" s="118">
        <f t="shared" si="85"/>
        <v>0</v>
      </c>
      <c r="J150" s="118">
        <f t="shared" si="121"/>
        <v>0.16993006993007007</v>
      </c>
      <c r="K150" s="118">
        <f t="shared" si="122"/>
        <v>0.47580419580419592</v>
      </c>
      <c r="L150" s="118">
        <f t="shared" si="123"/>
        <v>6.7972027972027893E-2</v>
      </c>
      <c r="M150" s="118">
        <f t="shared" si="124"/>
        <v>0.11636363636363652</v>
      </c>
      <c r="N150" s="117">
        <f t="shared" si="118"/>
        <v>0</v>
      </c>
      <c r="O150" s="118">
        <f t="shared" si="90"/>
        <v>0.7</v>
      </c>
      <c r="P150" s="118">
        <f t="shared" si="91"/>
        <v>0.15</v>
      </c>
      <c r="Q150" s="118">
        <f t="shared" si="92"/>
        <v>0.15</v>
      </c>
      <c r="R150" s="118">
        <f t="shared" si="93"/>
        <v>0</v>
      </c>
      <c r="S150" s="205">
        <f t="shared" si="94"/>
        <v>0</v>
      </c>
      <c r="T150" s="118">
        <f t="shared" si="125"/>
        <v>0.40439393939393914</v>
      </c>
      <c r="U150" s="118">
        <f t="shared" si="119"/>
        <v>0</v>
      </c>
      <c r="V150" s="118">
        <f t="shared" si="126"/>
        <v>0.20219696969696957</v>
      </c>
      <c r="W150" s="118">
        <f t="shared" si="127"/>
        <v>0.28545454545454574</v>
      </c>
      <c r="X150" s="118">
        <f t="shared" si="128"/>
        <v>5.9469696969697033E-2</v>
      </c>
      <c r="Y150" s="118">
        <f t="shared" si="129"/>
        <v>4.8484848484848395E-2</v>
      </c>
      <c r="Z150" s="235">
        <f t="shared" si="100"/>
        <v>22362361.526502095</v>
      </c>
      <c r="AA150" s="236">
        <f t="shared" si="101"/>
        <v>0</v>
      </c>
      <c r="AB150" s="236">
        <f t="shared" si="102"/>
        <v>22362361.526502095</v>
      </c>
      <c r="AC150" s="236">
        <f t="shared" si="103"/>
        <v>12522922.454841167</v>
      </c>
      <c r="AD150" s="236">
        <f t="shared" si="104"/>
        <v>1788988.9221201641</v>
      </c>
      <c r="AE150" s="236">
        <f t="shared" si="105"/>
        <v>0</v>
      </c>
      <c r="AF150" s="242">
        <f t="shared" si="80"/>
        <v>59036634.429965518</v>
      </c>
      <c r="AG150" s="235">
        <f t="shared" si="106"/>
        <v>0</v>
      </c>
      <c r="AH150" s="236">
        <f t="shared" si="107"/>
        <v>0</v>
      </c>
      <c r="AI150" s="236">
        <f t="shared" si="108"/>
        <v>6073727.8220129088</v>
      </c>
      <c r="AJ150" s="236">
        <f t="shared" si="109"/>
        <v>1214745.5644025819</v>
      </c>
      <c r="AK150" s="236">
        <f t="shared" si="110"/>
        <v>0</v>
      </c>
      <c r="AL150" s="236">
        <f t="shared" si="111"/>
        <v>0</v>
      </c>
      <c r="AM150" s="242">
        <f t="shared" si="81"/>
        <v>7288473.3864154909</v>
      </c>
      <c r="AN150" s="235">
        <f t="shared" si="112"/>
        <v>66862642.953760087</v>
      </c>
      <c r="AO150" s="236">
        <f t="shared" si="113"/>
        <v>0</v>
      </c>
      <c r="AP150" s="236">
        <f t="shared" si="114"/>
        <v>33431321.476880044</v>
      </c>
      <c r="AQ150" s="236">
        <f t="shared" si="115"/>
        <v>47197159.73206602</v>
      </c>
      <c r="AR150" s="236">
        <f t="shared" si="116"/>
        <v>1966548.3221694177</v>
      </c>
      <c r="AS150" s="236">
        <f t="shared" si="82"/>
        <v>0</v>
      </c>
      <c r="AT150" s="242">
        <f t="shared" si="83"/>
        <v>149457672.48487556</v>
      </c>
      <c r="AU150" s="254">
        <v>0</v>
      </c>
      <c r="AV150" s="246">
        <f t="shared" si="84"/>
        <v>215.78278030125657</v>
      </c>
      <c r="AW150" s="257">
        <f t="shared" si="131"/>
        <v>3.6436849004121257</v>
      </c>
    </row>
    <row r="151" spans="1:49">
      <c r="A151" s="193">
        <f>'Input data'!A143</f>
        <v>2043</v>
      </c>
      <c r="B151" s="208">
        <f>'Input data'!B143</f>
        <v>72.713504131197794</v>
      </c>
      <c r="C151" s="417">
        <f>'Recycling - Case 1'!E123</f>
        <v>0.93950303030302995</v>
      </c>
      <c r="D151" s="525">
        <f>'Recycling - Case 1'!F123</f>
        <v>0.3507787878787878</v>
      </c>
      <c r="E151" s="235">
        <f t="shared" si="130"/>
        <v>1131750243.9688299</v>
      </c>
      <c r="F151" s="236">
        <v>0</v>
      </c>
      <c r="G151" s="237">
        <f t="shared" si="78"/>
        <v>1131750243.9688299</v>
      </c>
      <c r="H151" s="118">
        <f t="shared" si="120"/>
        <v>0.17272727272727287</v>
      </c>
      <c r="I151" s="118">
        <f t="shared" si="85"/>
        <v>0</v>
      </c>
      <c r="J151" s="118">
        <f t="shared" si="121"/>
        <v>0.17272727272727287</v>
      </c>
      <c r="K151" s="118">
        <f t="shared" si="122"/>
        <v>0.48363636363636375</v>
      </c>
      <c r="L151" s="118">
        <f t="shared" si="123"/>
        <v>6.9090909090909008E-2</v>
      </c>
      <c r="M151" s="118">
        <f t="shared" si="124"/>
        <v>0.10181818181818197</v>
      </c>
      <c r="N151" s="117">
        <f t="shared" si="118"/>
        <v>0</v>
      </c>
      <c r="O151" s="118">
        <f t="shared" si="90"/>
        <v>0.7</v>
      </c>
      <c r="P151" s="118">
        <f t="shared" si="91"/>
        <v>0.15</v>
      </c>
      <c r="Q151" s="118">
        <f t="shared" si="92"/>
        <v>0.15</v>
      </c>
      <c r="R151" s="118">
        <f t="shared" si="93"/>
        <v>0</v>
      </c>
      <c r="S151" s="205">
        <f t="shared" si="94"/>
        <v>0</v>
      </c>
      <c r="T151" s="118">
        <f t="shared" si="125"/>
        <v>0.4069696969696967</v>
      </c>
      <c r="U151" s="118">
        <f t="shared" si="119"/>
        <v>0</v>
      </c>
      <c r="V151" s="118">
        <f t="shared" si="126"/>
        <v>0.20348484848484835</v>
      </c>
      <c r="W151" s="118">
        <f t="shared" si="127"/>
        <v>0.28727272727272757</v>
      </c>
      <c r="X151" s="118">
        <f t="shared" si="128"/>
        <v>5.9848484848484915E-2</v>
      </c>
      <c r="Y151" s="118">
        <f t="shared" si="129"/>
        <v>4.2424242424242337E-2</v>
      </c>
      <c r="Z151" s="235">
        <f t="shared" si="100"/>
        <v>22871643.566751916</v>
      </c>
      <c r="AA151" s="236">
        <f t="shared" si="101"/>
        <v>0</v>
      </c>
      <c r="AB151" s="236">
        <f t="shared" si="102"/>
        <v>22871643.566751916</v>
      </c>
      <c r="AC151" s="236">
        <f t="shared" si="103"/>
        <v>12808120.397381067</v>
      </c>
      <c r="AD151" s="236">
        <f t="shared" si="104"/>
        <v>1829731.4853401498</v>
      </c>
      <c r="AE151" s="236">
        <f t="shared" si="105"/>
        <v>0</v>
      </c>
      <c r="AF151" s="242">
        <f t="shared" si="80"/>
        <v>60381139.016225047</v>
      </c>
      <c r="AG151" s="235">
        <f t="shared" si="106"/>
        <v>0</v>
      </c>
      <c r="AH151" s="236">
        <f t="shared" si="107"/>
        <v>0</v>
      </c>
      <c r="AI151" s="236">
        <f t="shared" si="108"/>
        <v>6111451.3174316809</v>
      </c>
      <c r="AJ151" s="236">
        <f t="shared" si="109"/>
        <v>1222290.263486336</v>
      </c>
      <c r="AK151" s="236">
        <f t="shared" si="110"/>
        <v>0</v>
      </c>
      <c r="AL151" s="236">
        <f t="shared" si="111"/>
        <v>0</v>
      </c>
      <c r="AM151" s="242">
        <f t="shared" si="81"/>
        <v>7333741.5809180168</v>
      </c>
      <c r="AN151" s="235">
        <f t="shared" si="112"/>
        <v>67706443.91350612</v>
      </c>
      <c r="AO151" s="236">
        <f t="shared" si="113"/>
        <v>0</v>
      </c>
      <c r="AP151" s="236">
        <f t="shared" si="114"/>
        <v>33853221.95675306</v>
      </c>
      <c r="AQ151" s="236">
        <f t="shared" si="115"/>
        <v>47792783.938945577</v>
      </c>
      <c r="AR151" s="236">
        <f t="shared" si="116"/>
        <v>1991365.9974560658</v>
      </c>
      <c r="AS151" s="236">
        <f t="shared" si="82"/>
        <v>0</v>
      </c>
      <c r="AT151" s="242">
        <f t="shared" si="83"/>
        <v>151343815.80666083</v>
      </c>
      <c r="AU151" s="254">
        <v>0</v>
      </c>
      <c r="AV151" s="246">
        <f t="shared" si="84"/>
        <v>219.05869640380388</v>
      </c>
      <c r="AW151" s="257">
        <f t="shared" si="131"/>
        <v>3.666315570517225</v>
      </c>
    </row>
    <row r="152" spans="1:49">
      <c r="A152" s="193">
        <f>'Input data'!A144</f>
        <v>2044</v>
      </c>
      <c r="B152" s="208">
        <f>'Input data'!B144</f>
        <v>73.165122580420132</v>
      </c>
      <c r="C152" s="417">
        <f>'Recycling - Case 1'!E124</f>
        <v>0.94814545454545418</v>
      </c>
      <c r="D152" s="525">
        <f>'Recycling - Case 1'!F124</f>
        <v>0.3531318181818181</v>
      </c>
      <c r="E152" s="235">
        <f t="shared" si="130"/>
        <v>1138779464.9669816</v>
      </c>
      <c r="F152" s="236">
        <v>0</v>
      </c>
      <c r="G152" s="237">
        <f t="shared" si="78"/>
        <v>1138779464.9669816</v>
      </c>
      <c r="H152" s="118">
        <f t="shared" si="120"/>
        <v>0.17552447552447567</v>
      </c>
      <c r="I152" s="118">
        <f t="shared" si="85"/>
        <v>0</v>
      </c>
      <c r="J152" s="118">
        <f t="shared" si="121"/>
        <v>0.17552447552447567</v>
      </c>
      <c r="K152" s="118">
        <f t="shared" si="122"/>
        <v>0.49146853146853159</v>
      </c>
      <c r="L152" s="118">
        <f t="shared" si="123"/>
        <v>7.0209790209790124E-2</v>
      </c>
      <c r="M152" s="118">
        <f t="shared" si="124"/>
        <v>8.7272727272727432E-2</v>
      </c>
      <c r="N152" s="117">
        <f t="shared" si="118"/>
        <v>0</v>
      </c>
      <c r="O152" s="118">
        <f t="shared" si="90"/>
        <v>0.7</v>
      </c>
      <c r="P152" s="118">
        <f t="shared" si="91"/>
        <v>0.15</v>
      </c>
      <c r="Q152" s="118">
        <f t="shared" si="92"/>
        <v>0.15</v>
      </c>
      <c r="R152" s="118">
        <f t="shared" si="93"/>
        <v>0</v>
      </c>
      <c r="S152" s="205">
        <f t="shared" si="94"/>
        <v>0</v>
      </c>
      <c r="T152" s="118">
        <f t="shared" si="125"/>
        <v>0.40954545454545427</v>
      </c>
      <c r="U152" s="118">
        <f t="shared" si="119"/>
        <v>0</v>
      </c>
      <c r="V152" s="118">
        <f t="shared" si="126"/>
        <v>0.20477272727272713</v>
      </c>
      <c r="W152" s="118">
        <f t="shared" si="127"/>
        <v>0.2890909090909094</v>
      </c>
      <c r="X152" s="118">
        <f t="shared" si="128"/>
        <v>6.0227272727272796E-2</v>
      </c>
      <c r="Y152" s="118">
        <f t="shared" si="129"/>
        <v>3.6363636363636279E-2</v>
      </c>
      <c r="Z152" s="235">
        <f t="shared" si="100"/>
        <v>23386389.194185577</v>
      </c>
      <c r="AA152" s="236">
        <f t="shared" si="101"/>
        <v>0</v>
      </c>
      <c r="AB152" s="236">
        <f t="shared" si="102"/>
        <v>23386389.194185577</v>
      </c>
      <c r="AC152" s="236">
        <f t="shared" si="103"/>
        <v>13096377.948743915</v>
      </c>
      <c r="AD152" s="236">
        <f t="shared" si="104"/>
        <v>1870911.1355348425</v>
      </c>
      <c r="AE152" s="236">
        <f t="shared" si="105"/>
        <v>0</v>
      </c>
      <c r="AF152" s="242">
        <f t="shared" si="80"/>
        <v>61740067.472649917</v>
      </c>
      <c r="AG152" s="235">
        <f t="shared" si="106"/>
        <v>0</v>
      </c>
      <c r="AH152" s="236">
        <f t="shared" si="107"/>
        <v>0</v>
      </c>
      <c r="AI152" s="236">
        <f t="shared" si="108"/>
        <v>6149409.1108217007</v>
      </c>
      <c r="AJ152" s="236">
        <f t="shared" si="109"/>
        <v>1229881.8221643399</v>
      </c>
      <c r="AK152" s="236">
        <f t="shared" si="110"/>
        <v>0</v>
      </c>
      <c r="AL152" s="236">
        <f t="shared" si="111"/>
        <v>0</v>
      </c>
      <c r="AM152" s="242">
        <f t="shared" si="81"/>
        <v>7379290.9329860406</v>
      </c>
      <c r="AN152" s="235">
        <f t="shared" si="112"/>
        <v>68558147.18021895</v>
      </c>
      <c r="AO152" s="236">
        <f t="shared" si="113"/>
        <v>0</v>
      </c>
      <c r="AP152" s="236">
        <f t="shared" si="114"/>
        <v>34279073.590109475</v>
      </c>
      <c r="AQ152" s="236">
        <f t="shared" si="115"/>
        <v>48393986.24486053</v>
      </c>
      <c r="AR152" s="236">
        <f t="shared" si="116"/>
        <v>2016416.0935358554</v>
      </c>
      <c r="AS152" s="236">
        <f t="shared" si="82"/>
        <v>0</v>
      </c>
      <c r="AT152" s="242">
        <f t="shared" si="83"/>
        <v>153247623.10872483</v>
      </c>
      <c r="AU152" s="254">
        <v>0</v>
      </c>
      <c r="AV152" s="246">
        <f t="shared" si="84"/>
        <v>222.36698151436079</v>
      </c>
      <c r="AW152" s="257">
        <f t="shared" si="131"/>
        <v>3.6890867981193103</v>
      </c>
    </row>
    <row r="153" spans="1:49">
      <c r="A153" s="193">
        <f>'Input data'!A145</f>
        <v>2045</v>
      </c>
      <c r="B153" s="208">
        <f>'Input data'!B145</f>
        <v>73.619545999999971</v>
      </c>
      <c r="C153" s="417">
        <f>'Recycling - Case 1'!E125</f>
        <v>0.95678787878787841</v>
      </c>
      <c r="D153" s="525">
        <f>'Recycling - Case 1'!F125</f>
        <v>0.3554848484848484</v>
      </c>
      <c r="E153" s="235">
        <f t="shared" si="130"/>
        <v>1145852343.9613247</v>
      </c>
      <c r="F153" s="236">
        <v>0</v>
      </c>
      <c r="G153" s="237">
        <f t="shared" si="78"/>
        <v>1145852343.9613247</v>
      </c>
      <c r="H153" s="118">
        <f t="shared" si="120"/>
        <v>0.17832167832167847</v>
      </c>
      <c r="I153" s="118">
        <f t="shared" si="85"/>
        <v>0</v>
      </c>
      <c r="J153" s="118">
        <f t="shared" si="121"/>
        <v>0.17832167832167847</v>
      </c>
      <c r="K153" s="118">
        <f t="shared" si="122"/>
        <v>0.49930069930069942</v>
      </c>
      <c r="L153" s="118">
        <f t="shared" si="123"/>
        <v>7.1328671328671239E-2</v>
      </c>
      <c r="M153" s="118">
        <f t="shared" si="124"/>
        <v>7.272727272727289E-2</v>
      </c>
      <c r="N153" s="117">
        <f t="shared" si="118"/>
        <v>0</v>
      </c>
      <c r="O153" s="118">
        <f t="shared" si="90"/>
        <v>0.7</v>
      </c>
      <c r="P153" s="118">
        <f t="shared" si="91"/>
        <v>0.15</v>
      </c>
      <c r="Q153" s="118">
        <f t="shared" si="92"/>
        <v>0.15</v>
      </c>
      <c r="R153" s="118">
        <f t="shared" si="93"/>
        <v>0</v>
      </c>
      <c r="S153" s="205">
        <f t="shared" si="94"/>
        <v>0</v>
      </c>
      <c r="T153" s="118">
        <f t="shared" si="125"/>
        <v>0.41212121212121183</v>
      </c>
      <c r="U153" s="118">
        <f t="shared" si="119"/>
        <v>0</v>
      </c>
      <c r="V153" s="118">
        <f t="shared" si="126"/>
        <v>0.20606060606060592</v>
      </c>
      <c r="W153" s="118">
        <f t="shared" si="127"/>
        <v>0.29090909090909123</v>
      </c>
      <c r="X153" s="118">
        <f t="shared" si="128"/>
        <v>6.0606060606060677E-2</v>
      </c>
      <c r="Y153" s="118">
        <f t="shared" si="129"/>
        <v>3.0303030303030217E-2</v>
      </c>
      <c r="Z153" s="235">
        <f t="shared" si="100"/>
        <v>23906646.630829476</v>
      </c>
      <c r="AA153" s="236">
        <f t="shared" si="101"/>
        <v>0</v>
      </c>
      <c r="AB153" s="236">
        <f t="shared" si="102"/>
        <v>23906646.630829476</v>
      </c>
      <c r="AC153" s="236">
        <f t="shared" si="103"/>
        <v>13387722.113264497</v>
      </c>
      <c r="AD153" s="236">
        <f t="shared" si="104"/>
        <v>1912531.7304663544</v>
      </c>
      <c r="AE153" s="236">
        <f t="shared" si="105"/>
        <v>0</v>
      </c>
      <c r="AF153" s="242">
        <f t="shared" si="80"/>
        <v>63113547.105389804</v>
      </c>
      <c r="AG153" s="235">
        <f t="shared" si="106"/>
        <v>0</v>
      </c>
      <c r="AH153" s="236">
        <f t="shared" si="107"/>
        <v>0</v>
      </c>
      <c r="AI153" s="236">
        <f t="shared" si="108"/>
        <v>6187602.6573911523</v>
      </c>
      <c r="AJ153" s="236">
        <f t="shared" si="109"/>
        <v>1237520.5314782304</v>
      </c>
      <c r="AK153" s="236">
        <f t="shared" si="110"/>
        <v>0</v>
      </c>
      <c r="AL153" s="236">
        <f t="shared" si="111"/>
        <v>0</v>
      </c>
      <c r="AM153" s="242">
        <f t="shared" si="81"/>
        <v>7425123.1888693832</v>
      </c>
      <c r="AN153" s="235">
        <f t="shared" si="112"/>
        <v>69417818.365075111</v>
      </c>
      <c r="AO153" s="236">
        <f t="shared" si="113"/>
        <v>0</v>
      </c>
      <c r="AP153" s="236">
        <f t="shared" si="114"/>
        <v>34708909.182537556</v>
      </c>
      <c r="AQ153" s="236">
        <f t="shared" si="115"/>
        <v>49000812.963582516</v>
      </c>
      <c r="AR153" s="236">
        <f t="shared" si="116"/>
        <v>2041700.540149272</v>
      </c>
      <c r="AS153" s="236">
        <f t="shared" si="82"/>
        <v>0</v>
      </c>
      <c r="AT153" s="242">
        <f t="shared" si="83"/>
        <v>155169241.05134445</v>
      </c>
      <c r="AU153" s="254">
        <v>0</v>
      </c>
      <c r="AV153" s="246">
        <f t="shared" si="84"/>
        <v>225.70791134560363</v>
      </c>
      <c r="AW153" s="257">
        <f t="shared" si="131"/>
        <v>3.711999456211089</v>
      </c>
    </row>
    <row r="154" spans="1:49">
      <c r="A154" s="193">
        <f>'Input data'!A146</f>
        <v>2046</v>
      </c>
      <c r="B154" s="208">
        <f>'Input data'!B146</f>
        <v>73.995362001779526</v>
      </c>
      <c r="C154" s="417">
        <f>'Recycling - Case 1'!E126</f>
        <v>0.96543030303030264</v>
      </c>
      <c r="D154" s="525">
        <f>'Recycling - Case 1'!F126</f>
        <v>0.3578378787878787</v>
      </c>
      <c r="E154" s="235">
        <f t="shared" si="130"/>
        <v>1151701736.8187225</v>
      </c>
      <c r="F154" s="236">
        <v>0</v>
      </c>
      <c r="G154" s="237">
        <f t="shared" si="78"/>
        <v>1151701736.8187225</v>
      </c>
      <c r="H154" s="118">
        <f t="shared" si="120"/>
        <v>0.18111888111888128</v>
      </c>
      <c r="I154" s="118">
        <f t="shared" si="85"/>
        <v>0</v>
      </c>
      <c r="J154" s="118">
        <f t="shared" si="121"/>
        <v>0.18111888111888128</v>
      </c>
      <c r="K154" s="118">
        <f t="shared" si="122"/>
        <v>0.5071328671328672</v>
      </c>
      <c r="L154" s="118">
        <f t="shared" si="123"/>
        <v>7.2447552447552355E-2</v>
      </c>
      <c r="M154" s="118">
        <f t="shared" si="124"/>
        <v>5.8181818181818348E-2</v>
      </c>
      <c r="N154" s="117">
        <f t="shared" si="118"/>
        <v>0</v>
      </c>
      <c r="O154" s="118">
        <f t="shared" si="90"/>
        <v>0.7</v>
      </c>
      <c r="P154" s="118">
        <f t="shared" si="91"/>
        <v>0.15</v>
      </c>
      <c r="Q154" s="118">
        <f t="shared" si="92"/>
        <v>0.15</v>
      </c>
      <c r="R154" s="118">
        <f t="shared" si="93"/>
        <v>0</v>
      </c>
      <c r="S154" s="205">
        <f t="shared" si="94"/>
        <v>0</v>
      </c>
      <c r="T154" s="118">
        <f t="shared" si="125"/>
        <v>0.4146969696969694</v>
      </c>
      <c r="U154" s="118">
        <f t="shared" si="119"/>
        <v>0</v>
      </c>
      <c r="V154" s="118">
        <f t="shared" si="126"/>
        <v>0.2073484848484847</v>
      </c>
      <c r="W154" s="118">
        <f t="shared" si="127"/>
        <v>0.29272727272727306</v>
      </c>
      <c r="X154" s="118">
        <f t="shared" si="128"/>
        <v>6.0984848484848558E-2</v>
      </c>
      <c r="Y154" s="118">
        <f t="shared" si="129"/>
        <v>2.4242424242424156E-2</v>
      </c>
      <c r="Z154" s="235">
        <f t="shared" si="100"/>
        <v>24405606.804767676</v>
      </c>
      <c r="AA154" s="236">
        <f t="shared" si="101"/>
        <v>0</v>
      </c>
      <c r="AB154" s="236">
        <f t="shared" si="102"/>
        <v>24405606.804767676</v>
      </c>
      <c r="AC154" s="236">
        <f t="shared" si="103"/>
        <v>13667139.81066989</v>
      </c>
      <c r="AD154" s="236">
        <f t="shared" si="104"/>
        <v>1952448.5443814099</v>
      </c>
      <c r="AE154" s="236">
        <f t="shared" si="105"/>
        <v>0</v>
      </c>
      <c r="AF154" s="242">
        <f t="shared" si="80"/>
        <v>64430801.964586653</v>
      </c>
      <c r="AG154" s="235">
        <f t="shared" si="106"/>
        <v>0</v>
      </c>
      <c r="AH154" s="236">
        <f t="shared" si="107"/>
        <v>0</v>
      </c>
      <c r="AI154" s="236">
        <f t="shared" si="108"/>
        <v>6219189.378821101</v>
      </c>
      <c r="AJ154" s="236">
        <f t="shared" si="109"/>
        <v>1243837.87576422</v>
      </c>
      <c r="AK154" s="236">
        <f t="shared" si="110"/>
        <v>0</v>
      </c>
      <c r="AL154" s="236">
        <f t="shared" si="111"/>
        <v>0</v>
      </c>
      <c r="AM154" s="242">
        <f t="shared" si="81"/>
        <v>7463027.2545853211</v>
      </c>
      <c r="AN154" s="235">
        <f t="shared" si="112"/>
        <v>70208261.377258733</v>
      </c>
      <c r="AO154" s="236">
        <f t="shared" si="113"/>
        <v>0</v>
      </c>
      <c r="AP154" s="236">
        <f t="shared" si="114"/>
        <v>35104130.688629366</v>
      </c>
      <c r="AQ154" s="236">
        <f t="shared" si="115"/>
        <v>49558772.73688861</v>
      </c>
      <c r="AR154" s="236">
        <f t="shared" si="116"/>
        <v>2064948.8640370257</v>
      </c>
      <c r="AS154" s="236">
        <f t="shared" si="82"/>
        <v>0</v>
      </c>
      <c r="AT154" s="242">
        <f t="shared" si="83"/>
        <v>156936113.66681376</v>
      </c>
      <c r="AU154" s="254">
        <v>0</v>
      </c>
      <c r="AV154" s="246">
        <f t="shared" si="84"/>
        <v>228.82994288598573</v>
      </c>
      <c r="AW154" s="257">
        <f t="shared" si="131"/>
        <v>3.7309486194433799</v>
      </c>
    </row>
    <row r="155" spans="1:49">
      <c r="A155" s="193">
        <f>'Input data'!A147</f>
        <v>2047</v>
      </c>
      <c r="B155" s="208">
        <f>'Input data'!B147</f>
        <v>74.373096484110363</v>
      </c>
      <c r="C155" s="417">
        <f>'Recycling - Case 1'!E127</f>
        <v>0.97407272727272687</v>
      </c>
      <c r="D155" s="525">
        <f>'Recycling - Case 1'!F127</f>
        <v>0.36019090909090901</v>
      </c>
      <c r="E155" s="235">
        <f t="shared" si="130"/>
        <v>1157580989.8906419</v>
      </c>
      <c r="F155" s="236">
        <v>0</v>
      </c>
      <c r="G155" s="237">
        <f t="shared" si="78"/>
        <v>1157580989.8906419</v>
      </c>
      <c r="H155" s="118">
        <f t="shared" si="120"/>
        <v>0.18391608391608408</v>
      </c>
      <c r="I155" s="118">
        <f t="shared" si="85"/>
        <v>0</v>
      </c>
      <c r="J155" s="118">
        <f t="shared" si="121"/>
        <v>0.18391608391608408</v>
      </c>
      <c r="K155" s="118">
        <f t="shared" si="122"/>
        <v>0.51496503496503498</v>
      </c>
      <c r="L155" s="118">
        <f t="shared" si="123"/>
        <v>7.356643356643347E-2</v>
      </c>
      <c r="M155" s="118">
        <f t="shared" si="124"/>
        <v>4.3636363636363806E-2</v>
      </c>
      <c r="N155" s="117">
        <f t="shared" si="118"/>
        <v>0</v>
      </c>
      <c r="O155" s="118">
        <f t="shared" si="90"/>
        <v>0.7</v>
      </c>
      <c r="P155" s="118">
        <f t="shared" si="91"/>
        <v>0.15</v>
      </c>
      <c r="Q155" s="118">
        <f t="shared" si="92"/>
        <v>0.15</v>
      </c>
      <c r="R155" s="118">
        <f t="shared" si="93"/>
        <v>0</v>
      </c>
      <c r="S155" s="205">
        <f t="shared" si="94"/>
        <v>0</v>
      </c>
      <c r="T155" s="118">
        <f t="shared" si="125"/>
        <v>0.41727272727272696</v>
      </c>
      <c r="U155" s="118">
        <f t="shared" si="119"/>
        <v>0</v>
      </c>
      <c r="V155" s="118">
        <f t="shared" si="126"/>
        <v>0.20863636363636348</v>
      </c>
      <c r="W155" s="118">
        <f t="shared" si="127"/>
        <v>0.29454545454545489</v>
      </c>
      <c r="X155" s="118">
        <f t="shared" si="128"/>
        <v>6.136363636363644E-2</v>
      </c>
      <c r="Y155" s="118">
        <f t="shared" si="129"/>
        <v>1.8181818181818094E-2</v>
      </c>
      <c r="Z155" s="235">
        <f t="shared" si="100"/>
        <v>24909038.209737744</v>
      </c>
      <c r="AA155" s="236">
        <f t="shared" si="101"/>
        <v>0</v>
      </c>
      <c r="AB155" s="236">
        <f t="shared" si="102"/>
        <v>24909038.209737744</v>
      </c>
      <c r="AC155" s="236">
        <f t="shared" si="103"/>
        <v>13949061.397453126</v>
      </c>
      <c r="AD155" s="236">
        <f t="shared" si="104"/>
        <v>1992723.0567790151</v>
      </c>
      <c r="AE155" s="236">
        <f t="shared" si="105"/>
        <v>0</v>
      </c>
      <c r="AF155" s="242">
        <f t="shared" si="80"/>
        <v>65759860.873707622</v>
      </c>
      <c r="AG155" s="235">
        <f t="shared" si="106"/>
        <v>0</v>
      </c>
      <c r="AH155" s="236">
        <f t="shared" si="107"/>
        <v>0</v>
      </c>
      <c r="AI155" s="236">
        <f t="shared" si="108"/>
        <v>6250937.345409466</v>
      </c>
      <c r="AJ155" s="236">
        <f t="shared" si="109"/>
        <v>1250187.4690818931</v>
      </c>
      <c r="AK155" s="236">
        <f t="shared" si="110"/>
        <v>0</v>
      </c>
      <c r="AL155" s="236">
        <f t="shared" si="111"/>
        <v>0</v>
      </c>
      <c r="AM155" s="242">
        <f t="shared" si="81"/>
        <v>7501124.8144913595</v>
      </c>
      <c r="AN155" s="235">
        <f t="shared" si="112"/>
        <v>71004965.573537484</v>
      </c>
      <c r="AO155" s="236">
        <f t="shared" si="113"/>
        <v>0</v>
      </c>
      <c r="AP155" s="236">
        <f t="shared" si="114"/>
        <v>35502482.786768742</v>
      </c>
      <c r="AQ155" s="236">
        <f t="shared" si="115"/>
        <v>50121152.169555962</v>
      </c>
      <c r="AR155" s="236">
        <f t="shared" si="116"/>
        <v>2088381.3403981649</v>
      </c>
      <c r="AS155" s="236">
        <f t="shared" si="82"/>
        <v>0</v>
      </c>
      <c r="AT155" s="242">
        <f t="shared" si="83"/>
        <v>158716981.87026036</v>
      </c>
      <c r="AU155" s="254">
        <v>0</v>
      </c>
      <c r="AV155" s="246">
        <f t="shared" si="84"/>
        <v>231.97796755845934</v>
      </c>
      <c r="AW155" s="257">
        <f t="shared" si="131"/>
        <v>3.74999451512174</v>
      </c>
    </row>
    <row r="156" spans="1:49">
      <c r="A156" s="193">
        <f>'Input data'!A148</f>
        <v>2048</v>
      </c>
      <c r="B156" s="208">
        <f>'Input data'!B148</f>
        <v>74.752759240528661</v>
      </c>
      <c r="C156" s="417">
        <f>'Recycling - Case 1'!E128</f>
        <v>0.9827151515151511</v>
      </c>
      <c r="D156" s="525">
        <f>'Recycling - Case 1'!F128</f>
        <v>0.36254393939393931</v>
      </c>
      <c r="E156" s="235">
        <f t="shared" si="130"/>
        <v>1163490255.6086991</v>
      </c>
      <c r="F156" s="236">
        <v>0</v>
      </c>
      <c r="G156" s="237">
        <f t="shared" si="78"/>
        <v>1163490255.6086991</v>
      </c>
      <c r="H156" s="118">
        <f t="shared" si="120"/>
        <v>0.18671328671328688</v>
      </c>
      <c r="I156" s="118">
        <f t="shared" si="85"/>
        <v>0</v>
      </c>
      <c r="J156" s="118">
        <f t="shared" si="121"/>
        <v>0.18671328671328688</v>
      </c>
      <c r="K156" s="118">
        <f t="shared" si="122"/>
        <v>0.52279720279720276</v>
      </c>
      <c r="L156" s="118">
        <f t="shared" si="123"/>
        <v>7.4685314685314586E-2</v>
      </c>
      <c r="M156" s="118">
        <f t="shared" si="124"/>
        <v>2.9090909090909261E-2</v>
      </c>
      <c r="N156" s="117">
        <f t="shared" si="118"/>
        <v>0</v>
      </c>
      <c r="O156" s="118">
        <f t="shared" si="90"/>
        <v>0.7</v>
      </c>
      <c r="P156" s="118">
        <f t="shared" si="91"/>
        <v>0.15</v>
      </c>
      <c r="Q156" s="118">
        <f t="shared" si="92"/>
        <v>0.15</v>
      </c>
      <c r="R156" s="118">
        <f t="shared" si="93"/>
        <v>0</v>
      </c>
      <c r="S156" s="205">
        <f t="shared" si="94"/>
        <v>0</v>
      </c>
      <c r="T156" s="118">
        <f t="shared" si="125"/>
        <v>0.41984848484848453</v>
      </c>
      <c r="U156" s="118">
        <f t="shared" si="119"/>
        <v>0</v>
      </c>
      <c r="V156" s="118">
        <f t="shared" si="126"/>
        <v>0.20992424242424226</v>
      </c>
      <c r="W156" s="118">
        <f t="shared" si="127"/>
        <v>0.29636363636363672</v>
      </c>
      <c r="X156" s="118">
        <f t="shared" si="128"/>
        <v>6.1742424242424321E-2</v>
      </c>
      <c r="Y156" s="118">
        <f t="shared" si="129"/>
        <v>1.2121212121212033E-2</v>
      </c>
      <c r="Z156" s="235">
        <f t="shared" si="100"/>
        <v>25416973.49297915</v>
      </c>
      <c r="AA156" s="236">
        <f t="shared" si="101"/>
        <v>0</v>
      </c>
      <c r="AB156" s="236">
        <f t="shared" si="102"/>
        <v>25416973.49297915</v>
      </c>
      <c r="AC156" s="236">
        <f t="shared" si="103"/>
        <v>14233505.15606831</v>
      </c>
      <c r="AD156" s="236">
        <f t="shared" si="104"/>
        <v>2033357.8794383276</v>
      </c>
      <c r="AE156" s="236">
        <f t="shared" si="105"/>
        <v>0</v>
      </c>
      <c r="AF156" s="242">
        <f t="shared" si="80"/>
        <v>67100810.021464936</v>
      </c>
      <c r="AG156" s="235">
        <f t="shared" si="106"/>
        <v>0</v>
      </c>
      <c r="AH156" s="236">
        <f t="shared" si="107"/>
        <v>0</v>
      </c>
      <c r="AI156" s="236">
        <f t="shared" si="108"/>
        <v>6282847.3802869748</v>
      </c>
      <c r="AJ156" s="236">
        <f t="shared" si="109"/>
        <v>1256569.4760573949</v>
      </c>
      <c r="AK156" s="236">
        <f t="shared" si="110"/>
        <v>0</v>
      </c>
      <c r="AL156" s="236">
        <f t="shared" si="111"/>
        <v>0</v>
      </c>
      <c r="AM156" s="242">
        <f t="shared" si="81"/>
        <v>7539416.8563443702</v>
      </c>
      <c r="AN156" s="235">
        <f t="shared" si="112"/>
        <v>71807974.280133381</v>
      </c>
      <c r="AO156" s="236">
        <f t="shared" si="113"/>
        <v>0</v>
      </c>
      <c r="AP156" s="236">
        <f t="shared" si="114"/>
        <v>35903987.140066691</v>
      </c>
      <c r="AQ156" s="236">
        <f t="shared" si="115"/>
        <v>50687981.844800122</v>
      </c>
      <c r="AR156" s="236">
        <f t="shared" si="116"/>
        <v>2111999.2435333389</v>
      </c>
      <c r="AS156" s="236">
        <f t="shared" si="82"/>
        <v>0</v>
      </c>
      <c r="AT156" s="242">
        <f t="shared" si="83"/>
        <v>160511942.50853354</v>
      </c>
      <c r="AU156" s="254">
        <v>0</v>
      </c>
      <c r="AV156" s="246">
        <f t="shared" si="84"/>
        <v>235.15216938634282</v>
      </c>
      <c r="AW156" s="257">
        <f t="shared" si="131"/>
        <v>3.769137637049826</v>
      </c>
    </row>
    <row r="157" spans="1:49">
      <c r="A157" s="193">
        <f>'Input data'!A149</f>
        <v>2049</v>
      </c>
      <c r="B157" s="208">
        <f>'Input data'!B149</f>
        <v>75.134360114565098</v>
      </c>
      <c r="C157" s="417">
        <f>'Recycling - Case 1'!E129</f>
        <v>0.99135757575757533</v>
      </c>
      <c r="D157" s="525">
        <f>'Recycling - Case 1'!F129</f>
        <v>0.36489696969696961</v>
      </c>
      <c r="E157" s="235">
        <f t="shared" si="130"/>
        <v>1169429687.1826501</v>
      </c>
      <c r="F157" s="236">
        <v>0</v>
      </c>
      <c r="G157" s="237">
        <f t="shared" si="78"/>
        <v>1169429687.1826501</v>
      </c>
      <c r="H157" s="118">
        <f t="shared" si="120"/>
        <v>0.18951048951048968</v>
      </c>
      <c r="I157" s="118">
        <f t="shared" si="85"/>
        <v>0</v>
      </c>
      <c r="J157" s="118">
        <f t="shared" si="121"/>
        <v>0.18951048951048968</v>
      </c>
      <c r="K157" s="118">
        <f t="shared" si="122"/>
        <v>0.53062937062937054</v>
      </c>
      <c r="L157" s="118">
        <f t="shared" si="123"/>
        <v>7.5804195804195701E-2</v>
      </c>
      <c r="M157" s="118">
        <f t="shared" si="124"/>
        <v>1.4545454545454715E-2</v>
      </c>
      <c r="N157" s="117">
        <f t="shared" si="118"/>
        <v>0</v>
      </c>
      <c r="O157" s="118">
        <f t="shared" si="90"/>
        <v>0.7</v>
      </c>
      <c r="P157" s="118">
        <f t="shared" si="91"/>
        <v>0.15</v>
      </c>
      <c r="Q157" s="118">
        <f t="shared" si="92"/>
        <v>0.15</v>
      </c>
      <c r="R157" s="118">
        <f t="shared" si="93"/>
        <v>0</v>
      </c>
      <c r="S157" s="205">
        <f t="shared" si="94"/>
        <v>0</v>
      </c>
      <c r="T157" s="118">
        <f t="shared" si="125"/>
        <v>0.42242424242424209</v>
      </c>
      <c r="U157" s="118">
        <f t="shared" si="119"/>
        <v>0</v>
      </c>
      <c r="V157" s="118">
        <f t="shared" si="126"/>
        <v>0.21121212121212105</v>
      </c>
      <c r="W157" s="118">
        <f t="shared" si="127"/>
        <v>0.29818181818181855</v>
      </c>
      <c r="X157" s="118">
        <f t="shared" si="128"/>
        <v>6.2121212121212202E-2</v>
      </c>
      <c r="Y157" s="118">
        <f t="shared" si="129"/>
        <v>6.0606060606059721E-3</v>
      </c>
      <c r="Z157" s="235">
        <f t="shared" si="100"/>
        <v>25929445.518531691</v>
      </c>
      <c r="AA157" s="236">
        <f t="shared" si="101"/>
        <v>0</v>
      </c>
      <c r="AB157" s="236">
        <f t="shared" si="102"/>
        <v>25929445.518531691</v>
      </c>
      <c r="AC157" s="236">
        <f t="shared" si="103"/>
        <v>14520489.490377732</v>
      </c>
      <c r="AD157" s="236">
        <f t="shared" si="104"/>
        <v>2074355.6414825306</v>
      </c>
      <c r="AE157" s="236">
        <f t="shared" si="105"/>
        <v>0</v>
      </c>
      <c r="AF157" s="242">
        <f t="shared" si="80"/>
        <v>68453736.168923646</v>
      </c>
      <c r="AG157" s="235">
        <f t="shared" si="106"/>
        <v>0</v>
      </c>
      <c r="AH157" s="236">
        <f t="shared" si="107"/>
        <v>0</v>
      </c>
      <c r="AI157" s="236">
        <f t="shared" si="108"/>
        <v>6314920.3107863097</v>
      </c>
      <c r="AJ157" s="236">
        <f t="shared" si="109"/>
        <v>1262984.0621572619</v>
      </c>
      <c r="AK157" s="236">
        <f t="shared" si="110"/>
        <v>0</v>
      </c>
      <c r="AL157" s="236">
        <f t="shared" si="111"/>
        <v>0</v>
      </c>
      <c r="AM157" s="242">
        <f t="shared" si="81"/>
        <v>7577904.3729435718</v>
      </c>
      <c r="AN157" s="235">
        <f t="shared" si="112"/>
        <v>72617331.10245277</v>
      </c>
      <c r="AO157" s="236">
        <f t="shared" si="113"/>
        <v>0</v>
      </c>
      <c r="AP157" s="236">
        <f t="shared" si="114"/>
        <v>36308665.551226385</v>
      </c>
      <c r="AQ157" s="236">
        <f t="shared" si="115"/>
        <v>51259292.542907931</v>
      </c>
      <c r="AR157" s="236">
        <f t="shared" si="116"/>
        <v>2135803.8559544971</v>
      </c>
      <c r="AS157" s="236">
        <f t="shared" si="82"/>
        <v>0</v>
      </c>
      <c r="AT157" s="242">
        <f t="shared" si="83"/>
        <v>162321093.05254158</v>
      </c>
      <c r="AU157" s="254">
        <v>0</v>
      </c>
      <c r="AV157" s="246">
        <f t="shared" si="84"/>
        <v>238.35273359440882</v>
      </c>
      <c r="AW157" s="257">
        <f t="shared" si="131"/>
        <v>3.7883784815520856</v>
      </c>
    </row>
    <row r="158" spans="1:49" ht="15.75" thickBot="1">
      <c r="A158" s="195">
        <f>'Input data'!A150</f>
        <v>2050</v>
      </c>
      <c r="B158" s="209">
        <f>'Input data'!B150</f>
        <v>75.517908999999989</v>
      </c>
      <c r="C158" s="651">
        <f>'Recycling - Case 1'!E130</f>
        <v>1</v>
      </c>
      <c r="D158" s="652">
        <f>'Recycling - Case 1'!F130</f>
        <v>0.36725000000000002</v>
      </c>
      <c r="E158" s="238">
        <f>B158*$C$4*($C$7*$C$11+$C$8*$C$10+$C$7*$C$12)*10^6</f>
        <v>1175399438.6043625</v>
      </c>
      <c r="F158" s="239">
        <v>0</v>
      </c>
      <c r="G158" s="240">
        <f t="shared" si="78"/>
        <v>1175399438.6043625</v>
      </c>
      <c r="H158" s="121">
        <f>'Recycling - Case 1'!C45</f>
        <v>0.19230769230769232</v>
      </c>
      <c r="I158" s="121">
        <f>'Recycling - Case 1'!D45</f>
        <v>0</v>
      </c>
      <c r="J158" s="121">
        <f>'Recycling - Case 1'!E45</f>
        <v>0.19230769230769232</v>
      </c>
      <c r="K158" s="121">
        <f>'Recycling - Case 1'!F45</f>
        <v>0.53846153846153855</v>
      </c>
      <c r="L158" s="121">
        <f>'Recycling - Case 1'!G45</f>
        <v>7.6923076923076927E-2</v>
      </c>
      <c r="M158" s="121">
        <f>'Recycling - Case 1'!H45</f>
        <v>0</v>
      </c>
      <c r="N158" s="121">
        <f>'Recycling - Case 1'!J45</f>
        <v>0</v>
      </c>
      <c r="O158" s="121">
        <f>'Recycling - Case 1'!K45</f>
        <v>0.7</v>
      </c>
      <c r="P158" s="121">
        <f>'Recycling - Case 1'!L45</f>
        <v>0.15</v>
      </c>
      <c r="Q158" s="121">
        <f>'Recycling - Case 1'!M45</f>
        <v>0.15</v>
      </c>
      <c r="R158" s="121">
        <f>'Recycling - Case 1'!N45</f>
        <v>0</v>
      </c>
      <c r="S158" s="121">
        <f>'Recycling - Case 1'!O45</f>
        <v>0</v>
      </c>
      <c r="T158" s="121">
        <f>'Recycling - Case 1'!Q45</f>
        <v>0.42500000000000004</v>
      </c>
      <c r="U158" s="121">
        <f>'Recycling - Case 1'!R45</f>
        <v>0</v>
      </c>
      <c r="V158" s="121">
        <f>'Recycling - Case 1'!S45</f>
        <v>0.21250000000000002</v>
      </c>
      <c r="W158" s="121">
        <f>'Recycling - Case 1'!T45</f>
        <v>0.3</v>
      </c>
      <c r="X158" s="121">
        <f>'Recycling - Case 1'!U45</f>
        <v>6.25E-2</v>
      </c>
      <c r="Y158" s="121">
        <f>'Recycling - Case 1'!V45</f>
        <v>0</v>
      </c>
      <c r="Z158" s="238">
        <f t="shared" si="100"/>
        <v>26446487.368598159</v>
      </c>
      <c r="AA158" s="239">
        <f t="shared" si="101"/>
        <v>0</v>
      </c>
      <c r="AB158" s="239">
        <f t="shared" si="102"/>
        <v>26446487.368598159</v>
      </c>
      <c r="AC158" s="239">
        <f t="shared" si="103"/>
        <v>14810032.926414972</v>
      </c>
      <c r="AD158" s="239">
        <f t="shared" si="104"/>
        <v>2115718.9894878524</v>
      </c>
      <c r="AE158" s="239">
        <f t="shared" si="105"/>
        <v>0</v>
      </c>
      <c r="AF158" s="243">
        <f t="shared" si="80"/>
        <v>69818726.653099149</v>
      </c>
      <c r="AG158" s="238">
        <f t="shared" si="106"/>
        <v>0</v>
      </c>
      <c r="AH158" s="239">
        <f t="shared" si="107"/>
        <v>0</v>
      </c>
      <c r="AI158" s="239">
        <f t="shared" si="108"/>
        <v>6347156.9684635568</v>
      </c>
      <c r="AJ158" s="239">
        <f t="shared" si="109"/>
        <v>1269431.3936927111</v>
      </c>
      <c r="AK158" s="239">
        <f t="shared" si="110"/>
        <v>0</v>
      </c>
      <c r="AL158" s="239">
        <f t="shared" si="111"/>
        <v>0</v>
      </c>
      <c r="AM158" s="243">
        <f t="shared" si="81"/>
        <v>7616588.3621562682</v>
      </c>
      <c r="AN158" s="238">
        <f t="shared" si="112"/>
        <v>73433079.926807553</v>
      </c>
      <c r="AO158" s="239">
        <f t="shared" si="113"/>
        <v>0</v>
      </c>
      <c r="AP158" s="239">
        <f t="shared" si="114"/>
        <v>36716539.963403776</v>
      </c>
      <c r="AQ158" s="239">
        <f t="shared" si="115"/>
        <v>51835115.242452383</v>
      </c>
      <c r="AR158" s="239">
        <f t="shared" si="116"/>
        <v>2159796.4684355161</v>
      </c>
      <c r="AS158" s="239">
        <f t="shared" si="82"/>
        <v>0</v>
      </c>
      <c r="AT158" s="243">
        <f t="shared" si="83"/>
        <v>164144531.60109925</v>
      </c>
      <c r="AU158" s="255">
        <v>0</v>
      </c>
      <c r="AV158" s="249">
        <f t="shared" si="84"/>
        <v>241.57984661635467</v>
      </c>
      <c r="AW158" s="258">
        <f t="shared" si="131"/>
        <v>3.8077175474866229</v>
      </c>
    </row>
    <row r="159" spans="1:49" ht="21.75" thickBot="1">
      <c r="A159" s="763" t="s">
        <v>618</v>
      </c>
    </row>
    <row r="160" spans="1:49">
      <c r="A160" s="194">
        <f>'Input data'!A118</f>
        <v>2018</v>
      </c>
      <c r="B160" s="207">
        <f>'Input data'!B118</f>
        <v>57.436000617299655</v>
      </c>
      <c r="C160" s="647">
        <f>'Recycling - Case 2'!E98</f>
        <v>0.73673846153846156</v>
      </c>
      <c r="D160" s="715">
        <f>'Recycling - Case 2'!F98</f>
        <v>0.29557307692307688</v>
      </c>
      <c r="E160" s="961">
        <f>B160*$C$4*($C$7*$C$11+$C$8*$C$10+$C$7*$C$12)*10^6</f>
        <v>893963349.55796838</v>
      </c>
      <c r="F160" s="738">
        <v>0</v>
      </c>
      <c r="G160" s="739">
        <f t="shared" ref="G160:G192" si="132">E160-F160</f>
        <v>893963349.55796838</v>
      </c>
      <c r="H160" s="671">
        <f>($H$172-$H$124)/($A$172-$A$124)+H124</f>
        <v>0.10710059171597634</v>
      </c>
      <c r="I160" s="671">
        <f t="shared" si="85"/>
        <v>0</v>
      </c>
      <c r="J160" s="671">
        <f>($J$172-$J$124)/($A$172-$A$124)+J124</f>
        <v>0.10710059171597634</v>
      </c>
      <c r="K160" s="671">
        <f>($K$172-$K$124)/($A$172-$A$124)+K124</f>
        <v>0.29988165680473378</v>
      </c>
      <c r="L160" s="671">
        <f>($L$172-$L$124)/($A$172-$A$124)+L124</f>
        <v>4.2840236686390532E-2</v>
      </c>
      <c r="M160" s="807">
        <f>($M$172-$M$124)/($A$172-$A$124)+M124</f>
        <v>0.44307692307692303</v>
      </c>
      <c r="N160" s="806">
        <f t="shared" si="118"/>
        <v>0</v>
      </c>
      <c r="O160" s="671">
        <f t="shared" si="90"/>
        <v>0.7</v>
      </c>
      <c r="P160" s="671">
        <f t="shared" si="91"/>
        <v>0.15</v>
      </c>
      <c r="Q160" s="671">
        <f t="shared" si="92"/>
        <v>0.15</v>
      </c>
      <c r="R160" s="671">
        <f t="shared" si="93"/>
        <v>0</v>
      </c>
      <c r="S160" s="807">
        <f t="shared" si="94"/>
        <v>0</v>
      </c>
      <c r="T160" s="806">
        <f>($T$172-$T$124)/($A$172-$A$124)+T124</f>
        <v>0.34653846153846157</v>
      </c>
      <c r="U160" s="671">
        <f t="shared" ref="U160:U171" si="133">$D$16</f>
        <v>0</v>
      </c>
      <c r="V160" s="671">
        <f>($V$172-$V$124)/($A$172-$A$124)+V124</f>
        <v>0.17326923076923079</v>
      </c>
      <c r="W160" s="671">
        <f>($W$172-$W$124)/($A$172-$A$124)+W124</f>
        <v>0.2446153846153846</v>
      </c>
      <c r="X160" s="671">
        <f>($X$172-$X$124)/($A$172-$A$124)+X124</f>
        <v>5.0961538461538461E-2</v>
      </c>
      <c r="Y160" s="807">
        <f>($Y$172-$Y$124)/($A$172-$A$124)+Y124</f>
        <v>0.18461538461538463</v>
      </c>
      <c r="Z160" s="961">
        <f>H160*$C$35*G160*$C$10</f>
        <v>11202048.434076387</v>
      </c>
      <c r="AA160" s="738">
        <f t="shared" ref="AA160:AA192" si="134">I160*$C$36*G160*$C$10</f>
        <v>0</v>
      </c>
      <c r="AB160" s="738">
        <f t="shared" ref="AB160:AB192" si="135">J160*$C$37*G160*$C$10</f>
        <v>11202048.434076387</v>
      </c>
      <c r="AC160" s="738">
        <f t="shared" ref="AC160:AC192" si="136">K160*$C$40*G160*$C$10</f>
        <v>6273147.1230827775</v>
      </c>
      <c r="AD160" s="738">
        <f t="shared" ref="AD160:AD192" si="137">L160*$C$41*G160*$C$10</f>
        <v>896163.87472611107</v>
      </c>
      <c r="AE160" s="738">
        <f t="shared" ref="AE160:AE192" si="138">M160*$C$42*G160*$C$10</f>
        <v>0</v>
      </c>
      <c r="AF160" s="970">
        <f t="shared" ref="AF160:AF192" si="139">SUM(Z160:AE160)</f>
        <v>29573407.865961663</v>
      </c>
      <c r="AG160" s="961">
        <f t="shared" ref="AG160:AG192" si="140">N160*$C$35*G160*$C$11</f>
        <v>0</v>
      </c>
      <c r="AH160" s="738">
        <f t="shared" ref="AH160:AH192" si="141">O160*$C$36*G160*$C$11</f>
        <v>0</v>
      </c>
      <c r="AI160" s="738">
        <f t="shared" ref="AI160:AI192" si="142">P160*$C$37*G160*$C$11</f>
        <v>4827402.0876130285</v>
      </c>
      <c r="AJ160" s="738">
        <f t="shared" ref="AJ160:AJ192" si="143">Q160*$C$38*G160*$C$11</f>
        <v>965480.41752260574</v>
      </c>
      <c r="AK160" s="738">
        <f t="shared" ref="AK160:AK192" si="144">R160*$C$41*G160*$C$11</f>
        <v>0</v>
      </c>
      <c r="AL160" s="738">
        <f t="shared" ref="AL160:AL192" si="145">S160*$C$42*G160*$C$11</f>
        <v>0</v>
      </c>
      <c r="AM160" s="1436">
        <f t="shared" ref="AM160:AM192" si="146">SUM(AG160:AL160)</f>
        <v>5792882.505135634</v>
      </c>
      <c r="AN160" s="961">
        <f t="shared" ref="AN160:AN192" si="147">T160*$C$35*G160*$C$12</f>
        <v>45539524.52265548</v>
      </c>
      <c r="AO160" s="738">
        <f t="shared" ref="AO160:AO192" si="148">U160*$C$36*G160*$C$12</f>
        <v>0</v>
      </c>
      <c r="AP160" s="738">
        <f t="shared" ref="AP160:AP192" si="149">V160*$C$37*G160*$C$12</f>
        <v>22769762.26132774</v>
      </c>
      <c r="AQ160" s="738">
        <f t="shared" ref="AQ160:AQ192" si="150">W160*$C$39*G160*$C$12</f>
        <v>32145546.721874453</v>
      </c>
      <c r="AR160" s="738">
        <f t="shared" ref="AR160:AR192" si="151">X160*$C$41*G160*$C$12</f>
        <v>1339397.7800781021</v>
      </c>
      <c r="AS160" s="738">
        <f t="shared" ref="AS160:AS192" si="152">Y160*$C$42*N160*$C$12</f>
        <v>0</v>
      </c>
      <c r="AT160" s="1436">
        <f t="shared" ref="AT160:AT192" si="153">SUM(AN160:AS160)</f>
        <v>101794231.28593577</v>
      </c>
      <c r="AU160" s="1437">
        <v>0</v>
      </c>
      <c r="AV160" s="1438">
        <f>(AF160+AM160+AT160)/10^6-AU160</f>
        <v>137.16052165703309</v>
      </c>
      <c r="AW160" s="1439">
        <f t="shared" ref="AW160:AW192" si="154">((B160*$C$46*$C$47*$C$48*$C$49)-$C$50)*$C$51*$C$52</f>
        <v>2.8960026873618072</v>
      </c>
    </row>
    <row r="161" spans="1:49">
      <c r="A161" s="193">
        <f>'Input data'!A119</f>
        <v>2019</v>
      </c>
      <c r="B161" s="208">
        <f>'Input data'!B119</f>
        <v>58.364834921819444</v>
      </c>
      <c r="C161" s="417">
        <f>'Recycling - Case 2'!E99</f>
        <v>0.75867692307692314</v>
      </c>
      <c r="D161" s="525">
        <f>'Recycling - Case 2'!F99</f>
        <v>0.3015461538461538</v>
      </c>
      <c r="E161" s="235">
        <f t="shared" ref="E161:E191" si="155">B161*$C$4*($C$7*$C$11+$C$8*$C$10+$C$7*$C$12)*10^6</f>
        <v>908420202.70109534</v>
      </c>
      <c r="F161" s="236">
        <v>0</v>
      </c>
      <c r="G161" s="237">
        <f t="shared" si="132"/>
        <v>908420202.70109534</v>
      </c>
      <c r="H161" s="118">
        <f t="shared" ref="H161:H171" si="156">($H$172-$H$124)/($A$172-$A$124)+H160</f>
        <v>0.11420118343195268</v>
      </c>
      <c r="I161" s="118">
        <f t="shared" si="85"/>
        <v>0</v>
      </c>
      <c r="J161" s="118">
        <f t="shared" ref="J161:J171" si="157">($J$172-$J$124)/($A$172-$A$124)+J160</f>
        <v>0.11420118343195268</v>
      </c>
      <c r="K161" s="118">
        <f t="shared" ref="K161:K171" si="158">($K$172-$K$124)/($A$172-$A$124)+K160</f>
        <v>0.31976331360946753</v>
      </c>
      <c r="L161" s="118">
        <f t="shared" ref="L161:L171" si="159">($L$172-$L$124)/($A$172-$A$124)+L160</f>
        <v>4.5680473372781062E-2</v>
      </c>
      <c r="M161" s="205">
        <f t="shared" ref="M161:M171" si="160">($M$172-$M$124)/($A$172-$A$124)+M160</f>
        <v>0.40615384615384609</v>
      </c>
      <c r="N161" s="117">
        <f t="shared" si="118"/>
        <v>0</v>
      </c>
      <c r="O161" s="118">
        <f t="shared" si="90"/>
        <v>0.7</v>
      </c>
      <c r="P161" s="118">
        <f t="shared" si="91"/>
        <v>0.15</v>
      </c>
      <c r="Q161" s="118">
        <f t="shared" si="92"/>
        <v>0.15</v>
      </c>
      <c r="R161" s="118">
        <f t="shared" si="93"/>
        <v>0</v>
      </c>
      <c r="S161" s="205">
        <f t="shared" si="94"/>
        <v>0</v>
      </c>
      <c r="T161" s="117">
        <f t="shared" ref="T161:T171" si="161">($T$172-$T$124)/($A$172-$A$124)+T160</f>
        <v>0.35307692307692312</v>
      </c>
      <c r="U161" s="118">
        <f t="shared" si="133"/>
        <v>0</v>
      </c>
      <c r="V161" s="118">
        <f t="shared" ref="V161:V171" si="162">($V$172-$V$124)/($A$172-$A$124)+V160</f>
        <v>0.17653846153846156</v>
      </c>
      <c r="W161" s="118">
        <f t="shared" ref="W161:W171" si="163">($W$172-$W$124)/($A$172-$A$124)+W160</f>
        <v>0.2492307692307692</v>
      </c>
      <c r="X161" s="118">
        <f t="shared" ref="X161:X171" si="164">($X$172-$X$124)/($A$172-$A$124)+X160</f>
        <v>5.1923076923076919E-2</v>
      </c>
      <c r="Y161" s="205">
        <f t="shared" ref="Y161:Y171" si="165">($Y$172-$Y$124)/($A$172-$A$124)+Y160</f>
        <v>0.16923076923076924</v>
      </c>
      <c r="Z161" s="235">
        <f t="shared" ref="Z161:Z191" si="166">H161*$C$35*G161*$C$10</f>
        <v>12137891.477629254</v>
      </c>
      <c r="AA161" s="236">
        <f t="shared" si="134"/>
        <v>0</v>
      </c>
      <c r="AB161" s="236">
        <f t="shared" si="135"/>
        <v>12137891.477629254</v>
      </c>
      <c r="AC161" s="236">
        <f t="shared" si="136"/>
        <v>6797219.2274723817</v>
      </c>
      <c r="AD161" s="236">
        <f t="shared" si="137"/>
        <v>971031.3182103401</v>
      </c>
      <c r="AE161" s="236">
        <f t="shared" si="138"/>
        <v>0</v>
      </c>
      <c r="AF161" s="971">
        <f t="shared" si="139"/>
        <v>32044033.500941232</v>
      </c>
      <c r="AG161" s="235">
        <f t="shared" si="140"/>
        <v>0</v>
      </c>
      <c r="AH161" s="236">
        <f t="shared" si="141"/>
        <v>0</v>
      </c>
      <c r="AI161" s="236">
        <f t="shared" si="142"/>
        <v>4905469.0945859142</v>
      </c>
      <c r="AJ161" s="236">
        <f t="shared" si="143"/>
        <v>981093.81891718286</v>
      </c>
      <c r="AK161" s="236">
        <f t="shared" si="144"/>
        <v>0</v>
      </c>
      <c r="AL161" s="236">
        <f t="shared" si="145"/>
        <v>0</v>
      </c>
      <c r="AM161" s="242">
        <f t="shared" si="146"/>
        <v>5886562.9135030974</v>
      </c>
      <c r="AN161" s="235">
        <f t="shared" si="147"/>
        <v>47149104.874500781</v>
      </c>
      <c r="AO161" s="236">
        <f t="shared" si="148"/>
        <v>0</v>
      </c>
      <c r="AP161" s="236">
        <f t="shared" si="149"/>
        <v>23574552.437250391</v>
      </c>
      <c r="AQ161" s="236">
        <f t="shared" si="150"/>
        <v>33281721.087882888</v>
      </c>
      <c r="AR161" s="236">
        <f t="shared" si="151"/>
        <v>1386738.3786617874</v>
      </c>
      <c r="AS161" s="236">
        <f t="shared" si="152"/>
        <v>0</v>
      </c>
      <c r="AT161" s="242">
        <f t="shared" si="153"/>
        <v>105392116.77829584</v>
      </c>
      <c r="AU161" s="254">
        <v>0</v>
      </c>
      <c r="AV161" s="246">
        <f t="shared" ref="AV161:AV192" si="167">(AF161+AM161+AT161)/10^6-AU161</f>
        <v>143.32271319274017</v>
      </c>
      <c r="AW161" s="257">
        <f t="shared" si="154"/>
        <v>2.9428357992270668</v>
      </c>
    </row>
    <row r="162" spans="1:49">
      <c r="A162" s="193">
        <f>'Input data'!A120</f>
        <v>2020</v>
      </c>
      <c r="B162" s="208">
        <f>'Input data'!B120</f>
        <v>59.308690000000006</v>
      </c>
      <c r="C162" s="417">
        <f>'Recycling - Case 2'!E100</f>
        <v>0.78061538461538471</v>
      </c>
      <c r="D162" s="525">
        <f>'Recycling - Case 2'!F100</f>
        <v>0.30751923076923071</v>
      </c>
      <c r="E162" s="235">
        <f t="shared" si="155"/>
        <v>923110846.86362517</v>
      </c>
      <c r="F162" s="236">
        <v>0</v>
      </c>
      <c r="G162" s="237">
        <f t="shared" si="132"/>
        <v>923110846.86362517</v>
      </c>
      <c r="H162" s="118">
        <f t="shared" si="156"/>
        <v>0.12130177514792902</v>
      </c>
      <c r="I162" s="118">
        <f t="shared" si="85"/>
        <v>0</v>
      </c>
      <c r="J162" s="118">
        <f t="shared" si="157"/>
        <v>0.12130177514792902</v>
      </c>
      <c r="K162" s="118">
        <f t="shared" si="158"/>
        <v>0.33964497041420127</v>
      </c>
      <c r="L162" s="118">
        <f t="shared" si="159"/>
        <v>4.8520710059171593E-2</v>
      </c>
      <c r="M162" s="205">
        <f t="shared" si="160"/>
        <v>0.36923076923076914</v>
      </c>
      <c r="N162" s="117">
        <f t="shared" si="118"/>
        <v>0</v>
      </c>
      <c r="O162" s="118">
        <f t="shared" si="90"/>
        <v>0.7</v>
      </c>
      <c r="P162" s="118">
        <f t="shared" si="91"/>
        <v>0.15</v>
      </c>
      <c r="Q162" s="118">
        <f t="shared" si="92"/>
        <v>0.15</v>
      </c>
      <c r="R162" s="118">
        <f t="shared" si="93"/>
        <v>0</v>
      </c>
      <c r="S162" s="205">
        <f t="shared" si="94"/>
        <v>0</v>
      </c>
      <c r="T162" s="117">
        <f t="shared" si="161"/>
        <v>0.35961538461538467</v>
      </c>
      <c r="U162" s="118">
        <f t="shared" si="133"/>
        <v>0</v>
      </c>
      <c r="V162" s="118">
        <f t="shared" si="162"/>
        <v>0.17980769230769234</v>
      </c>
      <c r="W162" s="118">
        <f t="shared" si="163"/>
        <v>0.25384615384615383</v>
      </c>
      <c r="X162" s="118">
        <f t="shared" si="164"/>
        <v>5.2884615384615377E-2</v>
      </c>
      <c r="Y162" s="205">
        <f t="shared" si="165"/>
        <v>0.15384615384615385</v>
      </c>
      <c r="Z162" s="235">
        <f t="shared" si="166"/>
        <v>13101073.172795299</v>
      </c>
      <c r="AA162" s="236">
        <f t="shared" si="134"/>
        <v>0</v>
      </c>
      <c r="AB162" s="236">
        <f t="shared" si="135"/>
        <v>13101073.172795299</v>
      </c>
      <c r="AC162" s="236">
        <f t="shared" si="136"/>
        <v>7336600.9767653672</v>
      </c>
      <c r="AD162" s="236">
        <f t="shared" si="137"/>
        <v>1048085.8538236235</v>
      </c>
      <c r="AE162" s="236">
        <f t="shared" si="138"/>
        <v>0</v>
      </c>
      <c r="AF162" s="971">
        <f t="shared" si="139"/>
        <v>34586833.176179588</v>
      </c>
      <c r="AG162" s="235">
        <f t="shared" si="140"/>
        <v>0</v>
      </c>
      <c r="AH162" s="236">
        <f t="shared" si="141"/>
        <v>0</v>
      </c>
      <c r="AI162" s="236">
        <f t="shared" si="142"/>
        <v>4984798.5730635757</v>
      </c>
      <c r="AJ162" s="236">
        <f t="shared" si="143"/>
        <v>996959.71461271506</v>
      </c>
      <c r="AK162" s="236">
        <f t="shared" si="144"/>
        <v>0</v>
      </c>
      <c r="AL162" s="236">
        <f t="shared" si="145"/>
        <v>0</v>
      </c>
      <c r="AM162" s="242">
        <f t="shared" si="146"/>
        <v>5981758.2876762906</v>
      </c>
      <c r="AN162" s="235">
        <f t="shared" si="147"/>
        <v>48798834.748911917</v>
      </c>
      <c r="AO162" s="236">
        <f t="shared" si="148"/>
        <v>0</v>
      </c>
      <c r="AP162" s="236">
        <f t="shared" si="149"/>
        <v>24399417.374455959</v>
      </c>
      <c r="AQ162" s="236">
        <f t="shared" si="150"/>
        <v>34446236.293349579</v>
      </c>
      <c r="AR162" s="236">
        <f t="shared" si="151"/>
        <v>1435259.8455562324</v>
      </c>
      <c r="AS162" s="236">
        <f t="shared" si="152"/>
        <v>0</v>
      </c>
      <c r="AT162" s="242">
        <f t="shared" si="153"/>
        <v>109079748.26227368</v>
      </c>
      <c r="AU162" s="254">
        <v>0</v>
      </c>
      <c r="AV162" s="246">
        <f t="shared" si="167"/>
        <v>149.64833972612956</v>
      </c>
      <c r="AW162" s="257">
        <f t="shared" si="154"/>
        <v>2.9904262793007734</v>
      </c>
    </row>
    <row r="163" spans="1:49">
      <c r="A163" s="193">
        <f>'Input data'!A121</f>
        <v>2021</v>
      </c>
      <c r="B163" s="208">
        <f>'Input data'!B121</f>
        <v>59.991580449204264</v>
      </c>
      <c r="C163" s="417">
        <f>'Recycling - Case 2'!E101</f>
        <v>0.80255384615384628</v>
      </c>
      <c r="D163" s="525">
        <f>'Recycling - Case 2'!F101</f>
        <v>0.31349230769230763</v>
      </c>
      <c r="E163" s="235">
        <f t="shared" si="155"/>
        <v>933739703.79639542</v>
      </c>
      <c r="F163" s="236">
        <v>0</v>
      </c>
      <c r="G163" s="237">
        <f t="shared" si="132"/>
        <v>933739703.79639542</v>
      </c>
      <c r="H163" s="118">
        <f t="shared" si="156"/>
        <v>0.12840236686390535</v>
      </c>
      <c r="I163" s="118">
        <f t="shared" si="85"/>
        <v>0</v>
      </c>
      <c r="J163" s="118">
        <f t="shared" si="157"/>
        <v>0.12840236686390535</v>
      </c>
      <c r="K163" s="118">
        <f t="shared" si="158"/>
        <v>0.35952662721893502</v>
      </c>
      <c r="L163" s="118">
        <f t="shared" si="159"/>
        <v>5.1360946745562124E-2</v>
      </c>
      <c r="M163" s="205">
        <f t="shared" si="160"/>
        <v>0.33230769230769219</v>
      </c>
      <c r="N163" s="117">
        <f t="shared" si="118"/>
        <v>0</v>
      </c>
      <c r="O163" s="118">
        <f t="shared" si="90"/>
        <v>0.7</v>
      </c>
      <c r="P163" s="118">
        <f t="shared" si="91"/>
        <v>0.15</v>
      </c>
      <c r="Q163" s="118">
        <f t="shared" si="92"/>
        <v>0.15</v>
      </c>
      <c r="R163" s="118">
        <f t="shared" si="93"/>
        <v>0</v>
      </c>
      <c r="S163" s="205">
        <f t="shared" si="94"/>
        <v>0</v>
      </c>
      <c r="T163" s="117">
        <f t="shared" si="161"/>
        <v>0.36615384615384622</v>
      </c>
      <c r="U163" s="118">
        <f t="shared" si="133"/>
        <v>0</v>
      </c>
      <c r="V163" s="118">
        <f t="shared" si="162"/>
        <v>0.18307692307692311</v>
      </c>
      <c r="W163" s="118">
        <f t="shared" si="163"/>
        <v>0.25846153846153846</v>
      </c>
      <c r="X163" s="118">
        <f t="shared" si="164"/>
        <v>5.3846153846153835E-2</v>
      </c>
      <c r="Y163" s="205">
        <f t="shared" si="165"/>
        <v>0.13846153846153847</v>
      </c>
      <c r="Z163" s="235">
        <f t="shared" si="166"/>
        <v>14027643.396264313</v>
      </c>
      <c r="AA163" s="236">
        <f t="shared" si="134"/>
        <v>0</v>
      </c>
      <c r="AB163" s="236">
        <f t="shared" si="135"/>
        <v>14027643.396264313</v>
      </c>
      <c r="AC163" s="236">
        <f t="shared" si="136"/>
        <v>7855480.3019080153</v>
      </c>
      <c r="AD163" s="236">
        <f t="shared" si="137"/>
        <v>1122211.4717011447</v>
      </c>
      <c r="AE163" s="236">
        <f t="shared" si="138"/>
        <v>0</v>
      </c>
      <c r="AF163" s="971">
        <f t="shared" si="139"/>
        <v>37032978.566137783</v>
      </c>
      <c r="AG163" s="235">
        <f t="shared" si="140"/>
        <v>0</v>
      </c>
      <c r="AH163" s="236">
        <f t="shared" si="141"/>
        <v>0</v>
      </c>
      <c r="AI163" s="236">
        <f t="shared" si="142"/>
        <v>5042194.400500535</v>
      </c>
      <c r="AJ163" s="236">
        <f t="shared" si="143"/>
        <v>1008438.8801001071</v>
      </c>
      <c r="AK163" s="236">
        <f t="shared" si="144"/>
        <v>0</v>
      </c>
      <c r="AL163" s="236">
        <f t="shared" si="145"/>
        <v>0</v>
      </c>
      <c r="AM163" s="242">
        <f t="shared" si="146"/>
        <v>6050633.2806006419</v>
      </c>
      <c r="AN163" s="235">
        <f t="shared" si="147"/>
        <v>50258180.426185682</v>
      </c>
      <c r="AO163" s="236">
        <f t="shared" si="148"/>
        <v>0</v>
      </c>
      <c r="AP163" s="236">
        <f t="shared" si="149"/>
        <v>25129090.213092841</v>
      </c>
      <c r="AQ163" s="236">
        <f t="shared" si="150"/>
        <v>35476362.653778128</v>
      </c>
      <c r="AR163" s="236">
        <f t="shared" si="151"/>
        <v>1478181.777240755</v>
      </c>
      <c r="AS163" s="236">
        <f t="shared" si="152"/>
        <v>0</v>
      </c>
      <c r="AT163" s="242">
        <f t="shared" si="153"/>
        <v>112341815.07029742</v>
      </c>
      <c r="AU163" s="254">
        <v>0</v>
      </c>
      <c r="AV163" s="246">
        <f t="shared" si="167"/>
        <v>155.42542691703585</v>
      </c>
      <c r="AW163" s="257">
        <f t="shared" si="154"/>
        <v>3.0248585614028385</v>
      </c>
    </row>
    <row r="164" spans="1:49">
      <c r="A164" s="193">
        <f>'Input data'!A122</f>
        <v>2022</v>
      </c>
      <c r="B164" s="208">
        <f>'Input data'!B122</f>
        <v>60.682333816399378</v>
      </c>
      <c r="C164" s="417">
        <f>'Recycling - Case 2'!E102</f>
        <v>0.82449230769230786</v>
      </c>
      <c r="D164" s="525">
        <f>'Recycling - Case 2'!F102</f>
        <v>0.31946538461538454</v>
      </c>
      <c r="E164" s="235">
        <f t="shared" si="155"/>
        <v>944490943.21452093</v>
      </c>
      <c r="F164" s="236">
        <v>0</v>
      </c>
      <c r="G164" s="237">
        <f t="shared" si="132"/>
        <v>944490943.21452093</v>
      </c>
      <c r="H164" s="118">
        <f t="shared" si="156"/>
        <v>0.13550295857988168</v>
      </c>
      <c r="I164" s="118">
        <f t="shared" si="85"/>
        <v>0</v>
      </c>
      <c r="J164" s="118">
        <f t="shared" si="157"/>
        <v>0.13550295857988168</v>
      </c>
      <c r="K164" s="118">
        <f t="shared" si="158"/>
        <v>0.37940828402366877</v>
      </c>
      <c r="L164" s="118">
        <f t="shared" si="159"/>
        <v>5.4201183431952654E-2</v>
      </c>
      <c r="M164" s="205">
        <f t="shared" si="160"/>
        <v>0.29538461538461525</v>
      </c>
      <c r="N164" s="117">
        <f t="shared" si="118"/>
        <v>0</v>
      </c>
      <c r="O164" s="118">
        <f t="shared" si="90"/>
        <v>0.7</v>
      </c>
      <c r="P164" s="118">
        <f t="shared" si="91"/>
        <v>0.15</v>
      </c>
      <c r="Q164" s="118">
        <f t="shared" si="92"/>
        <v>0.15</v>
      </c>
      <c r="R164" s="118">
        <f t="shared" si="93"/>
        <v>0</v>
      </c>
      <c r="S164" s="205">
        <f t="shared" si="94"/>
        <v>0</v>
      </c>
      <c r="T164" s="117">
        <f t="shared" si="161"/>
        <v>0.37269230769230777</v>
      </c>
      <c r="U164" s="118">
        <f t="shared" si="133"/>
        <v>0</v>
      </c>
      <c r="V164" s="118">
        <f t="shared" si="162"/>
        <v>0.18634615384615388</v>
      </c>
      <c r="W164" s="118">
        <f t="shared" si="163"/>
        <v>0.2630769230769231</v>
      </c>
      <c r="X164" s="118">
        <f t="shared" si="164"/>
        <v>5.4807692307692293E-2</v>
      </c>
      <c r="Y164" s="205">
        <f t="shared" si="165"/>
        <v>0.12307692307692308</v>
      </c>
      <c r="Z164" s="235">
        <f t="shared" si="166"/>
        <v>14973814.107424062</v>
      </c>
      <c r="AA164" s="236">
        <f t="shared" si="134"/>
        <v>0</v>
      </c>
      <c r="AB164" s="236">
        <f t="shared" si="135"/>
        <v>14973814.107424062</v>
      </c>
      <c r="AC164" s="236">
        <f t="shared" si="136"/>
        <v>8385335.9001574758</v>
      </c>
      <c r="AD164" s="236">
        <f t="shared" si="137"/>
        <v>1197905.1285939245</v>
      </c>
      <c r="AE164" s="236">
        <f t="shared" si="138"/>
        <v>0</v>
      </c>
      <c r="AF164" s="971">
        <f t="shared" si="139"/>
        <v>39530869.243599519</v>
      </c>
      <c r="AG164" s="235">
        <f t="shared" si="140"/>
        <v>0</v>
      </c>
      <c r="AH164" s="236">
        <f t="shared" si="141"/>
        <v>0</v>
      </c>
      <c r="AI164" s="236">
        <f t="shared" si="142"/>
        <v>5100251.0933584133</v>
      </c>
      <c r="AJ164" s="236">
        <f t="shared" si="143"/>
        <v>1020050.2186716824</v>
      </c>
      <c r="AK164" s="236">
        <f t="shared" si="144"/>
        <v>0</v>
      </c>
      <c r="AL164" s="236">
        <f t="shared" si="145"/>
        <v>0</v>
      </c>
      <c r="AM164" s="242">
        <f t="shared" si="146"/>
        <v>6120301.3120300956</v>
      </c>
      <c r="AN164" s="235">
        <f t="shared" si="147"/>
        <v>51744662.855502322</v>
      </c>
      <c r="AO164" s="236">
        <f t="shared" si="148"/>
        <v>0</v>
      </c>
      <c r="AP164" s="236">
        <f t="shared" si="149"/>
        <v>25872331.427751161</v>
      </c>
      <c r="AQ164" s="236">
        <f t="shared" si="150"/>
        <v>36525644.368589871</v>
      </c>
      <c r="AR164" s="236">
        <f t="shared" si="151"/>
        <v>1521901.8486912439</v>
      </c>
      <c r="AS164" s="236">
        <f t="shared" si="152"/>
        <v>0</v>
      </c>
      <c r="AT164" s="242">
        <f t="shared" si="153"/>
        <v>115664540.50053461</v>
      </c>
      <c r="AU164" s="254">
        <v>0</v>
      </c>
      <c r="AV164" s="246">
        <f t="shared" si="167"/>
        <v>161.31571105616422</v>
      </c>
      <c r="AW164" s="257">
        <f t="shared" si="154"/>
        <v>3.0596873027184164</v>
      </c>
    </row>
    <row r="165" spans="1:49">
      <c r="A165" s="193">
        <f>'Input data'!A123</f>
        <v>2023</v>
      </c>
      <c r="B165" s="208">
        <f>'Input data'!B123</f>
        <v>61.381040636574369</v>
      </c>
      <c r="C165" s="417">
        <f>'Recycling - Case 2'!E103</f>
        <v>0.84643076923076943</v>
      </c>
      <c r="D165" s="525">
        <f>'Recycling - Case 2'!F103</f>
        <v>0.32543846153846145</v>
      </c>
      <c r="E165" s="235">
        <f t="shared" si="155"/>
        <v>955365974.25096989</v>
      </c>
      <c r="F165" s="236">
        <v>0</v>
      </c>
      <c r="G165" s="237">
        <f t="shared" si="132"/>
        <v>955365974.25096989</v>
      </c>
      <c r="H165" s="118">
        <f t="shared" si="156"/>
        <v>0.142603550295858</v>
      </c>
      <c r="I165" s="118">
        <f t="shared" si="85"/>
        <v>0</v>
      </c>
      <c r="J165" s="118">
        <f t="shared" si="157"/>
        <v>0.142603550295858</v>
      </c>
      <c r="K165" s="118">
        <f t="shared" si="158"/>
        <v>0.39928994082840252</v>
      </c>
      <c r="L165" s="118">
        <f t="shared" si="159"/>
        <v>5.7041420118343185E-2</v>
      </c>
      <c r="M165" s="205">
        <f t="shared" si="160"/>
        <v>0.2584615384615383</v>
      </c>
      <c r="N165" s="117">
        <f t="shared" si="118"/>
        <v>0</v>
      </c>
      <c r="O165" s="118">
        <f t="shared" si="90"/>
        <v>0.7</v>
      </c>
      <c r="P165" s="118">
        <f t="shared" si="91"/>
        <v>0.15</v>
      </c>
      <c r="Q165" s="118">
        <f t="shared" si="92"/>
        <v>0.15</v>
      </c>
      <c r="R165" s="118">
        <f t="shared" si="93"/>
        <v>0</v>
      </c>
      <c r="S165" s="205">
        <f t="shared" si="94"/>
        <v>0</v>
      </c>
      <c r="T165" s="117">
        <f t="shared" si="161"/>
        <v>0.37923076923076932</v>
      </c>
      <c r="U165" s="118">
        <f t="shared" si="133"/>
        <v>0</v>
      </c>
      <c r="V165" s="118">
        <f t="shared" si="162"/>
        <v>0.18961538461538466</v>
      </c>
      <c r="W165" s="118">
        <f t="shared" si="163"/>
        <v>0.26769230769230773</v>
      </c>
      <c r="X165" s="118">
        <f t="shared" si="164"/>
        <v>5.5769230769230752E-2</v>
      </c>
      <c r="Y165" s="205">
        <f t="shared" si="165"/>
        <v>0.1076923076923077</v>
      </c>
      <c r="Z165" s="235">
        <f t="shared" si="166"/>
        <v>15939913.831925798</v>
      </c>
      <c r="AA165" s="236">
        <f t="shared" si="134"/>
        <v>0</v>
      </c>
      <c r="AB165" s="236">
        <f t="shared" si="135"/>
        <v>15939913.831925798</v>
      </c>
      <c r="AC165" s="236">
        <f t="shared" si="136"/>
        <v>8926351.7458784506</v>
      </c>
      <c r="AD165" s="236">
        <f t="shared" si="137"/>
        <v>1275193.1065540635</v>
      </c>
      <c r="AE165" s="236">
        <f t="shared" si="138"/>
        <v>0</v>
      </c>
      <c r="AF165" s="971">
        <f t="shared" si="139"/>
        <v>42081372.516284108</v>
      </c>
      <c r="AG165" s="235">
        <f t="shared" si="140"/>
        <v>0</v>
      </c>
      <c r="AH165" s="236">
        <f t="shared" si="141"/>
        <v>0</v>
      </c>
      <c r="AI165" s="236">
        <f t="shared" si="142"/>
        <v>5158976.2609552369</v>
      </c>
      <c r="AJ165" s="236">
        <f t="shared" si="143"/>
        <v>1031795.2521910473</v>
      </c>
      <c r="AK165" s="236">
        <f t="shared" si="144"/>
        <v>0</v>
      </c>
      <c r="AL165" s="236">
        <f t="shared" si="145"/>
        <v>0</v>
      </c>
      <c r="AM165" s="242">
        <f t="shared" si="146"/>
        <v>6190771.513146284</v>
      </c>
      <c r="AN165" s="235">
        <f t="shared" si="147"/>
        <v>53258713.476878501</v>
      </c>
      <c r="AO165" s="236">
        <f t="shared" si="148"/>
        <v>0</v>
      </c>
      <c r="AP165" s="236">
        <f t="shared" si="149"/>
        <v>26629356.738439251</v>
      </c>
      <c r="AQ165" s="236">
        <f t="shared" si="150"/>
        <v>37594385.983678937</v>
      </c>
      <c r="AR165" s="236">
        <f t="shared" si="151"/>
        <v>1566432.749319955</v>
      </c>
      <c r="AS165" s="236">
        <f t="shared" si="152"/>
        <v>0</v>
      </c>
      <c r="AT165" s="242">
        <f t="shared" si="153"/>
        <v>119048888.94831665</v>
      </c>
      <c r="AU165" s="254">
        <v>0</v>
      </c>
      <c r="AV165" s="246">
        <f t="shared" si="167"/>
        <v>167.32103297774702</v>
      </c>
      <c r="AW165" s="257">
        <f t="shared" si="154"/>
        <v>3.0949170681470224</v>
      </c>
    </row>
    <row r="166" spans="1:49">
      <c r="A166" s="193">
        <f>'Input data'!A124</f>
        <v>2024</v>
      </c>
      <c r="B166" s="208">
        <f>'Input data'!B124</f>
        <v>62.087792487153699</v>
      </c>
      <c r="C166" s="417">
        <f>'Recycling - Case 2'!E104</f>
        <v>0.868369230769231</v>
      </c>
      <c r="D166" s="525">
        <f>'Recycling - Case 2'!F104</f>
        <v>0.33141153846153837</v>
      </c>
      <c r="E166" s="235">
        <f t="shared" si="155"/>
        <v>966366222.26371002</v>
      </c>
      <c r="F166" s="236">
        <v>0</v>
      </c>
      <c r="G166" s="237">
        <f t="shared" si="132"/>
        <v>966366222.26371002</v>
      </c>
      <c r="H166" s="118">
        <f t="shared" si="156"/>
        <v>0.14970414201183432</v>
      </c>
      <c r="I166" s="118">
        <f t="shared" si="85"/>
        <v>0</v>
      </c>
      <c r="J166" s="118">
        <f t="shared" si="157"/>
        <v>0.14970414201183432</v>
      </c>
      <c r="K166" s="118">
        <f t="shared" si="158"/>
        <v>0.41917159763313627</v>
      </c>
      <c r="L166" s="118">
        <f t="shared" si="159"/>
        <v>5.9881656804733716E-2</v>
      </c>
      <c r="M166" s="205">
        <f t="shared" si="160"/>
        <v>0.22153846153846138</v>
      </c>
      <c r="N166" s="117">
        <f t="shared" si="118"/>
        <v>0</v>
      </c>
      <c r="O166" s="118">
        <f t="shared" si="90"/>
        <v>0.7</v>
      </c>
      <c r="P166" s="118">
        <f t="shared" si="91"/>
        <v>0.15</v>
      </c>
      <c r="Q166" s="118">
        <f t="shared" si="92"/>
        <v>0.15</v>
      </c>
      <c r="R166" s="118">
        <f t="shared" si="93"/>
        <v>0</v>
      </c>
      <c r="S166" s="205">
        <f t="shared" si="94"/>
        <v>0</v>
      </c>
      <c r="T166" s="117">
        <f t="shared" si="161"/>
        <v>0.38576923076923086</v>
      </c>
      <c r="U166" s="118">
        <f t="shared" si="133"/>
        <v>0</v>
      </c>
      <c r="V166" s="118">
        <f t="shared" si="162"/>
        <v>0.19288461538461543</v>
      </c>
      <c r="W166" s="118">
        <f t="shared" si="163"/>
        <v>0.27230769230769236</v>
      </c>
      <c r="X166" s="118">
        <f t="shared" si="164"/>
        <v>5.673076923076921E-2</v>
      </c>
      <c r="Y166" s="205">
        <f t="shared" si="165"/>
        <v>9.2307692307692313E-2</v>
      </c>
      <c r="Z166" s="235">
        <f t="shared" si="166"/>
        <v>16926276.062265135</v>
      </c>
      <c r="AA166" s="236">
        <f t="shared" si="134"/>
        <v>0</v>
      </c>
      <c r="AB166" s="236">
        <f t="shared" si="135"/>
        <v>16926276.062265135</v>
      </c>
      <c r="AC166" s="236">
        <f t="shared" si="136"/>
        <v>9478714.5948684812</v>
      </c>
      <c r="AD166" s="236">
        <f t="shared" si="137"/>
        <v>1354102.0849812105</v>
      </c>
      <c r="AE166" s="236">
        <f t="shared" si="138"/>
        <v>0</v>
      </c>
      <c r="AF166" s="971">
        <f t="shared" si="139"/>
        <v>44685368.804379962</v>
      </c>
      <c r="AG166" s="235">
        <f t="shared" si="140"/>
        <v>0</v>
      </c>
      <c r="AH166" s="236">
        <f t="shared" si="141"/>
        <v>0</v>
      </c>
      <c r="AI166" s="236">
        <f t="shared" si="142"/>
        <v>5218377.6002240339</v>
      </c>
      <c r="AJ166" s="236">
        <f t="shared" si="143"/>
        <v>1043675.5200448068</v>
      </c>
      <c r="AK166" s="236">
        <f t="shared" si="144"/>
        <v>0</v>
      </c>
      <c r="AL166" s="236">
        <f t="shared" si="145"/>
        <v>0</v>
      </c>
      <c r="AM166" s="242">
        <f t="shared" si="146"/>
        <v>6262053.1202688403</v>
      </c>
      <c r="AN166" s="235">
        <f t="shared" si="147"/>
        <v>54800770.06799373</v>
      </c>
      <c r="AO166" s="236">
        <f t="shared" si="148"/>
        <v>0</v>
      </c>
      <c r="AP166" s="236">
        <f t="shared" si="149"/>
        <v>27400385.033996865</v>
      </c>
      <c r="AQ166" s="236">
        <f t="shared" si="150"/>
        <v>38682896.518583804</v>
      </c>
      <c r="AR166" s="236">
        <f t="shared" si="151"/>
        <v>1611787.3549409909</v>
      </c>
      <c r="AS166" s="236">
        <f t="shared" si="152"/>
        <v>0</v>
      </c>
      <c r="AT166" s="242">
        <f t="shared" si="153"/>
        <v>122495838.9755154</v>
      </c>
      <c r="AU166" s="254">
        <v>0</v>
      </c>
      <c r="AV166" s="246">
        <f t="shared" si="167"/>
        <v>173.44326090016418</v>
      </c>
      <c r="AW166" s="257">
        <f t="shared" si="154"/>
        <v>3.1305524751492158</v>
      </c>
    </row>
    <row r="167" spans="1:49">
      <c r="A167" s="193">
        <f>'Input data'!A125</f>
        <v>2025</v>
      </c>
      <c r="B167" s="208">
        <f>'Input data'!B125</f>
        <v>62.802682000000026</v>
      </c>
      <c r="C167" s="417">
        <f>'Recycling - Case 2'!E105</f>
        <v>0.89030769230769258</v>
      </c>
      <c r="D167" s="525">
        <f>'Recycling - Case 2'!F105</f>
        <v>0.33738461538461528</v>
      </c>
      <c r="E167" s="235">
        <f t="shared" si="155"/>
        <v>977493129.02252555</v>
      </c>
      <c r="F167" s="236">
        <v>0</v>
      </c>
      <c r="G167" s="237">
        <f t="shared" si="132"/>
        <v>977493129.02252555</v>
      </c>
      <c r="H167" s="118">
        <f t="shared" si="156"/>
        <v>0.15680473372781065</v>
      </c>
      <c r="I167" s="118">
        <f t="shared" si="85"/>
        <v>0</v>
      </c>
      <c r="J167" s="118">
        <f t="shared" si="157"/>
        <v>0.15680473372781065</v>
      </c>
      <c r="K167" s="118">
        <f t="shared" si="158"/>
        <v>0.43905325443787002</v>
      </c>
      <c r="L167" s="118">
        <f t="shared" si="159"/>
        <v>6.2721893491124253E-2</v>
      </c>
      <c r="M167" s="205">
        <f t="shared" si="160"/>
        <v>0.18461538461538446</v>
      </c>
      <c r="N167" s="117">
        <f t="shared" si="118"/>
        <v>0</v>
      </c>
      <c r="O167" s="118">
        <f t="shared" si="90"/>
        <v>0.7</v>
      </c>
      <c r="P167" s="118">
        <f t="shared" si="91"/>
        <v>0.15</v>
      </c>
      <c r="Q167" s="118">
        <f t="shared" si="92"/>
        <v>0.15</v>
      </c>
      <c r="R167" s="118">
        <f t="shared" si="93"/>
        <v>0</v>
      </c>
      <c r="S167" s="205">
        <f t="shared" si="94"/>
        <v>0</v>
      </c>
      <c r="T167" s="117">
        <f t="shared" si="161"/>
        <v>0.39230769230769241</v>
      </c>
      <c r="U167" s="118">
        <f t="shared" si="133"/>
        <v>0</v>
      </c>
      <c r="V167" s="118">
        <f t="shared" si="162"/>
        <v>0.19615384615384621</v>
      </c>
      <c r="W167" s="118">
        <f t="shared" si="163"/>
        <v>0.27692307692307699</v>
      </c>
      <c r="X167" s="118">
        <f t="shared" si="164"/>
        <v>5.7692307692307668E-2</v>
      </c>
      <c r="Y167" s="205">
        <f t="shared" si="165"/>
        <v>7.6923076923076927E-2</v>
      </c>
      <c r="Z167" s="235">
        <f t="shared" si="166"/>
        <v>17933239.328605562</v>
      </c>
      <c r="AA167" s="236">
        <f t="shared" si="134"/>
        <v>0</v>
      </c>
      <c r="AB167" s="236">
        <f t="shared" si="135"/>
        <v>17933239.328605562</v>
      </c>
      <c r="AC167" s="236">
        <f t="shared" si="136"/>
        <v>10042614.024019122</v>
      </c>
      <c r="AD167" s="236">
        <f t="shared" si="137"/>
        <v>1434659.146288445</v>
      </c>
      <c r="AE167" s="236">
        <f t="shared" si="138"/>
        <v>0</v>
      </c>
      <c r="AF167" s="971">
        <f t="shared" si="139"/>
        <v>47343751.827518694</v>
      </c>
      <c r="AG167" s="235">
        <f t="shared" si="140"/>
        <v>0</v>
      </c>
      <c r="AH167" s="236">
        <f t="shared" si="141"/>
        <v>0</v>
      </c>
      <c r="AI167" s="236">
        <f t="shared" si="142"/>
        <v>5278462.8967216378</v>
      </c>
      <c r="AJ167" s="236">
        <f t="shared" si="143"/>
        <v>1055692.5793443273</v>
      </c>
      <c r="AK167" s="236">
        <f t="shared" si="144"/>
        <v>0</v>
      </c>
      <c r="AL167" s="236">
        <f t="shared" si="145"/>
        <v>0</v>
      </c>
      <c r="AM167" s="242">
        <f t="shared" si="146"/>
        <v>6334155.4760659654</v>
      </c>
      <c r="AN167" s="235">
        <f t="shared" si="147"/>
        <v>56371276.832937509</v>
      </c>
      <c r="AO167" s="236">
        <f t="shared" si="148"/>
        <v>0</v>
      </c>
      <c r="AP167" s="236">
        <f t="shared" si="149"/>
        <v>28185638.416468754</v>
      </c>
      <c r="AQ167" s="236">
        <f t="shared" si="150"/>
        <v>39791489.529132359</v>
      </c>
      <c r="AR167" s="236">
        <f t="shared" si="151"/>
        <v>1657978.7303805137</v>
      </c>
      <c r="AS167" s="236">
        <f t="shared" si="152"/>
        <v>0</v>
      </c>
      <c r="AT167" s="242">
        <f t="shared" si="153"/>
        <v>126006383.50891913</v>
      </c>
      <c r="AU167" s="254">
        <v>0</v>
      </c>
      <c r="AV167" s="246">
        <f t="shared" si="167"/>
        <v>179.68429081250378</v>
      </c>
      <c r="AW167" s="257">
        <f t="shared" si="154"/>
        <v>3.166598194351784</v>
      </c>
    </row>
    <row r="168" spans="1:49">
      <c r="A168" s="193">
        <f>'Input data'!A126</f>
        <v>2026</v>
      </c>
      <c r="B168" s="208">
        <f>'Input data'!B126</f>
        <v>63.421065342005143</v>
      </c>
      <c r="C168" s="417">
        <f>'Recycling - Case 2'!E106</f>
        <v>0.91224615384615415</v>
      </c>
      <c r="D168" s="525">
        <f>'Recycling - Case 2'!F106</f>
        <v>0.3433576923076922</v>
      </c>
      <c r="E168" s="235">
        <f t="shared" si="155"/>
        <v>987117964.27895594</v>
      </c>
      <c r="F168" s="236">
        <v>0</v>
      </c>
      <c r="G168" s="237">
        <f t="shared" si="132"/>
        <v>987117964.27895594</v>
      </c>
      <c r="H168" s="118">
        <f t="shared" si="156"/>
        <v>0.16390532544378697</v>
      </c>
      <c r="I168" s="118">
        <f t="shared" si="85"/>
        <v>0</v>
      </c>
      <c r="J168" s="118">
        <f t="shared" si="157"/>
        <v>0.16390532544378697</v>
      </c>
      <c r="K168" s="118">
        <f t="shared" si="158"/>
        <v>0.45893491124260377</v>
      </c>
      <c r="L168" s="118">
        <f t="shared" si="159"/>
        <v>6.5562130177514791E-2</v>
      </c>
      <c r="M168" s="205">
        <f t="shared" si="160"/>
        <v>0.14769230769230754</v>
      </c>
      <c r="N168" s="117">
        <f t="shared" si="118"/>
        <v>0</v>
      </c>
      <c r="O168" s="118">
        <f t="shared" si="90"/>
        <v>0.7</v>
      </c>
      <c r="P168" s="118">
        <f t="shared" si="91"/>
        <v>0.15</v>
      </c>
      <c r="Q168" s="118">
        <f t="shared" si="92"/>
        <v>0.15</v>
      </c>
      <c r="R168" s="118">
        <f t="shared" si="93"/>
        <v>0</v>
      </c>
      <c r="S168" s="205">
        <f t="shared" si="94"/>
        <v>0</v>
      </c>
      <c r="T168" s="117">
        <f t="shared" si="161"/>
        <v>0.39884615384615396</v>
      </c>
      <c r="U168" s="118">
        <f t="shared" si="133"/>
        <v>0</v>
      </c>
      <c r="V168" s="118">
        <f t="shared" si="162"/>
        <v>0.19942307692307698</v>
      </c>
      <c r="W168" s="118">
        <f t="shared" si="163"/>
        <v>0.28153846153846163</v>
      </c>
      <c r="X168" s="118">
        <f t="shared" si="164"/>
        <v>5.8653846153846126E-2</v>
      </c>
      <c r="Y168" s="205">
        <f t="shared" si="165"/>
        <v>6.1538461538461542E-2</v>
      </c>
      <c r="Z168" s="235">
        <f t="shared" si="166"/>
        <v>18929885.26882644</v>
      </c>
      <c r="AA168" s="236">
        <f t="shared" si="134"/>
        <v>0</v>
      </c>
      <c r="AB168" s="236">
        <f t="shared" si="135"/>
        <v>18929885.26882644</v>
      </c>
      <c r="AC168" s="236">
        <f t="shared" si="136"/>
        <v>10600735.750542812</v>
      </c>
      <c r="AD168" s="236">
        <f t="shared" si="137"/>
        <v>1514390.8215061149</v>
      </c>
      <c r="AE168" s="236">
        <f t="shared" si="138"/>
        <v>0</v>
      </c>
      <c r="AF168" s="971">
        <f t="shared" si="139"/>
        <v>49974897.109701805</v>
      </c>
      <c r="AG168" s="235">
        <f t="shared" si="140"/>
        <v>0</v>
      </c>
      <c r="AH168" s="236">
        <f t="shared" si="141"/>
        <v>0</v>
      </c>
      <c r="AI168" s="236">
        <f t="shared" si="142"/>
        <v>5330437.0071063619</v>
      </c>
      <c r="AJ168" s="236">
        <f t="shared" si="143"/>
        <v>1066087.4014212722</v>
      </c>
      <c r="AK168" s="236">
        <f t="shared" si="144"/>
        <v>0</v>
      </c>
      <c r="AL168" s="236">
        <f t="shared" si="145"/>
        <v>0</v>
      </c>
      <c r="AM168" s="242">
        <f t="shared" si="146"/>
        <v>6396524.4085276341</v>
      </c>
      <c r="AN168" s="235">
        <f t="shared" si="147"/>
        <v>57875105.906430691</v>
      </c>
      <c r="AO168" s="236">
        <f t="shared" si="148"/>
        <v>0</v>
      </c>
      <c r="AP168" s="236">
        <f t="shared" si="149"/>
        <v>28937552.953215346</v>
      </c>
      <c r="AQ168" s="236">
        <f t="shared" si="150"/>
        <v>40853015.93395108</v>
      </c>
      <c r="AR168" s="236">
        <f t="shared" si="151"/>
        <v>1702208.9972479602</v>
      </c>
      <c r="AS168" s="236">
        <f t="shared" si="152"/>
        <v>0</v>
      </c>
      <c r="AT168" s="242">
        <f t="shared" si="153"/>
        <v>129367883.79084508</v>
      </c>
      <c r="AU168" s="254">
        <v>0</v>
      </c>
      <c r="AV168" s="246">
        <f t="shared" si="167"/>
        <v>185.73930530907452</v>
      </c>
      <c r="AW168" s="257">
        <f t="shared" si="154"/>
        <v>3.1977779387807019</v>
      </c>
    </row>
    <row r="169" spans="1:49">
      <c r="A169" s="193">
        <f>'Input data'!A127</f>
        <v>2027</v>
      </c>
      <c r="B169" s="208">
        <f>'Input data'!B127</f>
        <v>64.045537563425796</v>
      </c>
      <c r="C169" s="417">
        <f>'Recycling - Case 2'!E107</f>
        <v>0.93418461538461572</v>
      </c>
      <c r="D169" s="525">
        <f>'Recycling - Case 2'!F107</f>
        <v>0.34933076923076911</v>
      </c>
      <c r="E169" s="235">
        <f t="shared" si="155"/>
        <v>996837569.97516036</v>
      </c>
      <c r="F169" s="236">
        <v>0</v>
      </c>
      <c r="G169" s="237">
        <f t="shared" si="132"/>
        <v>996837569.97516036</v>
      </c>
      <c r="H169" s="118">
        <f t="shared" si="156"/>
        <v>0.17100591715976329</v>
      </c>
      <c r="I169" s="118">
        <f t="shared" si="85"/>
        <v>0</v>
      </c>
      <c r="J169" s="118">
        <f t="shared" si="157"/>
        <v>0.17100591715976329</v>
      </c>
      <c r="K169" s="118">
        <f t="shared" si="158"/>
        <v>0.47881656804733752</v>
      </c>
      <c r="L169" s="118">
        <f t="shared" si="159"/>
        <v>6.8402366863905328E-2</v>
      </c>
      <c r="M169" s="205">
        <f t="shared" si="160"/>
        <v>0.11076923076923062</v>
      </c>
      <c r="N169" s="117">
        <f t="shared" si="118"/>
        <v>0</v>
      </c>
      <c r="O169" s="118">
        <f t="shared" si="90"/>
        <v>0.7</v>
      </c>
      <c r="P169" s="118">
        <f t="shared" si="91"/>
        <v>0.15</v>
      </c>
      <c r="Q169" s="118">
        <f t="shared" si="92"/>
        <v>0.15</v>
      </c>
      <c r="R169" s="118">
        <f t="shared" si="93"/>
        <v>0</v>
      </c>
      <c r="S169" s="205">
        <f t="shared" si="94"/>
        <v>0</v>
      </c>
      <c r="T169" s="117">
        <f t="shared" si="161"/>
        <v>0.40538461538461551</v>
      </c>
      <c r="U169" s="118">
        <f t="shared" si="133"/>
        <v>0</v>
      </c>
      <c r="V169" s="118">
        <f t="shared" si="162"/>
        <v>0.20269230769230775</v>
      </c>
      <c r="W169" s="118">
        <f t="shared" si="163"/>
        <v>0.28615384615384626</v>
      </c>
      <c r="X169" s="118">
        <f t="shared" si="164"/>
        <v>5.9615384615384584E-2</v>
      </c>
      <c r="Y169" s="205">
        <f t="shared" si="165"/>
        <v>4.6153846153846156E-2</v>
      </c>
      <c r="Z169" s="235">
        <f t="shared" si="166"/>
        <v>19944419.380810708</v>
      </c>
      <c r="AA169" s="236">
        <f t="shared" si="134"/>
        <v>0</v>
      </c>
      <c r="AB169" s="236">
        <f t="shared" si="135"/>
        <v>19944419.380810708</v>
      </c>
      <c r="AC169" s="236">
        <f t="shared" si="136"/>
        <v>11168874.853254002</v>
      </c>
      <c r="AD169" s="236">
        <f t="shared" si="137"/>
        <v>1595553.5504648569</v>
      </c>
      <c r="AE169" s="236">
        <f t="shared" si="138"/>
        <v>0</v>
      </c>
      <c r="AF169" s="971">
        <f t="shared" si="139"/>
        <v>52653267.165340275</v>
      </c>
      <c r="AG169" s="235">
        <f t="shared" si="140"/>
        <v>0</v>
      </c>
      <c r="AH169" s="236">
        <f t="shared" si="141"/>
        <v>0</v>
      </c>
      <c r="AI169" s="236">
        <f t="shared" si="142"/>
        <v>5382922.8778658658</v>
      </c>
      <c r="AJ169" s="236">
        <f t="shared" si="143"/>
        <v>1076584.5755731731</v>
      </c>
      <c r="AK169" s="236">
        <f t="shared" si="144"/>
        <v>0</v>
      </c>
      <c r="AL169" s="236">
        <f t="shared" si="145"/>
        <v>0</v>
      </c>
      <c r="AM169" s="242">
        <f t="shared" si="146"/>
        <v>6459507.4534390392</v>
      </c>
      <c r="AN169" s="235">
        <f t="shared" si="147"/>
        <v>59403084.391081326</v>
      </c>
      <c r="AO169" s="236">
        <f t="shared" si="148"/>
        <v>0</v>
      </c>
      <c r="AP169" s="236">
        <f t="shared" si="149"/>
        <v>29701542.195540663</v>
      </c>
      <c r="AQ169" s="236">
        <f t="shared" si="150"/>
        <v>41931588.981939763</v>
      </c>
      <c r="AR169" s="236">
        <f t="shared" si="151"/>
        <v>1747149.5409141548</v>
      </c>
      <c r="AS169" s="236">
        <f t="shared" si="152"/>
        <v>0</v>
      </c>
      <c r="AT169" s="242">
        <f t="shared" si="153"/>
        <v>132783365.1094759</v>
      </c>
      <c r="AU169" s="254">
        <v>0</v>
      </c>
      <c r="AV169" s="246">
        <f t="shared" si="167"/>
        <v>191.89613972825521</v>
      </c>
      <c r="AW169" s="257">
        <f t="shared" si="154"/>
        <v>3.2292646929415123</v>
      </c>
    </row>
    <row r="170" spans="1:49">
      <c r="A170" s="193">
        <f>'Input data'!A128</f>
        <v>2028</v>
      </c>
      <c r="B170" s="208">
        <f>'Input data'!B128</f>
        <v>64.676158618096451</v>
      </c>
      <c r="C170" s="417">
        <f>'Recycling - Case 2'!E108</f>
        <v>0.9561230769230773</v>
      </c>
      <c r="D170" s="525">
        <f>'Recycling - Case 2'!F108</f>
        <v>0.35530384615384603</v>
      </c>
      <c r="E170" s="235">
        <f t="shared" si="155"/>
        <v>1006652879.2633451</v>
      </c>
      <c r="F170" s="236">
        <v>0</v>
      </c>
      <c r="G170" s="237">
        <f t="shared" si="132"/>
        <v>1006652879.2633451</v>
      </c>
      <c r="H170" s="118">
        <f t="shared" si="156"/>
        <v>0.17810650887573962</v>
      </c>
      <c r="I170" s="118">
        <f t="shared" si="85"/>
        <v>0</v>
      </c>
      <c r="J170" s="118">
        <f t="shared" si="157"/>
        <v>0.17810650887573962</v>
      </c>
      <c r="K170" s="118">
        <f t="shared" si="158"/>
        <v>0.49869822485207127</v>
      </c>
      <c r="L170" s="118">
        <f t="shared" si="159"/>
        <v>7.1242603550295866E-2</v>
      </c>
      <c r="M170" s="205">
        <f t="shared" si="160"/>
        <v>7.38461538461537E-2</v>
      </c>
      <c r="N170" s="117">
        <f t="shared" si="118"/>
        <v>0</v>
      </c>
      <c r="O170" s="118">
        <f t="shared" si="90"/>
        <v>0.7</v>
      </c>
      <c r="P170" s="118">
        <f t="shared" si="91"/>
        <v>0.15</v>
      </c>
      <c r="Q170" s="118">
        <f t="shared" si="92"/>
        <v>0.15</v>
      </c>
      <c r="R170" s="118">
        <f t="shared" si="93"/>
        <v>0</v>
      </c>
      <c r="S170" s="205">
        <f t="shared" si="94"/>
        <v>0</v>
      </c>
      <c r="T170" s="117">
        <f t="shared" si="161"/>
        <v>0.41192307692307706</v>
      </c>
      <c r="U170" s="118">
        <f t="shared" si="133"/>
        <v>0</v>
      </c>
      <c r="V170" s="118">
        <f t="shared" si="162"/>
        <v>0.20596153846153853</v>
      </c>
      <c r="W170" s="118">
        <f t="shared" si="163"/>
        <v>0.29076923076923089</v>
      </c>
      <c r="X170" s="118">
        <f t="shared" si="164"/>
        <v>6.0576923076923042E-2</v>
      </c>
      <c r="Y170" s="205">
        <f t="shared" si="165"/>
        <v>3.0769230769230771E-2</v>
      </c>
      <c r="Z170" s="235">
        <f t="shared" si="166"/>
        <v>20977097.307110783</v>
      </c>
      <c r="AA170" s="236">
        <f t="shared" si="134"/>
        <v>0</v>
      </c>
      <c r="AB170" s="236">
        <f t="shared" si="135"/>
        <v>20977097.307110783</v>
      </c>
      <c r="AC170" s="236">
        <f t="shared" si="136"/>
        <v>11747174.491982045</v>
      </c>
      <c r="AD170" s="236">
        <f t="shared" si="137"/>
        <v>1678167.7845688628</v>
      </c>
      <c r="AE170" s="236">
        <f t="shared" si="138"/>
        <v>0</v>
      </c>
      <c r="AF170" s="971">
        <f t="shared" si="139"/>
        <v>55379536.890772469</v>
      </c>
      <c r="AG170" s="235">
        <f t="shared" si="140"/>
        <v>0</v>
      </c>
      <c r="AH170" s="236">
        <f t="shared" si="141"/>
        <v>0</v>
      </c>
      <c r="AI170" s="236">
        <f t="shared" si="142"/>
        <v>5435925.5480220634</v>
      </c>
      <c r="AJ170" s="236">
        <f t="shared" si="143"/>
        <v>1087185.1096044125</v>
      </c>
      <c r="AK170" s="236">
        <f t="shared" si="144"/>
        <v>0</v>
      </c>
      <c r="AL170" s="236">
        <f t="shared" si="145"/>
        <v>0</v>
      </c>
      <c r="AM170" s="242">
        <f t="shared" si="146"/>
        <v>6523110.6576264761</v>
      </c>
      <c r="AN170" s="235">
        <f t="shared" si="147"/>
        <v>60955542.058685884</v>
      </c>
      <c r="AO170" s="236">
        <f t="shared" si="148"/>
        <v>0</v>
      </c>
      <c r="AP170" s="236">
        <f t="shared" si="149"/>
        <v>30477771.029342942</v>
      </c>
      <c r="AQ170" s="236">
        <f t="shared" si="150"/>
        <v>43027441.453190044</v>
      </c>
      <c r="AR170" s="236">
        <f t="shared" si="151"/>
        <v>1792810.0605495835</v>
      </c>
      <c r="AS170" s="236">
        <f t="shared" si="152"/>
        <v>0</v>
      </c>
      <c r="AT170" s="242">
        <f t="shared" si="153"/>
        <v>136253564.60176846</v>
      </c>
      <c r="AU170" s="254">
        <v>0</v>
      </c>
      <c r="AV170" s="246">
        <f t="shared" si="167"/>
        <v>198.15621215016739</v>
      </c>
      <c r="AW170" s="257">
        <f t="shared" si="154"/>
        <v>3.2610614797895683</v>
      </c>
    </row>
    <row r="171" spans="1:49">
      <c r="A171" s="193">
        <f>'Input data'!A129</f>
        <v>2029</v>
      </c>
      <c r="B171" s="208">
        <f>'Input data'!B129</f>
        <v>65.31298905018393</v>
      </c>
      <c r="C171" s="417">
        <f>'Recycling - Case 2'!E109</f>
        <v>0.97806153846153887</v>
      </c>
      <c r="D171" s="525">
        <f>'Recycling - Case 2'!F109</f>
        <v>0.36127692307692294</v>
      </c>
      <c r="E171" s="235">
        <f t="shared" si="155"/>
        <v>1016564834.483951</v>
      </c>
      <c r="F171" s="236">
        <v>0</v>
      </c>
      <c r="G171" s="237">
        <f t="shared" si="132"/>
        <v>1016564834.483951</v>
      </c>
      <c r="H171" s="118">
        <f t="shared" si="156"/>
        <v>0.18520710059171594</v>
      </c>
      <c r="I171" s="118">
        <f t="shared" si="85"/>
        <v>0</v>
      </c>
      <c r="J171" s="118">
        <f t="shared" si="157"/>
        <v>0.18520710059171594</v>
      </c>
      <c r="K171" s="118">
        <f t="shared" si="158"/>
        <v>0.51857988165680502</v>
      </c>
      <c r="L171" s="118">
        <f t="shared" si="159"/>
        <v>7.4082840236686404E-2</v>
      </c>
      <c r="M171" s="205">
        <f t="shared" si="160"/>
        <v>3.6923076923076781E-2</v>
      </c>
      <c r="N171" s="117">
        <f t="shared" si="118"/>
        <v>0</v>
      </c>
      <c r="O171" s="118">
        <f t="shared" si="90"/>
        <v>0.7</v>
      </c>
      <c r="P171" s="118">
        <f t="shared" si="91"/>
        <v>0.15</v>
      </c>
      <c r="Q171" s="118">
        <f t="shared" si="92"/>
        <v>0.15</v>
      </c>
      <c r="R171" s="118">
        <f t="shared" si="93"/>
        <v>0</v>
      </c>
      <c r="S171" s="205">
        <f t="shared" si="94"/>
        <v>0</v>
      </c>
      <c r="T171" s="117">
        <f t="shared" si="161"/>
        <v>0.41846153846153861</v>
      </c>
      <c r="U171" s="118">
        <f t="shared" si="133"/>
        <v>0</v>
      </c>
      <c r="V171" s="118">
        <f t="shared" si="162"/>
        <v>0.2092307692307693</v>
      </c>
      <c r="W171" s="118">
        <f t="shared" si="163"/>
        <v>0.29538461538461552</v>
      </c>
      <c r="X171" s="118">
        <f t="shared" si="164"/>
        <v>6.15384615384615E-2</v>
      </c>
      <c r="Y171" s="205">
        <f t="shared" si="165"/>
        <v>1.5384615384615385E-2</v>
      </c>
      <c r="Z171" s="235">
        <f t="shared" si="166"/>
        <v>22028177.990317609</v>
      </c>
      <c r="AA171" s="236">
        <f t="shared" si="134"/>
        <v>0</v>
      </c>
      <c r="AB171" s="236">
        <f t="shared" si="135"/>
        <v>22028177.990317609</v>
      </c>
      <c r="AC171" s="236">
        <f t="shared" si="136"/>
        <v>12335779.674577871</v>
      </c>
      <c r="AD171" s="236">
        <f t="shared" si="137"/>
        <v>1762254.2392254095</v>
      </c>
      <c r="AE171" s="236">
        <f t="shared" si="138"/>
        <v>0</v>
      </c>
      <c r="AF171" s="971">
        <f t="shared" si="139"/>
        <v>58154389.894438498</v>
      </c>
      <c r="AG171" s="235">
        <f t="shared" si="140"/>
        <v>0</v>
      </c>
      <c r="AH171" s="236">
        <f t="shared" si="141"/>
        <v>0</v>
      </c>
      <c r="AI171" s="236">
        <f t="shared" si="142"/>
        <v>5489450.1062133349</v>
      </c>
      <c r="AJ171" s="236">
        <f t="shared" si="143"/>
        <v>1097890.021242667</v>
      </c>
      <c r="AK171" s="236">
        <f t="shared" si="144"/>
        <v>0</v>
      </c>
      <c r="AL171" s="236">
        <f t="shared" si="145"/>
        <v>0</v>
      </c>
      <c r="AM171" s="242">
        <f t="shared" si="146"/>
        <v>6587340.1274560019</v>
      </c>
      <c r="AN171" s="235">
        <f t="shared" si="147"/>
        <v>62532812.83385586</v>
      </c>
      <c r="AO171" s="236">
        <f t="shared" si="148"/>
        <v>0</v>
      </c>
      <c r="AP171" s="236">
        <f t="shared" si="149"/>
        <v>31266406.41692793</v>
      </c>
      <c r="AQ171" s="236">
        <f t="shared" si="150"/>
        <v>44140809.059192374</v>
      </c>
      <c r="AR171" s="236">
        <f t="shared" si="151"/>
        <v>1839200.3774663471</v>
      </c>
      <c r="AS171" s="236">
        <f t="shared" si="152"/>
        <v>0</v>
      </c>
      <c r="AT171" s="242">
        <f t="shared" si="153"/>
        <v>139779228.68744251</v>
      </c>
      <c r="AU171" s="254">
        <v>0</v>
      </c>
      <c r="AV171" s="246">
        <f t="shared" si="167"/>
        <v>204.52095870933701</v>
      </c>
      <c r="AW171" s="257">
        <f t="shared" si="154"/>
        <v>3.2931713520456056</v>
      </c>
    </row>
    <row r="172" spans="1:49" s="1" customFormat="1">
      <c r="A172" s="123">
        <f>'Input data'!A130</f>
        <v>2030</v>
      </c>
      <c r="B172" s="208">
        <f>'Input data'!B130</f>
        <v>65.956090000000003</v>
      </c>
      <c r="C172" s="417">
        <f>'Recycling - Case 2'!E110</f>
        <v>1</v>
      </c>
      <c r="D172" s="525">
        <f>'Recycling - Case 2'!F110</f>
        <v>0.36725000000000002</v>
      </c>
      <c r="E172" s="766">
        <f t="shared" si="155"/>
        <v>1026574387.2561252</v>
      </c>
      <c r="F172" s="526">
        <v>0</v>
      </c>
      <c r="G172" s="663">
        <f t="shared" si="132"/>
        <v>1026574387.2561252</v>
      </c>
      <c r="H172" s="418">
        <f>'Recycling - Case 2'!C46</f>
        <v>0.19230769230769232</v>
      </c>
      <c r="I172" s="418">
        <f>'Recycling - Case 2'!D46</f>
        <v>0</v>
      </c>
      <c r="J172" s="418">
        <f>'Recycling - Case 2'!E46</f>
        <v>0.19230769230769232</v>
      </c>
      <c r="K172" s="418">
        <f>'Recycling - Case 2'!F46</f>
        <v>0.53846153846153855</v>
      </c>
      <c r="L172" s="418">
        <f>'Recycling - Case 2'!G46</f>
        <v>7.6923076923076927E-2</v>
      </c>
      <c r="M172" s="119">
        <f>'Recycling - Case 2'!H46</f>
        <v>0</v>
      </c>
      <c r="N172" s="767">
        <f>'Recycling - Case 2'!J46</f>
        <v>0</v>
      </c>
      <c r="O172" s="418">
        <f>'Recycling - Case 2'!K46</f>
        <v>0.7</v>
      </c>
      <c r="P172" s="418">
        <f>'Recycling - Case 2'!L46</f>
        <v>0.15</v>
      </c>
      <c r="Q172" s="418">
        <f>'Recycling - Case 2'!M46</f>
        <v>0.15</v>
      </c>
      <c r="R172" s="418">
        <f>'Recycling - Case 2'!N46</f>
        <v>0</v>
      </c>
      <c r="S172" s="119">
        <f>'Recycling - Case 2'!O46</f>
        <v>0</v>
      </c>
      <c r="T172" s="767">
        <f>'Recycling - Case 2'!Q46</f>
        <v>0.42500000000000004</v>
      </c>
      <c r="U172" s="418">
        <f>'Recycling - Case 2'!R46</f>
        <v>0</v>
      </c>
      <c r="V172" s="418">
        <f>'Recycling - Case 2'!S46</f>
        <v>0.21250000000000002</v>
      </c>
      <c r="W172" s="418">
        <f>'Recycling - Case 2'!T46</f>
        <v>0.3</v>
      </c>
      <c r="X172" s="418">
        <f>'Recycling - Case 2'!U46</f>
        <v>6.25E-2</v>
      </c>
      <c r="Y172" s="119">
        <f>'Recycling - Case 2'!V46</f>
        <v>0</v>
      </c>
      <c r="Z172" s="766">
        <f t="shared" si="166"/>
        <v>23097923.713262819</v>
      </c>
      <c r="AA172" s="526">
        <f t="shared" si="134"/>
        <v>0</v>
      </c>
      <c r="AB172" s="526">
        <f t="shared" si="135"/>
        <v>23097923.713262819</v>
      </c>
      <c r="AC172" s="526">
        <f t="shared" si="136"/>
        <v>12934837.279427182</v>
      </c>
      <c r="AD172" s="526">
        <f t="shared" si="137"/>
        <v>1847833.8970610255</v>
      </c>
      <c r="AE172" s="526">
        <f t="shared" si="138"/>
        <v>0</v>
      </c>
      <c r="AF172" s="981">
        <f t="shared" si="139"/>
        <v>60978518.603013851</v>
      </c>
      <c r="AG172" s="766">
        <f t="shared" si="140"/>
        <v>0</v>
      </c>
      <c r="AH172" s="526">
        <f t="shared" si="141"/>
        <v>0</v>
      </c>
      <c r="AI172" s="526">
        <f t="shared" si="142"/>
        <v>5543501.6911830753</v>
      </c>
      <c r="AJ172" s="526">
        <f t="shared" si="143"/>
        <v>1108700.3382366151</v>
      </c>
      <c r="AK172" s="526">
        <f t="shared" si="144"/>
        <v>0</v>
      </c>
      <c r="AL172" s="526">
        <f t="shared" si="145"/>
        <v>0</v>
      </c>
      <c r="AM172" s="768">
        <f t="shared" si="146"/>
        <v>6652202.0294196904</v>
      </c>
      <c r="AN172" s="766">
        <f t="shared" si="147"/>
        <v>64135234.843826428</v>
      </c>
      <c r="AO172" s="526">
        <f t="shared" si="148"/>
        <v>0</v>
      </c>
      <c r="AP172" s="526">
        <f t="shared" si="149"/>
        <v>32067617.421913214</v>
      </c>
      <c r="AQ172" s="526">
        <f t="shared" si="150"/>
        <v>45271930.47799512</v>
      </c>
      <c r="AR172" s="526">
        <f t="shared" si="151"/>
        <v>1886330.4365831299</v>
      </c>
      <c r="AS172" s="526">
        <f t="shared" si="152"/>
        <v>0</v>
      </c>
      <c r="AT172" s="768">
        <f t="shared" si="153"/>
        <v>143361113.18031791</v>
      </c>
      <c r="AU172" s="254">
        <v>0</v>
      </c>
      <c r="AV172" s="246">
        <f t="shared" si="167"/>
        <v>210.99183381275145</v>
      </c>
      <c r="AW172" s="257">
        <f t="shared" si="154"/>
        <v>3.3255973924888065</v>
      </c>
    </row>
    <row r="173" spans="1:49">
      <c r="A173" s="193">
        <f>'Input data'!A131</f>
        <v>2031</v>
      </c>
      <c r="B173" s="208">
        <f>'Input data'!B131</f>
        <v>66.518977190687664</v>
      </c>
      <c r="C173" s="417">
        <f>'Recycling - Case 2'!E111</f>
        <v>1</v>
      </c>
      <c r="D173" s="525">
        <f>'Recycling - Case 2'!F111</f>
        <v>0.36725000000000002</v>
      </c>
      <c r="E173" s="235">
        <f t="shared" si="155"/>
        <v>1035335451.9716731</v>
      </c>
      <c r="F173" s="236">
        <v>0</v>
      </c>
      <c r="G173" s="237">
        <f t="shared" si="132"/>
        <v>1035335451.9716731</v>
      </c>
      <c r="H173" s="118">
        <f>H172</f>
        <v>0.19230769230769232</v>
      </c>
      <c r="I173" s="118">
        <f t="shared" ref="I173:S173" si="168">I172</f>
        <v>0</v>
      </c>
      <c r="J173" s="118">
        <f t="shared" si="168"/>
        <v>0.19230769230769232</v>
      </c>
      <c r="K173" s="118">
        <f t="shared" si="168"/>
        <v>0.53846153846153855</v>
      </c>
      <c r="L173" s="118">
        <f t="shared" si="168"/>
        <v>7.6923076923076927E-2</v>
      </c>
      <c r="M173" s="205">
        <f t="shared" si="168"/>
        <v>0</v>
      </c>
      <c r="N173" s="117">
        <f t="shared" si="168"/>
        <v>0</v>
      </c>
      <c r="O173" s="118">
        <f t="shared" si="168"/>
        <v>0.7</v>
      </c>
      <c r="P173" s="118">
        <f t="shared" si="168"/>
        <v>0.15</v>
      </c>
      <c r="Q173" s="118">
        <f t="shared" si="168"/>
        <v>0.15</v>
      </c>
      <c r="R173" s="118">
        <f t="shared" si="168"/>
        <v>0</v>
      </c>
      <c r="S173" s="205">
        <f t="shared" si="168"/>
        <v>0</v>
      </c>
      <c r="T173" s="117">
        <f>T172</f>
        <v>0.42500000000000004</v>
      </c>
      <c r="U173" s="118">
        <f t="shared" ref="U173:Y173" si="169">U172</f>
        <v>0</v>
      </c>
      <c r="V173" s="118">
        <f t="shared" si="169"/>
        <v>0.21250000000000002</v>
      </c>
      <c r="W173" s="118">
        <f t="shared" si="169"/>
        <v>0.3</v>
      </c>
      <c r="X173" s="118">
        <f t="shared" si="169"/>
        <v>6.25E-2</v>
      </c>
      <c r="Y173" s="205">
        <f t="shared" si="169"/>
        <v>0</v>
      </c>
      <c r="Z173" s="235">
        <f t="shared" si="166"/>
        <v>23295047.669362649</v>
      </c>
      <c r="AA173" s="236">
        <f t="shared" si="134"/>
        <v>0</v>
      </c>
      <c r="AB173" s="236">
        <f t="shared" si="135"/>
        <v>23295047.669362649</v>
      </c>
      <c r="AC173" s="236">
        <f t="shared" si="136"/>
        <v>13045226.694843085</v>
      </c>
      <c r="AD173" s="236">
        <f t="shared" si="137"/>
        <v>1863603.8135490119</v>
      </c>
      <c r="AE173" s="236">
        <f t="shared" si="138"/>
        <v>0</v>
      </c>
      <c r="AF173" s="971">
        <f t="shared" si="139"/>
        <v>61498925.847117394</v>
      </c>
      <c r="AG173" s="235">
        <f t="shared" si="140"/>
        <v>0</v>
      </c>
      <c r="AH173" s="236">
        <f t="shared" si="141"/>
        <v>0</v>
      </c>
      <c r="AI173" s="236">
        <f t="shared" si="142"/>
        <v>5590811.4406470349</v>
      </c>
      <c r="AJ173" s="236">
        <f t="shared" si="143"/>
        <v>1118162.288129407</v>
      </c>
      <c r="AK173" s="236">
        <f t="shared" si="144"/>
        <v>0</v>
      </c>
      <c r="AL173" s="236">
        <f t="shared" si="145"/>
        <v>0</v>
      </c>
      <c r="AM173" s="242">
        <f t="shared" si="146"/>
        <v>6708973.7287764419</v>
      </c>
      <c r="AN173" s="235">
        <f t="shared" si="147"/>
        <v>64682582.361930281</v>
      </c>
      <c r="AO173" s="236">
        <f t="shared" si="148"/>
        <v>0</v>
      </c>
      <c r="AP173" s="236">
        <f t="shared" si="149"/>
        <v>32341291.18096514</v>
      </c>
      <c r="AQ173" s="236">
        <f t="shared" si="150"/>
        <v>45658293.431950785</v>
      </c>
      <c r="AR173" s="236">
        <f t="shared" si="151"/>
        <v>1902428.8929979494</v>
      </c>
      <c r="AS173" s="236">
        <f t="shared" si="152"/>
        <v>0</v>
      </c>
      <c r="AT173" s="242">
        <f t="shared" si="153"/>
        <v>144584595.86784416</v>
      </c>
      <c r="AU173" s="254">
        <v>0</v>
      </c>
      <c r="AV173" s="246">
        <f t="shared" si="167"/>
        <v>212.79249544373798</v>
      </c>
      <c r="AW173" s="257">
        <f t="shared" si="154"/>
        <v>3.3539789441183268</v>
      </c>
    </row>
    <row r="174" spans="1:49">
      <c r="A174" s="193">
        <f>'Input data'!A132</f>
        <v>2032</v>
      </c>
      <c r="B174" s="208">
        <f>'Input data'!B132</f>
        <v>67.08666821358311</v>
      </c>
      <c r="C174" s="417">
        <f>'Recycling - Case 2'!E112</f>
        <v>1</v>
      </c>
      <c r="D174" s="525">
        <f>'Recycling - Case 2'!F112</f>
        <v>0.36725000000000002</v>
      </c>
      <c r="E174" s="235">
        <f t="shared" si="155"/>
        <v>1044171285.9936672</v>
      </c>
      <c r="F174" s="236">
        <v>0</v>
      </c>
      <c r="G174" s="237">
        <f t="shared" si="132"/>
        <v>1044171285.9936672</v>
      </c>
      <c r="H174" s="118">
        <f t="shared" ref="H174:H192" si="170">H173</f>
        <v>0.19230769230769232</v>
      </c>
      <c r="I174" s="118">
        <f t="shared" ref="I174:I192" si="171">I173</f>
        <v>0</v>
      </c>
      <c r="J174" s="118">
        <f t="shared" ref="J174:J192" si="172">J173</f>
        <v>0.19230769230769232</v>
      </c>
      <c r="K174" s="118">
        <f t="shared" ref="K174:K192" si="173">K173</f>
        <v>0.53846153846153855</v>
      </c>
      <c r="L174" s="118">
        <f t="shared" ref="L174:L192" si="174">L173</f>
        <v>7.6923076923076927E-2</v>
      </c>
      <c r="M174" s="205">
        <f t="shared" ref="M174:M192" si="175">M173</f>
        <v>0</v>
      </c>
      <c r="N174" s="117">
        <f t="shared" ref="N174:N192" si="176">N173</f>
        <v>0</v>
      </c>
      <c r="O174" s="118">
        <f t="shared" ref="O174:O192" si="177">O173</f>
        <v>0.7</v>
      </c>
      <c r="P174" s="118">
        <f t="shared" ref="P174:P192" si="178">P173</f>
        <v>0.15</v>
      </c>
      <c r="Q174" s="118">
        <f t="shared" ref="Q174:Q192" si="179">Q173</f>
        <v>0.15</v>
      </c>
      <c r="R174" s="118">
        <f t="shared" ref="R174:R192" si="180">R173</f>
        <v>0</v>
      </c>
      <c r="S174" s="205">
        <f t="shared" ref="S174:S192" si="181">S173</f>
        <v>0</v>
      </c>
      <c r="T174" s="117">
        <f t="shared" ref="T174:T192" si="182">T173</f>
        <v>0.42500000000000004</v>
      </c>
      <c r="U174" s="118">
        <f t="shared" ref="U174:U192" si="183">U173</f>
        <v>0</v>
      </c>
      <c r="V174" s="118">
        <f t="shared" ref="V174:V192" si="184">V173</f>
        <v>0.21250000000000002</v>
      </c>
      <c r="W174" s="118">
        <f t="shared" ref="W174:W192" si="185">W173</f>
        <v>0.3</v>
      </c>
      <c r="X174" s="118">
        <f t="shared" ref="X174:X192" si="186">X173</f>
        <v>6.25E-2</v>
      </c>
      <c r="Y174" s="205">
        <f t="shared" ref="Y174:Y192" si="187">Y173</f>
        <v>0</v>
      </c>
      <c r="Z174" s="235">
        <f t="shared" si="166"/>
        <v>23493853.934857517</v>
      </c>
      <c r="AA174" s="236">
        <f t="shared" si="134"/>
        <v>0</v>
      </c>
      <c r="AB174" s="236">
        <f t="shared" si="135"/>
        <v>23493853.934857517</v>
      </c>
      <c r="AC174" s="236">
        <f t="shared" si="136"/>
        <v>13156558.20352021</v>
      </c>
      <c r="AD174" s="236">
        <f t="shared" si="137"/>
        <v>1879508.3147886014</v>
      </c>
      <c r="AE174" s="236">
        <f t="shared" si="138"/>
        <v>0</v>
      </c>
      <c r="AF174" s="971">
        <f t="shared" si="139"/>
        <v>62023774.388023846</v>
      </c>
      <c r="AG174" s="235">
        <f t="shared" si="140"/>
        <v>0</v>
      </c>
      <c r="AH174" s="236">
        <f t="shared" si="141"/>
        <v>0</v>
      </c>
      <c r="AI174" s="236">
        <f t="shared" si="142"/>
        <v>5638524.9443658032</v>
      </c>
      <c r="AJ174" s="236">
        <f t="shared" si="143"/>
        <v>1127704.9888731604</v>
      </c>
      <c r="AK174" s="236">
        <f t="shared" si="144"/>
        <v>0</v>
      </c>
      <c r="AL174" s="236">
        <f t="shared" si="145"/>
        <v>0</v>
      </c>
      <c r="AM174" s="242">
        <f t="shared" si="146"/>
        <v>6766229.9332389636</v>
      </c>
      <c r="AN174" s="235">
        <f t="shared" si="147"/>
        <v>65234601.092454359</v>
      </c>
      <c r="AO174" s="236">
        <f t="shared" si="148"/>
        <v>0</v>
      </c>
      <c r="AP174" s="236">
        <f t="shared" si="149"/>
        <v>32617300.546227179</v>
      </c>
      <c r="AQ174" s="236">
        <f t="shared" si="150"/>
        <v>46047953.712320723</v>
      </c>
      <c r="AR174" s="236">
        <f t="shared" si="151"/>
        <v>1918664.7380133634</v>
      </c>
      <c r="AS174" s="236">
        <f t="shared" si="152"/>
        <v>0</v>
      </c>
      <c r="AT174" s="242">
        <f t="shared" si="153"/>
        <v>145818520.0890156</v>
      </c>
      <c r="AU174" s="254">
        <v>0</v>
      </c>
      <c r="AV174" s="246">
        <f t="shared" si="167"/>
        <v>214.60852441027842</v>
      </c>
      <c r="AW174" s="257">
        <f t="shared" si="154"/>
        <v>3.3826027116200144</v>
      </c>
    </row>
    <row r="175" spans="1:49">
      <c r="A175" s="193">
        <f>'Input data'!A133</f>
        <v>2033</v>
      </c>
      <c r="B175" s="208">
        <f>'Input data'!B133</f>
        <v>67.659204065895452</v>
      </c>
      <c r="C175" s="417">
        <f>'Recycling - Case 2'!E113</f>
        <v>1</v>
      </c>
      <c r="D175" s="525">
        <f>'Recycling - Case 2'!F113</f>
        <v>0.36725000000000002</v>
      </c>
      <c r="E175" s="235">
        <f t="shared" si="155"/>
        <v>1053082527.4236807</v>
      </c>
      <c r="F175" s="236">
        <v>0</v>
      </c>
      <c r="G175" s="237">
        <f t="shared" si="132"/>
        <v>1053082527.4236807</v>
      </c>
      <c r="H175" s="118">
        <f t="shared" si="170"/>
        <v>0.19230769230769232</v>
      </c>
      <c r="I175" s="118">
        <f t="shared" si="171"/>
        <v>0</v>
      </c>
      <c r="J175" s="118">
        <f t="shared" si="172"/>
        <v>0.19230769230769232</v>
      </c>
      <c r="K175" s="118">
        <f t="shared" si="173"/>
        <v>0.53846153846153855</v>
      </c>
      <c r="L175" s="118">
        <f t="shared" si="174"/>
        <v>7.6923076923076927E-2</v>
      </c>
      <c r="M175" s="205">
        <f t="shared" si="175"/>
        <v>0</v>
      </c>
      <c r="N175" s="117">
        <f t="shared" si="176"/>
        <v>0</v>
      </c>
      <c r="O175" s="118">
        <f t="shared" si="177"/>
        <v>0.7</v>
      </c>
      <c r="P175" s="118">
        <f t="shared" si="178"/>
        <v>0.15</v>
      </c>
      <c r="Q175" s="118">
        <f t="shared" si="179"/>
        <v>0.15</v>
      </c>
      <c r="R175" s="118">
        <f t="shared" si="180"/>
        <v>0</v>
      </c>
      <c r="S175" s="205">
        <f t="shared" si="181"/>
        <v>0</v>
      </c>
      <c r="T175" s="117">
        <f t="shared" si="182"/>
        <v>0.42500000000000004</v>
      </c>
      <c r="U175" s="118">
        <f t="shared" si="183"/>
        <v>0</v>
      </c>
      <c r="V175" s="118">
        <f t="shared" si="184"/>
        <v>0.21250000000000002</v>
      </c>
      <c r="W175" s="118">
        <f t="shared" si="185"/>
        <v>0.3</v>
      </c>
      <c r="X175" s="118">
        <f t="shared" si="186"/>
        <v>6.25E-2</v>
      </c>
      <c r="Y175" s="205">
        <f t="shared" si="187"/>
        <v>0</v>
      </c>
      <c r="Z175" s="235">
        <f t="shared" si="166"/>
        <v>23694356.867032815</v>
      </c>
      <c r="AA175" s="236">
        <f t="shared" si="134"/>
        <v>0</v>
      </c>
      <c r="AB175" s="236">
        <f t="shared" si="135"/>
        <v>23694356.867032815</v>
      </c>
      <c r="AC175" s="236">
        <f t="shared" si="136"/>
        <v>13268839.84553838</v>
      </c>
      <c r="AD175" s="236">
        <f t="shared" si="137"/>
        <v>1895548.5493626255</v>
      </c>
      <c r="AE175" s="236">
        <f t="shared" si="138"/>
        <v>0</v>
      </c>
      <c r="AF175" s="971">
        <f t="shared" si="139"/>
        <v>62553102.12896663</v>
      </c>
      <c r="AG175" s="235">
        <f t="shared" si="140"/>
        <v>0</v>
      </c>
      <c r="AH175" s="236">
        <f t="shared" si="141"/>
        <v>0</v>
      </c>
      <c r="AI175" s="236">
        <f t="shared" si="142"/>
        <v>5686645.648087875</v>
      </c>
      <c r="AJ175" s="236">
        <f t="shared" si="143"/>
        <v>1137329.1296175751</v>
      </c>
      <c r="AK175" s="236">
        <f t="shared" si="144"/>
        <v>0</v>
      </c>
      <c r="AL175" s="236">
        <f t="shared" si="145"/>
        <v>0</v>
      </c>
      <c r="AM175" s="242">
        <f t="shared" si="146"/>
        <v>6823974.7777054496</v>
      </c>
      <c r="AN175" s="235">
        <f t="shared" si="147"/>
        <v>65791330.900794454</v>
      </c>
      <c r="AO175" s="236">
        <f t="shared" si="148"/>
        <v>0</v>
      </c>
      <c r="AP175" s="236">
        <f t="shared" si="149"/>
        <v>32895665.450397227</v>
      </c>
      <c r="AQ175" s="236">
        <f t="shared" si="150"/>
        <v>46440939.459384315</v>
      </c>
      <c r="AR175" s="236">
        <f t="shared" si="151"/>
        <v>1935039.144141013</v>
      </c>
      <c r="AS175" s="236">
        <f t="shared" si="152"/>
        <v>0</v>
      </c>
      <c r="AT175" s="242">
        <f t="shared" si="153"/>
        <v>147062974.95471701</v>
      </c>
      <c r="AU175" s="254">
        <v>0</v>
      </c>
      <c r="AV175" s="246">
        <f t="shared" si="167"/>
        <v>216.44005186138909</v>
      </c>
      <c r="AW175" s="257">
        <f t="shared" si="154"/>
        <v>3.4114707621299263</v>
      </c>
    </row>
    <row r="176" spans="1:49">
      <c r="A176" s="193">
        <f>'Input data'!A134</f>
        <v>2034</v>
      </c>
      <c r="B176" s="208">
        <f>'Input data'!B134</f>
        <v>68.236626094715163</v>
      </c>
      <c r="C176" s="417">
        <f>'Recycling - Case 2'!E114</f>
        <v>1</v>
      </c>
      <c r="D176" s="525">
        <f>'Recycling - Case 2'!F114</f>
        <v>0.36725000000000002</v>
      </c>
      <c r="E176" s="235">
        <f t="shared" si="155"/>
        <v>1062069819.8090204</v>
      </c>
      <c r="F176" s="236">
        <v>0</v>
      </c>
      <c r="G176" s="237">
        <f t="shared" si="132"/>
        <v>1062069819.8090204</v>
      </c>
      <c r="H176" s="118">
        <f t="shared" si="170"/>
        <v>0.19230769230769232</v>
      </c>
      <c r="I176" s="118">
        <f t="shared" si="171"/>
        <v>0</v>
      </c>
      <c r="J176" s="118">
        <f t="shared" si="172"/>
        <v>0.19230769230769232</v>
      </c>
      <c r="K176" s="118">
        <f t="shared" si="173"/>
        <v>0.53846153846153855</v>
      </c>
      <c r="L176" s="118">
        <f t="shared" si="174"/>
        <v>7.6923076923076927E-2</v>
      </c>
      <c r="M176" s="205">
        <f t="shared" si="175"/>
        <v>0</v>
      </c>
      <c r="N176" s="117">
        <f t="shared" si="176"/>
        <v>0</v>
      </c>
      <c r="O176" s="118">
        <f t="shared" si="177"/>
        <v>0.7</v>
      </c>
      <c r="P176" s="118">
        <f t="shared" si="178"/>
        <v>0.15</v>
      </c>
      <c r="Q176" s="118">
        <f t="shared" si="179"/>
        <v>0.15</v>
      </c>
      <c r="R176" s="118">
        <f t="shared" si="180"/>
        <v>0</v>
      </c>
      <c r="S176" s="205">
        <f t="shared" si="181"/>
        <v>0</v>
      </c>
      <c r="T176" s="117">
        <f t="shared" si="182"/>
        <v>0.42500000000000004</v>
      </c>
      <c r="U176" s="118">
        <f t="shared" si="183"/>
        <v>0</v>
      </c>
      <c r="V176" s="118">
        <f t="shared" si="184"/>
        <v>0.21250000000000002</v>
      </c>
      <c r="W176" s="118">
        <f t="shared" si="185"/>
        <v>0.3</v>
      </c>
      <c r="X176" s="118">
        <f t="shared" si="186"/>
        <v>6.25E-2</v>
      </c>
      <c r="Y176" s="205">
        <f t="shared" si="187"/>
        <v>0</v>
      </c>
      <c r="Z176" s="235">
        <f t="shared" si="166"/>
        <v>23896570.945702963</v>
      </c>
      <c r="AA176" s="236">
        <f t="shared" si="134"/>
        <v>0</v>
      </c>
      <c r="AB176" s="236">
        <f t="shared" si="135"/>
        <v>23896570.945702963</v>
      </c>
      <c r="AC176" s="236">
        <f t="shared" si="136"/>
        <v>13382079.729593663</v>
      </c>
      <c r="AD176" s="236">
        <f t="shared" si="137"/>
        <v>1911725.6756562369</v>
      </c>
      <c r="AE176" s="236">
        <f t="shared" si="138"/>
        <v>0</v>
      </c>
      <c r="AF176" s="971">
        <f t="shared" si="139"/>
        <v>63086947.296655826</v>
      </c>
      <c r="AG176" s="235">
        <f t="shared" si="140"/>
        <v>0</v>
      </c>
      <c r="AH176" s="236">
        <f t="shared" si="141"/>
        <v>0</v>
      </c>
      <c r="AI176" s="236">
        <f t="shared" si="142"/>
        <v>5735177.0269687101</v>
      </c>
      <c r="AJ176" s="236">
        <f t="shared" si="143"/>
        <v>1147035.405393742</v>
      </c>
      <c r="AK176" s="236">
        <f t="shared" si="144"/>
        <v>0</v>
      </c>
      <c r="AL176" s="236">
        <f t="shared" si="145"/>
        <v>0</v>
      </c>
      <c r="AM176" s="242">
        <f t="shared" si="146"/>
        <v>6882212.4323624521</v>
      </c>
      <c r="AN176" s="235">
        <f t="shared" si="147"/>
        <v>66352811.992568552</v>
      </c>
      <c r="AO176" s="236">
        <f t="shared" si="148"/>
        <v>0</v>
      </c>
      <c r="AP176" s="236">
        <f t="shared" si="149"/>
        <v>33176405.996284276</v>
      </c>
      <c r="AQ176" s="236">
        <f t="shared" si="150"/>
        <v>46837279.053577796</v>
      </c>
      <c r="AR176" s="236">
        <f t="shared" si="151"/>
        <v>1951553.2938990749</v>
      </c>
      <c r="AS176" s="236">
        <f t="shared" si="152"/>
        <v>0</v>
      </c>
      <c r="AT176" s="242">
        <f t="shared" si="153"/>
        <v>148318050.33632973</v>
      </c>
      <c r="AU176" s="254">
        <v>0</v>
      </c>
      <c r="AV176" s="246">
        <f t="shared" si="167"/>
        <v>218.28721006534801</v>
      </c>
      <c r="AW176" s="257">
        <f t="shared" si="154"/>
        <v>3.4405851804256198</v>
      </c>
    </row>
    <row r="177" spans="1:49">
      <c r="A177" s="193">
        <f>'Input data'!A135</f>
        <v>2035</v>
      </c>
      <c r="B177" s="208">
        <f>'Input data'!B135</f>
        <v>68.818976000000006</v>
      </c>
      <c r="C177" s="417">
        <f>'Recycling - Case 2'!E115</f>
        <v>1</v>
      </c>
      <c r="D177" s="525">
        <f>'Recycling - Case 2'!F115</f>
        <v>0.36725000000000002</v>
      </c>
      <c r="E177" s="235">
        <f t="shared" si="155"/>
        <v>1071133812.1892002</v>
      </c>
      <c r="F177" s="236">
        <v>0</v>
      </c>
      <c r="G177" s="237">
        <f t="shared" si="132"/>
        <v>1071133812.1892002</v>
      </c>
      <c r="H177" s="118">
        <f t="shared" si="170"/>
        <v>0.19230769230769232</v>
      </c>
      <c r="I177" s="118">
        <f t="shared" si="171"/>
        <v>0</v>
      </c>
      <c r="J177" s="118">
        <f t="shared" si="172"/>
        <v>0.19230769230769232</v>
      </c>
      <c r="K177" s="118">
        <f t="shared" si="173"/>
        <v>0.53846153846153855</v>
      </c>
      <c r="L177" s="118">
        <f t="shared" si="174"/>
        <v>7.6923076923076927E-2</v>
      </c>
      <c r="M177" s="205">
        <f t="shared" si="175"/>
        <v>0</v>
      </c>
      <c r="N177" s="117">
        <f t="shared" si="176"/>
        <v>0</v>
      </c>
      <c r="O177" s="118">
        <f t="shared" si="177"/>
        <v>0.7</v>
      </c>
      <c r="P177" s="118">
        <f t="shared" si="178"/>
        <v>0.15</v>
      </c>
      <c r="Q177" s="118">
        <f t="shared" si="179"/>
        <v>0.15</v>
      </c>
      <c r="R177" s="118">
        <f t="shared" si="180"/>
        <v>0</v>
      </c>
      <c r="S177" s="205">
        <f t="shared" si="181"/>
        <v>0</v>
      </c>
      <c r="T177" s="117">
        <f t="shared" si="182"/>
        <v>0.42500000000000004</v>
      </c>
      <c r="U177" s="118">
        <f t="shared" si="183"/>
        <v>0</v>
      </c>
      <c r="V177" s="118">
        <f t="shared" si="184"/>
        <v>0.21250000000000002</v>
      </c>
      <c r="W177" s="118">
        <f t="shared" si="185"/>
        <v>0.3</v>
      </c>
      <c r="X177" s="118">
        <f t="shared" si="186"/>
        <v>6.25E-2</v>
      </c>
      <c r="Y177" s="205">
        <f t="shared" si="187"/>
        <v>0</v>
      </c>
      <c r="Z177" s="235">
        <f t="shared" si="166"/>
        <v>24100510.774257008</v>
      </c>
      <c r="AA177" s="236">
        <f t="shared" si="134"/>
        <v>0</v>
      </c>
      <c r="AB177" s="236">
        <f t="shared" si="135"/>
        <v>24100510.774257008</v>
      </c>
      <c r="AC177" s="236">
        <f t="shared" si="136"/>
        <v>13496286.033583926</v>
      </c>
      <c r="AD177" s="236">
        <f t="shared" si="137"/>
        <v>1928040.8619405604</v>
      </c>
      <c r="AE177" s="236">
        <f t="shared" si="138"/>
        <v>0</v>
      </c>
      <c r="AF177" s="971">
        <f t="shared" si="139"/>
        <v>63625348.444038503</v>
      </c>
      <c r="AG177" s="235">
        <f t="shared" si="140"/>
        <v>0</v>
      </c>
      <c r="AH177" s="236">
        <f t="shared" si="141"/>
        <v>0</v>
      </c>
      <c r="AI177" s="236">
        <f t="shared" si="142"/>
        <v>5784122.5858216807</v>
      </c>
      <c r="AJ177" s="236">
        <f t="shared" si="143"/>
        <v>1156824.5171643361</v>
      </c>
      <c r="AK177" s="236">
        <f t="shared" si="144"/>
        <v>0</v>
      </c>
      <c r="AL177" s="236">
        <f t="shared" si="145"/>
        <v>0</v>
      </c>
      <c r="AM177" s="242">
        <f t="shared" si="146"/>
        <v>6940947.1029860172</v>
      </c>
      <c r="AN177" s="235">
        <f t="shared" si="147"/>
        <v>66919084.916520275</v>
      </c>
      <c r="AO177" s="236">
        <f t="shared" si="148"/>
        <v>0</v>
      </c>
      <c r="AP177" s="236">
        <f t="shared" si="149"/>
        <v>33459542.458260138</v>
      </c>
      <c r="AQ177" s="236">
        <f t="shared" si="150"/>
        <v>47237001.117543727</v>
      </c>
      <c r="AR177" s="236">
        <f t="shared" si="151"/>
        <v>1968208.3798976552</v>
      </c>
      <c r="AS177" s="236">
        <f t="shared" si="152"/>
        <v>0</v>
      </c>
      <c r="AT177" s="242">
        <f t="shared" si="153"/>
        <v>149583836.8722218</v>
      </c>
      <c r="AU177" s="254">
        <v>0</v>
      </c>
      <c r="AV177" s="246">
        <f t="shared" si="167"/>
        <v>220.15013241924632</v>
      </c>
      <c r="AW177" s="257">
        <f t="shared" si="154"/>
        <v>3.4699480690767106</v>
      </c>
    </row>
    <row r="178" spans="1:49">
      <c r="A178" s="193">
        <f>'Input data'!A136</f>
        <v>2036</v>
      </c>
      <c r="B178" s="208">
        <f>'Input data'!B136</f>
        <v>69.322810489383542</v>
      </c>
      <c r="C178" s="417">
        <f>'Recycling - Case 2'!E116</f>
        <v>1</v>
      </c>
      <c r="D178" s="525">
        <f>'Recycling - Case 2'!F116</f>
        <v>0.36725000000000002</v>
      </c>
      <c r="E178" s="235">
        <f t="shared" si="155"/>
        <v>1078975750.3971415</v>
      </c>
      <c r="F178" s="236">
        <v>0</v>
      </c>
      <c r="G178" s="237">
        <f t="shared" si="132"/>
        <v>1078975750.3971415</v>
      </c>
      <c r="H178" s="118">
        <f t="shared" si="170"/>
        <v>0.19230769230769232</v>
      </c>
      <c r="I178" s="118">
        <f t="shared" si="171"/>
        <v>0</v>
      </c>
      <c r="J178" s="118">
        <f t="shared" si="172"/>
        <v>0.19230769230769232</v>
      </c>
      <c r="K178" s="118">
        <f t="shared" si="173"/>
        <v>0.53846153846153855</v>
      </c>
      <c r="L178" s="118">
        <f t="shared" si="174"/>
        <v>7.6923076923076927E-2</v>
      </c>
      <c r="M178" s="205">
        <f t="shared" si="175"/>
        <v>0</v>
      </c>
      <c r="N178" s="117">
        <f t="shared" si="176"/>
        <v>0</v>
      </c>
      <c r="O178" s="118">
        <f t="shared" si="177"/>
        <v>0.7</v>
      </c>
      <c r="P178" s="118">
        <f t="shared" si="178"/>
        <v>0.15</v>
      </c>
      <c r="Q178" s="118">
        <f t="shared" si="179"/>
        <v>0.15</v>
      </c>
      <c r="R178" s="118">
        <f t="shared" si="180"/>
        <v>0</v>
      </c>
      <c r="S178" s="205">
        <f t="shared" si="181"/>
        <v>0</v>
      </c>
      <c r="T178" s="117">
        <f t="shared" si="182"/>
        <v>0.42500000000000004</v>
      </c>
      <c r="U178" s="118">
        <f t="shared" si="183"/>
        <v>0</v>
      </c>
      <c r="V178" s="118">
        <f t="shared" si="184"/>
        <v>0.21250000000000002</v>
      </c>
      <c r="W178" s="118">
        <f t="shared" si="185"/>
        <v>0.3</v>
      </c>
      <c r="X178" s="118">
        <f t="shared" si="186"/>
        <v>6.25E-2</v>
      </c>
      <c r="Y178" s="205">
        <f t="shared" si="187"/>
        <v>0</v>
      </c>
      <c r="Z178" s="235">
        <f t="shared" si="166"/>
        <v>24276954.383935686</v>
      </c>
      <c r="AA178" s="236">
        <f t="shared" si="134"/>
        <v>0</v>
      </c>
      <c r="AB178" s="236">
        <f t="shared" si="135"/>
        <v>24276954.383935686</v>
      </c>
      <c r="AC178" s="236">
        <f t="shared" si="136"/>
        <v>13595094.455003986</v>
      </c>
      <c r="AD178" s="236">
        <f t="shared" si="137"/>
        <v>1942156.3507148549</v>
      </c>
      <c r="AE178" s="236">
        <f t="shared" si="138"/>
        <v>0</v>
      </c>
      <c r="AF178" s="971">
        <f t="shared" si="139"/>
        <v>64091159.573590212</v>
      </c>
      <c r="AG178" s="235">
        <f t="shared" si="140"/>
        <v>0</v>
      </c>
      <c r="AH178" s="236">
        <f t="shared" si="141"/>
        <v>0</v>
      </c>
      <c r="AI178" s="236">
        <f t="shared" si="142"/>
        <v>5826469.0521445638</v>
      </c>
      <c r="AJ178" s="236">
        <f t="shared" si="143"/>
        <v>1165293.8104289128</v>
      </c>
      <c r="AK178" s="236">
        <f t="shared" si="144"/>
        <v>0</v>
      </c>
      <c r="AL178" s="236">
        <f t="shared" si="145"/>
        <v>0</v>
      </c>
      <c r="AM178" s="242">
        <f t="shared" si="146"/>
        <v>6991762.8625734765</v>
      </c>
      <c r="AN178" s="235">
        <f t="shared" si="147"/>
        <v>67409010.00606142</v>
      </c>
      <c r="AO178" s="236">
        <f t="shared" si="148"/>
        <v>0</v>
      </c>
      <c r="AP178" s="236">
        <f t="shared" si="149"/>
        <v>33704505.00303071</v>
      </c>
      <c r="AQ178" s="236">
        <f t="shared" si="150"/>
        <v>47582830.592513934</v>
      </c>
      <c r="AR178" s="236">
        <f t="shared" si="151"/>
        <v>1982617.9413547474</v>
      </c>
      <c r="AS178" s="236">
        <f t="shared" si="152"/>
        <v>0</v>
      </c>
      <c r="AT178" s="242">
        <f t="shared" si="153"/>
        <v>150678963.54296082</v>
      </c>
      <c r="AU178" s="254">
        <v>0</v>
      </c>
      <c r="AV178" s="246">
        <f t="shared" si="167"/>
        <v>221.76188597912451</v>
      </c>
      <c r="AW178" s="257">
        <f t="shared" si="154"/>
        <v>3.4953521017314642</v>
      </c>
    </row>
    <row r="179" spans="1:49">
      <c r="A179" s="193">
        <f>'Input data'!A137</f>
        <v>2037</v>
      </c>
      <c r="B179" s="208">
        <f>'Input data'!B137</f>
        <v>69.830333629884052</v>
      </c>
      <c r="C179" s="417">
        <f>'Recycling - Case 2'!E117</f>
        <v>1</v>
      </c>
      <c r="D179" s="525">
        <f>'Recycling - Case 2'!F117</f>
        <v>0.36725000000000002</v>
      </c>
      <c r="E179" s="235">
        <f t="shared" si="155"/>
        <v>1086875100.6615009</v>
      </c>
      <c r="F179" s="236">
        <v>0</v>
      </c>
      <c r="G179" s="237">
        <f t="shared" si="132"/>
        <v>1086875100.6615009</v>
      </c>
      <c r="H179" s="118">
        <f t="shared" si="170"/>
        <v>0.19230769230769232</v>
      </c>
      <c r="I179" s="118">
        <f t="shared" si="171"/>
        <v>0</v>
      </c>
      <c r="J179" s="118">
        <f t="shared" si="172"/>
        <v>0.19230769230769232</v>
      </c>
      <c r="K179" s="118">
        <f t="shared" si="173"/>
        <v>0.53846153846153855</v>
      </c>
      <c r="L179" s="118">
        <f t="shared" si="174"/>
        <v>7.6923076923076927E-2</v>
      </c>
      <c r="M179" s="205">
        <f t="shared" si="175"/>
        <v>0</v>
      </c>
      <c r="N179" s="117">
        <f t="shared" si="176"/>
        <v>0</v>
      </c>
      <c r="O179" s="118">
        <f t="shared" si="177"/>
        <v>0.7</v>
      </c>
      <c r="P179" s="118">
        <f t="shared" si="178"/>
        <v>0.15</v>
      </c>
      <c r="Q179" s="118">
        <f t="shared" si="179"/>
        <v>0.15</v>
      </c>
      <c r="R179" s="118">
        <f t="shared" si="180"/>
        <v>0</v>
      </c>
      <c r="S179" s="205">
        <f t="shared" si="181"/>
        <v>0</v>
      </c>
      <c r="T179" s="117">
        <f t="shared" si="182"/>
        <v>0.42500000000000004</v>
      </c>
      <c r="U179" s="118">
        <f t="shared" si="183"/>
        <v>0</v>
      </c>
      <c r="V179" s="118">
        <f t="shared" si="184"/>
        <v>0.21250000000000002</v>
      </c>
      <c r="W179" s="118">
        <f t="shared" si="185"/>
        <v>0.3</v>
      </c>
      <c r="X179" s="118">
        <f t="shared" si="186"/>
        <v>6.25E-2</v>
      </c>
      <c r="Y179" s="205">
        <f t="shared" si="187"/>
        <v>0</v>
      </c>
      <c r="Z179" s="235">
        <f t="shared" si="166"/>
        <v>24454689.764883772</v>
      </c>
      <c r="AA179" s="236">
        <f t="shared" si="134"/>
        <v>0</v>
      </c>
      <c r="AB179" s="236">
        <f t="shared" si="135"/>
        <v>24454689.764883772</v>
      </c>
      <c r="AC179" s="236">
        <f t="shared" si="136"/>
        <v>13694626.268334916</v>
      </c>
      <c r="AD179" s="236">
        <f t="shared" si="137"/>
        <v>1956375.1811907019</v>
      </c>
      <c r="AE179" s="236">
        <f t="shared" si="138"/>
        <v>0</v>
      </c>
      <c r="AF179" s="971">
        <f t="shared" si="139"/>
        <v>64560380.97929316</v>
      </c>
      <c r="AG179" s="235">
        <f t="shared" si="140"/>
        <v>0</v>
      </c>
      <c r="AH179" s="236">
        <f t="shared" si="141"/>
        <v>0</v>
      </c>
      <c r="AI179" s="236">
        <f t="shared" si="142"/>
        <v>5869125.5435721045</v>
      </c>
      <c r="AJ179" s="236">
        <f t="shared" si="143"/>
        <v>1173825.1087144208</v>
      </c>
      <c r="AK179" s="236">
        <f t="shared" si="144"/>
        <v>0</v>
      </c>
      <c r="AL179" s="236">
        <f t="shared" si="145"/>
        <v>0</v>
      </c>
      <c r="AM179" s="242">
        <f t="shared" si="146"/>
        <v>7042950.6522865258</v>
      </c>
      <c r="AN179" s="235">
        <f t="shared" si="147"/>
        <v>67902521.91382727</v>
      </c>
      <c r="AO179" s="236">
        <f t="shared" si="148"/>
        <v>0</v>
      </c>
      <c r="AP179" s="236">
        <f t="shared" si="149"/>
        <v>33951260.956913635</v>
      </c>
      <c r="AQ179" s="236">
        <f t="shared" si="150"/>
        <v>47931191.939172193</v>
      </c>
      <c r="AR179" s="236">
        <f t="shared" si="151"/>
        <v>1997132.9974655078</v>
      </c>
      <c r="AS179" s="236">
        <f t="shared" si="152"/>
        <v>0</v>
      </c>
      <c r="AT179" s="242">
        <f t="shared" si="153"/>
        <v>151782107.80737862</v>
      </c>
      <c r="AU179" s="254">
        <v>0</v>
      </c>
      <c r="AV179" s="246">
        <f t="shared" si="167"/>
        <v>223.38543943895829</v>
      </c>
      <c r="AW179" s="257">
        <f t="shared" si="154"/>
        <v>3.5209421212835057</v>
      </c>
    </row>
    <row r="180" spans="1:49">
      <c r="A180" s="193">
        <f>'Input data'!A138</f>
        <v>2038</v>
      </c>
      <c r="B180" s="208">
        <f>'Input data'!B138</f>
        <v>70.341572426693446</v>
      </c>
      <c r="C180" s="417">
        <f>'Recycling - Case 2'!E118</f>
        <v>1</v>
      </c>
      <c r="D180" s="525">
        <f>'Recycling - Case 2'!F118</f>
        <v>0.36725000000000002</v>
      </c>
      <c r="E180" s="235">
        <f t="shared" si="155"/>
        <v>1094832283.3049257</v>
      </c>
      <c r="F180" s="236">
        <v>0</v>
      </c>
      <c r="G180" s="237">
        <f t="shared" si="132"/>
        <v>1094832283.3049257</v>
      </c>
      <c r="H180" s="118">
        <f t="shared" si="170"/>
        <v>0.19230769230769232</v>
      </c>
      <c r="I180" s="118">
        <f t="shared" si="171"/>
        <v>0</v>
      </c>
      <c r="J180" s="118">
        <f t="shared" si="172"/>
        <v>0.19230769230769232</v>
      </c>
      <c r="K180" s="118">
        <f t="shared" si="173"/>
        <v>0.53846153846153855</v>
      </c>
      <c r="L180" s="118">
        <f t="shared" si="174"/>
        <v>7.6923076923076927E-2</v>
      </c>
      <c r="M180" s="205">
        <f t="shared" si="175"/>
        <v>0</v>
      </c>
      <c r="N180" s="117">
        <f t="shared" si="176"/>
        <v>0</v>
      </c>
      <c r="O180" s="118">
        <f t="shared" si="177"/>
        <v>0.7</v>
      </c>
      <c r="P180" s="118">
        <f t="shared" si="178"/>
        <v>0.15</v>
      </c>
      <c r="Q180" s="118">
        <f t="shared" si="179"/>
        <v>0.15</v>
      </c>
      <c r="R180" s="118">
        <f t="shared" si="180"/>
        <v>0</v>
      </c>
      <c r="S180" s="205">
        <f t="shared" si="181"/>
        <v>0</v>
      </c>
      <c r="T180" s="117">
        <f t="shared" si="182"/>
        <v>0.42500000000000004</v>
      </c>
      <c r="U180" s="118">
        <f t="shared" si="183"/>
        <v>0</v>
      </c>
      <c r="V180" s="118">
        <f t="shared" si="184"/>
        <v>0.21250000000000002</v>
      </c>
      <c r="W180" s="118">
        <f t="shared" si="185"/>
        <v>0.3</v>
      </c>
      <c r="X180" s="118">
        <f t="shared" si="186"/>
        <v>6.25E-2</v>
      </c>
      <c r="Y180" s="205">
        <f t="shared" si="187"/>
        <v>0</v>
      </c>
      <c r="Z180" s="235">
        <f t="shared" si="166"/>
        <v>24633726.37436083</v>
      </c>
      <c r="AA180" s="236">
        <f t="shared" si="134"/>
        <v>0</v>
      </c>
      <c r="AB180" s="236">
        <f t="shared" si="135"/>
        <v>24633726.37436083</v>
      </c>
      <c r="AC180" s="236">
        <f t="shared" si="136"/>
        <v>13794886.769642066</v>
      </c>
      <c r="AD180" s="236">
        <f t="shared" si="137"/>
        <v>1970698.1099488665</v>
      </c>
      <c r="AE180" s="236">
        <f t="shared" si="138"/>
        <v>0</v>
      </c>
      <c r="AF180" s="971">
        <f t="shared" si="139"/>
        <v>65033037.628312595</v>
      </c>
      <c r="AG180" s="235">
        <f t="shared" si="140"/>
        <v>0</v>
      </c>
      <c r="AH180" s="236">
        <f t="shared" si="141"/>
        <v>0</v>
      </c>
      <c r="AI180" s="236">
        <f t="shared" si="142"/>
        <v>5912094.3298465982</v>
      </c>
      <c r="AJ180" s="236">
        <f t="shared" si="143"/>
        <v>1182418.8659693196</v>
      </c>
      <c r="AK180" s="236">
        <f t="shared" si="144"/>
        <v>0</v>
      </c>
      <c r="AL180" s="236">
        <f t="shared" si="145"/>
        <v>0</v>
      </c>
      <c r="AM180" s="242">
        <f t="shared" si="146"/>
        <v>7094513.195815918</v>
      </c>
      <c r="AN180" s="235">
        <f t="shared" si="147"/>
        <v>68399646.899475232</v>
      </c>
      <c r="AO180" s="236">
        <f t="shared" si="148"/>
        <v>0</v>
      </c>
      <c r="AP180" s="236">
        <f t="shared" si="149"/>
        <v>34199823.449737616</v>
      </c>
      <c r="AQ180" s="236">
        <f t="shared" si="150"/>
        <v>48282103.693747215</v>
      </c>
      <c r="AR180" s="236">
        <f t="shared" si="151"/>
        <v>2011754.3205728009</v>
      </c>
      <c r="AS180" s="236">
        <f t="shared" si="152"/>
        <v>0</v>
      </c>
      <c r="AT180" s="242">
        <f t="shared" si="153"/>
        <v>152893328.36353287</v>
      </c>
      <c r="AU180" s="254">
        <v>0</v>
      </c>
      <c r="AV180" s="246">
        <f t="shared" si="167"/>
        <v>225.02087918766139</v>
      </c>
      <c r="AW180" s="257">
        <f t="shared" si="154"/>
        <v>3.5467194893720086</v>
      </c>
    </row>
    <row r="181" spans="1:49">
      <c r="A181" s="193">
        <f>'Input data'!A139</f>
        <v>2039</v>
      </c>
      <c r="B181" s="208">
        <f>'Input data'!B139</f>
        <v>70.856554082712819</v>
      </c>
      <c r="C181" s="417">
        <f>'Recycling - Case 2'!E119</f>
        <v>1</v>
      </c>
      <c r="D181" s="525">
        <f>'Recycling - Case 2'!F119</f>
        <v>0.36725000000000002</v>
      </c>
      <c r="E181" s="235">
        <f t="shared" si="155"/>
        <v>1102847721.7273097</v>
      </c>
      <c r="F181" s="236">
        <v>0</v>
      </c>
      <c r="G181" s="237">
        <f t="shared" si="132"/>
        <v>1102847721.7273097</v>
      </c>
      <c r="H181" s="118">
        <f t="shared" si="170"/>
        <v>0.19230769230769232</v>
      </c>
      <c r="I181" s="118">
        <f t="shared" si="171"/>
        <v>0</v>
      </c>
      <c r="J181" s="118">
        <f t="shared" si="172"/>
        <v>0.19230769230769232</v>
      </c>
      <c r="K181" s="118">
        <f t="shared" si="173"/>
        <v>0.53846153846153855</v>
      </c>
      <c r="L181" s="118">
        <f t="shared" si="174"/>
        <v>7.6923076923076927E-2</v>
      </c>
      <c r="M181" s="205">
        <f t="shared" si="175"/>
        <v>0</v>
      </c>
      <c r="N181" s="117">
        <f t="shared" si="176"/>
        <v>0</v>
      </c>
      <c r="O181" s="118">
        <f t="shared" si="177"/>
        <v>0.7</v>
      </c>
      <c r="P181" s="118">
        <f t="shared" si="178"/>
        <v>0.15</v>
      </c>
      <c r="Q181" s="118">
        <f t="shared" si="179"/>
        <v>0.15</v>
      </c>
      <c r="R181" s="118">
        <f t="shared" si="180"/>
        <v>0</v>
      </c>
      <c r="S181" s="205">
        <f t="shared" si="181"/>
        <v>0</v>
      </c>
      <c r="T181" s="117">
        <f t="shared" si="182"/>
        <v>0.42500000000000004</v>
      </c>
      <c r="U181" s="118">
        <f t="shared" si="183"/>
        <v>0</v>
      </c>
      <c r="V181" s="118">
        <f t="shared" si="184"/>
        <v>0.21250000000000002</v>
      </c>
      <c r="W181" s="118">
        <f t="shared" si="185"/>
        <v>0.3</v>
      </c>
      <c r="X181" s="118">
        <f t="shared" si="186"/>
        <v>6.25E-2</v>
      </c>
      <c r="Y181" s="205">
        <f t="shared" si="187"/>
        <v>0</v>
      </c>
      <c r="Z181" s="235">
        <f t="shared" si="166"/>
        <v>24814073.73886447</v>
      </c>
      <c r="AA181" s="236">
        <f t="shared" si="134"/>
        <v>0</v>
      </c>
      <c r="AB181" s="236">
        <f t="shared" si="135"/>
        <v>24814073.73886447</v>
      </c>
      <c r="AC181" s="236">
        <f t="shared" si="136"/>
        <v>13895881.293764105</v>
      </c>
      <c r="AD181" s="236">
        <f t="shared" si="137"/>
        <v>1985125.8991091577</v>
      </c>
      <c r="AE181" s="236">
        <f t="shared" si="138"/>
        <v>0</v>
      </c>
      <c r="AF181" s="971">
        <f t="shared" si="139"/>
        <v>65509154.670602202</v>
      </c>
      <c r="AG181" s="235">
        <f t="shared" si="140"/>
        <v>0</v>
      </c>
      <c r="AH181" s="236">
        <f t="shared" si="141"/>
        <v>0</v>
      </c>
      <c r="AI181" s="236">
        <f t="shared" si="142"/>
        <v>5955377.6973274713</v>
      </c>
      <c r="AJ181" s="236">
        <f t="shared" si="143"/>
        <v>1191075.5394654942</v>
      </c>
      <c r="AK181" s="236">
        <f t="shared" si="144"/>
        <v>0</v>
      </c>
      <c r="AL181" s="236">
        <f t="shared" si="145"/>
        <v>0</v>
      </c>
      <c r="AM181" s="242">
        <f t="shared" si="146"/>
        <v>7146453.2367929658</v>
      </c>
      <c r="AN181" s="235">
        <f t="shared" si="147"/>
        <v>68900411.414913669</v>
      </c>
      <c r="AO181" s="236">
        <f t="shared" si="148"/>
        <v>0</v>
      </c>
      <c r="AP181" s="236">
        <f t="shared" si="149"/>
        <v>34450205.707456835</v>
      </c>
      <c r="AQ181" s="236">
        <f t="shared" si="150"/>
        <v>48635584.528174356</v>
      </c>
      <c r="AR181" s="236">
        <f t="shared" si="151"/>
        <v>2026482.6886739314</v>
      </c>
      <c r="AS181" s="236">
        <f t="shared" si="152"/>
        <v>0</v>
      </c>
      <c r="AT181" s="242">
        <f t="shared" si="153"/>
        <v>154012684.33921883</v>
      </c>
      <c r="AU181" s="254">
        <v>0</v>
      </c>
      <c r="AV181" s="246">
        <f t="shared" si="167"/>
        <v>226.66829224661399</v>
      </c>
      <c r="AW181" s="257">
        <f t="shared" si="154"/>
        <v>3.5726855776049167</v>
      </c>
    </row>
    <row r="182" spans="1:49">
      <c r="A182" s="193">
        <f>'Input data'!A140</f>
        <v>2040</v>
      </c>
      <c r="B182" s="208">
        <f>'Input data'!B140</f>
        <v>71.375305999999995</v>
      </c>
      <c r="C182" s="417">
        <f>'Recycling - Case 2'!E120</f>
        <v>1</v>
      </c>
      <c r="D182" s="525">
        <f>'Recycling - Case 2'!F120</f>
        <v>0.36725000000000002</v>
      </c>
      <c r="E182" s="235">
        <f t="shared" si="155"/>
        <v>1110921842.4283249</v>
      </c>
      <c r="F182" s="236">
        <v>0</v>
      </c>
      <c r="G182" s="237">
        <f t="shared" si="132"/>
        <v>1110921842.4283249</v>
      </c>
      <c r="H182" s="118">
        <f t="shared" si="170"/>
        <v>0.19230769230769232</v>
      </c>
      <c r="I182" s="118">
        <f t="shared" si="171"/>
        <v>0</v>
      </c>
      <c r="J182" s="118">
        <f t="shared" si="172"/>
        <v>0.19230769230769232</v>
      </c>
      <c r="K182" s="118">
        <f t="shared" si="173"/>
        <v>0.53846153846153855</v>
      </c>
      <c r="L182" s="118">
        <f t="shared" si="174"/>
        <v>7.6923076923076927E-2</v>
      </c>
      <c r="M182" s="205">
        <f t="shared" si="175"/>
        <v>0</v>
      </c>
      <c r="N182" s="117">
        <f t="shared" si="176"/>
        <v>0</v>
      </c>
      <c r="O182" s="118">
        <f t="shared" si="177"/>
        <v>0.7</v>
      </c>
      <c r="P182" s="118">
        <f t="shared" si="178"/>
        <v>0.15</v>
      </c>
      <c r="Q182" s="118">
        <f t="shared" si="179"/>
        <v>0.15</v>
      </c>
      <c r="R182" s="118">
        <f t="shared" si="180"/>
        <v>0</v>
      </c>
      <c r="S182" s="205">
        <f t="shared" si="181"/>
        <v>0</v>
      </c>
      <c r="T182" s="117">
        <f t="shared" si="182"/>
        <v>0.42500000000000004</v>
      </c>
      <c r="U182" s="118">
        <f t="shared" si="183"/>
        <v>0</v>
      </c>
      <c r="V182" s="118">
        <f t="shared" si="184"/>
        <v>0.21250000000000002</v>
      </c>
      <c r="W182" s="118">
        <f t="shared" si="185"/>
        <v>0.3</v>
      </c>
      <c r="X182" s="118">
        <f t="shared" si="186"/>
        <v>6.25E-2</v>
      </c>
      <c r="Y182" s="205">
        <f t="shared" si="187"/>
        <v>0</v>
      </c>
      <c r="Z182" s="235">
        <f t="shared" si="166"/>
        <v>24995741.454637315</v>
      </c>
      <c r="AA182" s="236">
        <f t="shared" si="134"/>
        <v>0</v>
      </c>
      <c r="AB182" s="236">
        <f t="shared" si="135"/>
        <v>24995741.454637315</v>
      </c>
      <c r="AC182" s="236">
        <f t="shared" si="136"/>
        <v>13997615.214596899</v>
      </c>
      <c r="AD182" s="236">
        <f t="shared" si="137"/>
        <v>1999659.316370985</v>
      </c>
      <c r="AE182" s="236">
        <f t="shared" si="138"/>
        <v>0</v>
      </c>
      <c r="AF182" s="971">
        <f t="shared" si="139"/>
        <v>65988757.440242514</v>
      </c>
      <c r="AG182" s="235">
        <f t="shared" si="140"/>
        <v>0</v>
      </c>
      <c r="AH182" s="236">
        <f t="shared" si="141"/>
        <v>0</v>
      </c>
      <c r="AI182" s="236">
        <f t="shared" si="142"/>
        <v>5998977.9491129545</v>
      </c>
      <c r="AJ182" s="236">
        <f t="shared" si="143"/>
        <v>1199795.5898225908</v>
      </c>
      <c r="AK182" s="236">
        <f t="shared" si="144"/>
        <v>0</v>
      </c>
      <c r="AL182" s="236">
        <f t="shared" si="145"/>
        <v>0</v>
      </c>
      <c r="AM182" s="242">
        <f t="shared" si="146"/>
        <v>7198773.5389355458</v>
      </c>
      <c r="AN182" s="235">
        <f t="shared" si="147"/>
        <v>69404842.105709597</v>
      </c>
      <c r="AO182" s="236">
        <f t="shared" si="148"/>
        <v>0</v>
      </c>
      <c r="AP182" s="236">
        <f t="shared" si="149"/>
        <v>34702421.052854799</v>
      </c>
      <c r="AQ182" s="236">
        <f t="shared" si="150"/>
        <v>48991653.251089126</v>
      </c>
      <c r="AR182" s="236">
        <f t="shared" si="151"/>
        <v>2041318.8854620468</v>
      </c>
      <c r="AS182" s="236">
        <f t="shared" si="152"/>
        <v>0</v>
      </c>
      <c r="AT182" s="242">
        <f t="shared" si="153"/>
        <v>155140235.29511556</v>
      </c>
      <c r="AU182" s="254">
        <v>0</v>
      </c>
      <c r="AV182" s="246">
        <f t="shared" si="167"/>
        <v>228.32776627429359</v>
      </c>
      <c r="AW182" s="257">
        <f t="shared" si="154"/>
        <v>3.5988417676319293</v>
      </c>
    </row>
    <row r="183" spans="1:49">
      <c r="A183" s="193">
        <f>'Input data'!A141</f>
        <v>2041</v>
      </c>
      <c r="B183" s="208">
        <f>'Input data'!B141</f>
        <v>71.818612994947316</v>
      </c>
      <c r="C183" s="417">
        <f>'Recycling - Case 2'!E121</f>
        <v>1</v>
      </c>
      <c r="D183" s="525">
        <f>'Recycling - Case 2'!F121</f>
        <v>0.36725000000000002</v>
      </c>
      <c r="E183" s="235">
        <f t="shared" si="155"/>
        <v>1117821699.6925201</v>
      </c>
      <c r="F183" s="236">
        <v>0</v>
      </c>
      <c r="G183" s="237">
        <f t="shared" si="132"/>
        <v>1117821699.6925201</v>
      </c>
      <c r="H183" s="118">
        <f t="shared" si="170"/>
        <v>0.19230769230769232</v>
      </c>
      <c r="I183" s="118">
        <f t="shared" si="171"/>
        <v>0</v>
      </c>
      <c r="J183" s="118">
        <f t="shared" si="172"/>
        <v>0.19230769230769232</v>
      </c>
      <c r="K183" s="118">
        <f t="shared" si="173"/>
        <v>0.53846153846153855</v>
      </c>
      <c r="L183" s="118">
        <f t="shared" si="174"/>
        <v>7.6923076923076927E-2</v>
      </c>
      <c r="M183" s="205">
        <f t="shared" si="175"/>
        <v>0</v>
      </c>
      <c r="N183" s="117">
        <f t="shared" si="176"/>
        <v>0</v>
      </c>
      <c r="O183" s="118">
        <f t="shared" si="177"/>
        <v>0.7</v>
      </c>
      <c r="P183" s="118">
        <f t="shared" si="178"/>
        <v>0.15</v>
      </c>
      <c r="Q183" s="118">
        <f t="shared" si="179"/>
        <v>0.15</v>
      </c>
      <c r="R183" s="118">
        <f t="shared" si="180"/>
        <v>0</v>
      </c>
      <c r="S183" s="205">
        <f t="shared" si="181"/>
        <v>0</v>
      </c>
      <c r="T183" s="117">
        <f t="shared" si="182"/>
        <v>0.42500000000000004</v>
      </c>
      <c r="U183" s="118">
        <f t="shared" si="183"/>
        <v>0</v>
      </c>
      <c r="V183" s="118">
        <f t="shared" si="184"/>
        <v>0.21250000000000002</v>
      </c>
      <c r="W183" s="118">
        <f t="shared" si="185"/>
        <v>0.3</v>
      </c>
      <c r="X183" s="118">
        <f t="shared" si="186"/>
        <v>6.25E-2</v>
      </c>
      <c r="Y183" s="205">
        <f t="shared" si="187"/>
        <v>0</v>
      </c>
      <c r="Z183" s="235">
        <f t="shared" si="166"/>
        <v>25150988.243081704</v>
      </c>
      <c r="AA183" s="236">
        <f t="shared" si="134"/>
        <v>0</v>
      </c>
      <c r="AB183" s="236">
        <f t="shared" si="135"/>
        <v>25150988.243081704</v>
      </c>
      <c r="AC183" s="236">
        <f t="shared" si="136"/>
        <v>14084553.416125758</v>
      </c>
      <c r="AD183" s="236">
        <f t="shared" si="137"/>
        <v>2012079.0594465365</v>
      </c>
      <c r="AE183" s="236">
        <f t="shared" si="138"/>
        <v>0</v>
      </c>
      <c r="AF183" s="971">
        <f t="shared" si="139"/>
        <v>66398608.961735703</v>
      </c>
      <c r="AG183" s="235">
        <f t="shared" si="140"/>
        <v>0</v>
      </c>
      <c r="AH183" s="236">
        <f t="shared" si="141"/>
        <v>0</v>
      </c>
      <c r="AI183" s="236">
        <f t="shared" si="142"/>
        <v>6036237.1783396089</v>
      </c>
      <c r="AJ183" s="236">
        <f t="shared" si="143"/>
        <v>1207247.4356679216</v>
      </c>
      <c r="AK183" s="236">
        <f t="shared" si="144"/>
        <v>0</v>
      </c>
      <c r="AL183" s="236">
        <f t="shared" si="145"/>
        <v>0</v>
      </c>
      <c r="AM183" s="242">
        <f t="shared" si="146"/>
        <v>7243484.6140075307</v>
      </c>
      <c r="AN183" s="235">
        <f t="shared" si="147"/>
        <v>69835910.688290194</v>
      </c>
      <c r="AO183" s="236">
        <f t="shared" si="148"/>
        <v>0</v>
      </c>
      <c r="AP183" s="236">
        <f t="shared" si="149"/>
        <v>34917955.344145097</v>
      </c>
      <c r="AQ183" s="236">
        <f t="shared" si="150"/>
        <v>49295936.956440136</v>
      </c>
      <c r="AR183" s="236">
        <f t="shared" si="151"/>
        <v>2053997.3731850057</v>
      </c>
      <c r="AS183" s="236">
        <f t="shared" si="152"/>
        <v>0</v>
      </c>
      <c r="AT183" s="242">
        <f t="shared" si="153"/>
        <v>156103800.36206046</v>
      </c>
      <c r="AU183" s="254">
        <v>0</v>
      </c>
      <c r="AV183" s="246">
        <f t="shared" si="167"/>
        <v>229.74589393780369</v>
      </c>
      <c r="AW183" s="257">
        <f t="shared" si="154"/>
        <v>3.6211939201999317</v>
      </c>
    </row>
    <row r="184" spans="1:49">
      <c r="A184" s="193">
        <f>'Input data'!A142</f>
        <v>2042</v>
      </c>
      <c r="B184" s="208">
        <f>'Input data'!B142</f>
        <v>72.264673338395411</v>
      </c>
      <c r="C184" s="417">
        <f>'Recycling - Case 2'!E122</f>
        <v>1</v>
      </c>
      <c r="D184" s="525">
        <f>'Recycling - Case 2'!F122</f>
        <v>0.36725000000000002</v>
      </c>
      <c r="E184" s="235">
        <f t="shared" si="155"/>
        <v>1124764411.4838722</v>
      </c>
      <c r="F184" s="236">
        <v>0</v>
      </c>
      <c r="G184" s="237">
        <f t="shared" si="132"/>
        <v>1124764411.4838722</v>
      </c>
      <c r="H184" s="118">
        <f t="shared" si="170"/>
        <v>0.19230769230769232</v>
      </c>
      <c r="I184" s="118">
        <f t="shared" si="171"/>
        <v>0</v>
      </c>
      <c r="J184" s="118">
        <f t="shared" si="172"/>
        <v>0.19230769230769232</v>
      </c>
      <c r="K184" s="118">
        <f t="shared" si="173"/>
        <v>0.53846153846153855</v>
      </c>
      <c r="L184" s="118">
        <f t="shared" si="174"/>
        <v>7.6923076923076927E-2</v>
      </c>
      <c r="M184" s="205">
        <f t="shared" si="175"/>
        <v>0</v>
      </c>
      <c r="N184" s="117">
        <f t="shared" si="176"/>
        <v>0</v>
      </c>
      <c r="O184" s="118">
        <f t="shared" si="177"/>
        <v>0.7</v>
      </c>
      <c r="P184" s="118">
        <f t="shared" si="178"/>
        <v>0.15</v>
      </c>
      <c r="Q184" s="118">
        <f t="shared" si="179"/>
        <v>0.15</v>
      </c>
      <c r="R184" s="118">
        <f t="shared" si="180"/>
        <v>0</v>
      </c>
      <c r="S184" s="205">
        <f t="shared" si="181"/>
        <v>0</v>
      </c>
      <c r="T184" s="117">
        <f t="shared" si="182"/>
        <v>0.42500000000000004</v>
      </c>
      <c r="U184" s="118">
        <f t="shared" si="183"/>
        <v>0</v>
      </c>
      <c r="V184" s="118">
        <f t="shared" si="184"/>
        <v>0.21250000000000002</v>
      </c>
      <c r="W184" s="118">
        <f t="shared" si="185"/>
        <v>0.3</v>
      </c>
      <c r="X184" s="118">
        <f t="shared" si="186"/>
        <v>6.25E-2</v>
      </c>
      <c r="Y184" s="205">
        <f t="shared" si="187"/>
        <v>0</v>
      </c>
      <c r="Z184" s="235">
        <f t="shared" si="166"/>
        <v>25307199.258387126</v>
      </c>
      <c r="AA184" s="236">
        <f t="shared" si="134"/>
        <v>0</v>
      </c>
      <c r="AB184" s="236">
        <f t="shared" si="135"/>
        <v>25307199.258387126</v>
      </c>
      <c r="AC184" s="236">
        <f t="shared" si="136"/>
        <v>14172031.584696794</v>
      </c>
      <c r="AD184" s="236">
        <f t="shared" si="137"/>
        <v>2024575.9406709701</v>
      </c>
      <c r="AE184" s="236">
        <f t="shared" si="138"/>
        <v>0</v>
      </c>
      <c r="AF184" s="971">
        <f t="shared" si="139"/>
        <v>66811006.042142011</v>
      </c>
      <c r="AG184" s="235">
        <f t="shared" si="140"/>
        <v>0</v>
      </c>
      <c r="AH184" s="236">
        <f t="shared" si="141"/>
        <v>0</v>
      </c>
      <c r="AI184" s="236">
        <f t="shared" si="142"/>
        <v>6073727.8220129088</v>
      </c>
      <c r="AJ184" s="236">
        <f t="shared" si="143"/>
        <v>1214745.5644025819</v>
      </c>
      <c r="AK184" s="236">
        <f t="shared" si="144"/>
        <v>0</v>
      </c>
      <c r="AL184" s="236">
        <f t="shared" si="145"/>
        <v>0</v>
      </c>
      <c r="AM184" s="242">
        <f t="shared" si="146"/>
        <v>7288473.3864154909</v>
      </c>
      <c r="AN184" s="235">
        <f t="shared" si="147"/>
        <v>70269656.607454911</v>
      </c>
      <c r="AO184" s="236">
        <f t="shared" si="148"/>
        <v>0</v>
      </c>
      <c r="AP184" s="236">
        <f t="shared" si="149"/>
        <v>35134828.303727455</v>
      </c>
      <c r="AQ184" s="236">
        <f t="shared" si="150"/>
        <v>49602110.546438761</v>
      </c>
      <c r="AR184" s="236">
        <f t="shared" si="151"/>
        <v>2066754.6061016151</v>
      </c>
      <c r="AS184" s="236">
        <f t="shared" si="152"/>
        <v>0</v>
      </c>
      <c r="AT184" s="242">
        <f t="shared" si="153"/>
        <v>157073350.06372273</v>
      </c>
      <c r="AU184" s="254">
        <v>0</v>
      </c>
      <c r="AV184" s="246">
        <f t="shared" si="167"/>
        <v>231.17282949228024</v>
      </c>
      <c r="AW184" s="257">
        <f t="shared" si="154"/>
        <v>3.6436849004121257</v>
      </c>
    </row>
    <row r="185" spans="1:49">
      <c r="A185" s="193">
        <f>'Input data'!A143</f>
        <v>2043</v>
      </c>
      <c r="B185" s="208">
        <f>'Input data'!B143</f>
        <v>72.713504131197794</v>
      </c>
      <c r="C185" s="417">
        <f>'Recycling - Case 2'!E123</f>
        <v>1</v>
      </c>
      <c r="D185" s="525">
        <f>'Recycling - Case 2'!F123</f>
        <v>0.36725000000000002</v>
      </c>
      <c r="E185" s="235">
        <f t="shared" si="155"/>
        <v>1131750243.9688299</v>
      </c>
      <c r="F185" s="236">
        <v>0</v>
      </c>
      <c r="G185" s="237">
        <f t="shared" si="132"/>
        <v>1131750243.9688299</v>
      </c>
      <c r="H185" s="118">
        <f t="shared" si="170"/>
        <v>0.19230769230769232</v>
      </c>
      <c r="I185" s="118">
        <f t="shared" si="171"/>
        <v>0</v>
      </c>
      <c r="J185" s="118">
        <f t="shared" si="172"/>
        <v>0.19230769230769232</v>
      </c>
      <c r="K185" s="118">
        <f t="shared" si="173"/>
        <v>0.53846153846153855</v>
      </c>
      <c r="L185" s="118">
        <f t="shared" si="174"/>
        <v>7.6923076923076927E-2</v>
      </c>
      <c r="M185" s="205">
        <f t="shared" si="175"/>
        <v>0</v>
      </c>
      <c r="N185" s="117">
        <f t="shared" si="176"/>
        <v>0</v>
      </c>
      <c r="O185" s="118">
        <f t="shared" si="177"/>
        <v>0.7</v>
      </c>
      <c r="P185" s="118">
        <f t="shared" si="178"/>
        <v>0.15</v>
      </c>
      <c r="Q185" s="118">
        <f t="shared" si="179"/>
        <v>0.15</v>
      </c>
      <c r="R185" s="118">
        <f t="shared" si="180"/>
        <v>0</v>
      </c>
      <c r="S185" s="205">
        <f t="shared" si="181"/>
        <v>0</v>
      </c>
      <c r="T185" s="117">
        <f t="shared" si="182"/>
        <v>0.42500000000000004</v>
      </c>
      <c r="U185" s="118">
        <f t="shared" si="183"/>
        <v>0</v>
      </c>
      <c r="V185" s="118">
        <f t="shared" si="184"/>
        <v>0.21250000000000002</v>
      </c>
      <c r="W185" s="118">
        <f t="shared" si="185"/>
        <v>0.3</v>
      </c>
      <c r="X185" s="118">
        <f t="shared" si="186"/>
        <v>6.25E-2</v>
      </c>
      <c r="Y185" s="205">
        <f t="shared" si="187"/>
        <v>0</v>
      </c>
      <c r="Z185" s="235">
        <f t="shared" si="166"/>
        <v>25464380.489298675</v>
      </c>
      <c r="AA185" s="236">
        <f t="shared" si="134"/>
        <v>0</v>
      </c>
      <c r="AB185" s="236">
        <f t="shared" si="135"/>
        <v>25464380.489298675</v>
      </c>
      <c r="AC185" s="236">
        <f t="shared" si="136"/>
        <v>14260053.074007262</v>
      </c>
      <c r="AD185" s="236">
        <f t="shared" si="137"/>
        <v>2037150.439143894</v>
      </c>
      <c r="AE185" s="236">
        <f t="shared" si="138"/>
        <v>0</v>
      </c>
      <c r="AF185" s="971">
        <f t="shared" si="139"/>
        <v>67225964.491748512</v>
      </c>
      <c r="AG185" s="235">
        <f t="shared" si="140"/>
        <v>0</v>
      </c>
      <c r="AH185" s="236">
        <f t="shared" si="141"/>
        <v>0</v>
      </c>
      <c r="AI185" s="236">
        <f t="shared" si="142"/>
        <v>6111451.3174316809</v>
      </c>
      <c r="AJ185" s="236">
        <f t="shared" si="143"/>
        <v>1222290.263486336</v>
      </c>
      <c r="AK185" s="236">
        <f t="shared" si="144"/>
        <v>0</v>
      </c>
      <c r="AL185" s="236">
        <f t="shared" si="145"/>
        <v>0</v>
      </c>
      <c r="AM185" s="242">
        <f t="shared" si="146"/>
        <v>7333741.5809180168</v>
      </c>
      <c r="AN185" s="235">
        <f t="shared" si="147"/>
        <v>70706096.491952643</v>
      </c>
      <c r="AO185" s="236">
        <f t="shared" si="148"/>
        <v>0</v>
      </c>
      <c r="AP185" s="236">
        <f t="shared" si="149"/>
        <v>35353048.245976321</v>
      </c>
      <c r="AQ185" s="236">
        <f t="shared" si="150"/>
        <v>49910185.759025395</v>
      </c>
      <c r="AR185" s="236">
        <f t="shared" si="151"/>
        <v>2079591.0732927246</v>
      </c>
      <c r="AS185" s="236">
        <f t="shared" si="152"/>
        <v>0</v>
      </c>
      <c r="AT185" s="242">
        <f t="shared" si="153"/>
        <v>158048921.57024708</v>
      </c>
      <c r="AU185" s="254">
        <v>0</v>
      </c>
      <c r="AV185" s="246">
        <f t="shared" si="167"/>
        <v>232.6086276429136</v>
      </c>
      <c r="AW185" s="257">
        <f t="shared" si="154"/>
        <v>3.666315570517225</v>
      </c>
    </row>
    <row r="186" spans="1:49">
      <c r="A186" s="193">
        <f>'Input data'!A144</f>
        <v>2044</v>
      </c>
      <c r="B186" s="208">
        <f>'Input data'!B144</f>
        <v>73.165122580420132</v>
      </c>
      <c r="C186" s="417">
        <f>'Recycling - Case 2'!E124</f>
        <v>1</v>
      </c>
      <c r="D186" s="525">
        <f>'Recycling - Case 2'!F124</f>
        <v>0.36725000000000002</v>
      </c>
      <c r="E186" s="235">
        <f t="shared" si="155"/>
        <v>1138779464.9669816</v>
      </c>
      <c r="F186" s="236">
        <v>0</v>
      </c>
      <c r="G186" s="237">
        <f t="shared" si="132"/>
        <v>1138779464.9669816</v>
      </c>
      <c r="H186" s="118">
        <f t="shared" si="170"/>
        <v>0.19230769230769232</v>
      </c>
      <c r="I186" s="118">
        <f t="shared" si="171"/>
        <v>0</v>
      </c>
      <c r="J186" s="118">
        <f t="shared" si="172"/>
        <v>0.19230769230769232</v>
      </c>
      <c r="K186" s="118">
        <f t="shared" si="173"/>
        <v>0.53846153846153855</v>
      </c>
      <c r="L186" s="118">
        <f t="shared" si="174"/>
        <v>7.6923076923076927E-2</v>
      </c>
      <c r="M186" s="205">
        <f t="shared" si="175"/>
        <v>0</v>
      </c>
      <c r="N186" s="117">
        <f t="shared" si="176"/>
        <v>0</v>
      </c>
      <c r="O186" s="118">
        <f t="shared" si="177"/>
        <v>0.7</v>
      </c>
      <c r="P186" s="118">
        <f t="shared" si="178"/>
        <v>0.15</v>
      </c>
      <c r="Q186" s="118">
        <f t="shared" si="179"/>
        <v>0.15</v>
      </c>
      <c r="R186" s="118">
        <f t="shared" si="180"/>
        <v>0</v>
      </c>
      <c r="S186" s="205">
        <f t="shared" si="181"/>
        <v>0</v>
      </c>
      <c r="T186" s="117">
        <f t="shared" si="182"/>
        <v>0.42500000000000004</v>
      </c>
      <c r="U186" s="118">
        <f t="shared" si="183"/>
        <v>0</v>
      </c>
      <c r="V186" s="118">
        <f t="shared" si="184"/>
        <v>0.21250000000000002</v>
      </c>
      <c r="W186" s="118">
        <f t="shared" si="185"/>
        <v>0.3</v>
      </c>
      <c r="X186" s="118">
        <f t="shared" si="186"/>
        <v>6.25E-2</v>
      </c>
      <c r="Y186" s="205">
        <f t="shared" si="187"/>
        <v>0</v>
      </c>
      <c r="Z186" s="235">
        <f t="shared" si="166"/>
        <v>25622537.96175709</v>
      </c>
      <c r="AA186" s="236">
        <f t="shared" si="134"/>
        <v>0</v>
      </c>
      <c r="AB186" s="236">
        <f t="shared" si="135"/>
        <v>25622537.96175709</v>
      </c>
      <c r="AC186" s="236">
        <f t="shared" si="136"/>
        <v>14348621.258583972</v>
      </c>
      <c r="AD186" s="236">
        <f t="shared" si="137"/>
        <v>2049803.0369405674</v>
      </c>
      <c r="AE186" s="236">
        <f t="shared" si="138"/>
        <v>0</v>
      </c>
      <c r="AF186" s="971">
        <f t="shared" si="139"/>
        <v>67643500.219038725</v>
      </c>
      <c r="AG186" s="235">
        <f t="shared" si="140"/>
        <v>0</v>
      </c>
      <c r="AH186" s="236">
        <f t="shared" si="141"/>
        <v>0</v>
      </c>
      <c r="AI186" s="236">
        <f t="shared" si="142"/>
        <v>6149409.1108217007</v>
      </c>
      <c r="AJ186" s="236">
        <f t="shared" si="143"/>
        <v>1229881.8221643399</v>
      </c>
      <c r="AK186" s="236">
        <f t="shared" si="144"/>
        <v>0</v>
      </c>
      <c r="AL186" s="236">
        <f t="shared" si="145"/>
        <v>0</v>
      </c>
      <c r="AM186" s="242">
        <f t="shared" si="146"/>
        <v>7379290.9329860406</v>
      </c>
      <c r="AN186" s="235">
        <f t="shared" si="147"/>
        <v>71145247.073812187</v>
      </c>
      <c r="AO186" s="236">
        <f t="shared" si="148"/>
        <v>0</v>
      </c>
      <c r="AP186" s="236">
        <f t="shared" si="149"/>
        <v>35572623.536906093</v>
      </c>
      <c r="AQ186" s="236">
        <f t="shared" si="150"/>
        <v>50220174.405043885</v>
      </c>
      <c r="AR186" s="236">
        <f t="shared" si="151"/>
        <v>2092507.2668768286</v>
      </c>
      <c r="AS186" s="236">
        <f t="shared" si="152"/>
        <v>0</v>
      </c>
      <c r="AT186" s="242">
        <f t="shared" si="153"/>
        <v>159030552.28263897</v>
      </c>
      <c r="AU186" s="254">
        <v>0</v>
      </c>
      <c r="AV186" s="246">
        <f t="shared" si="167"/>
        <v>234.0533434346637</v>
      </c>
      <c r="AW186" s="257">
        <f t="shared" si="154"/>
        <v>3.6890867981193103</v>
      </c>
    </row>
    <row r="187" spans="1:49">
      <c r="A187" s="193">
        <f>'Input data'!A145</f>
        <v>2045</v>
      </c>
      <c r="B187" s="208">
        <f>'Input data'!B145</f>
        <v>73.619545999999971</v>
      </c>
      <c r="C187" s="417">
        <f>'Recycling - Case 2'!E125</f>
        <v>1</v>
      </c>
      <c r="D187" s="525">
        <f>'Recycling - Case 2'!F125</f>
        <v>0.36725000000000002</v>
      </c>
      <c r="E187" s="235">
        <f t="shared" si="155"/>
        <v>1145852343.9613247</v>
      </c>
      <c r="F187" s="236">
        <v>0</v>
      </c>
      <c r="G187" s="237">
        <f t="shared" si="132"/>
        <v>1145852343.9613247</v>
      </c>
      <c r="H187" s="118">
        <f t="shared" si="170"/>
        <v>0.19230769230769232</v>
      </c>
      <c r="I187" s="118">
        <f t="shared" si="171"/>
        <v>0</v>
      </c>
      <c r="J187" s="118">
        <f t="shared" si="172"/>
        <v>0.19230769230769232</v>
      </c>
      <c r="K187" s="118">
        <f t="shared" si="173"/>
        <v>0.53846153846153855</v>
      </c>
      <c r="L187" s="118">
        <f t="shared" si="174"/>
        <v>7.6923076923076927E-2</v>
      </c>
      <c r="M187" s="205">
        <f t="shared" si="175"/>
        <v>0</v>
      </c>
      <c r="N187" s="117">
        <f t="shared" si="176"/>
        <v>0</v>
      </c>
      <c r="O187" s="118">
        <f t="shared" si="177"/>
        <v>0.7</v>
      </c>
      <c r="P187" s="118">
        <f t="shared" si="178"/>
        <v>0.15</v>
      </c>
      <c r="Q187" s="118">
        <f t="shared" si="179"/>
        <v>0.15</v>
      </c>
      <c r="R187" s="118">
        <f t="shared" si="180"/>
        <v>0</v>
      </c>
      <c r="S187" s="205">
        <f t="shared" si="181"/>
        <v>0</v>
      </c>
      <c r="T187" s="117">
        <f t="shared" si="182"/>
        <v>0.42500000000000004</v>
      </c>
      <c r="U187" s="118">
        <f t="shared" si="183"/>
        <v>0</v>
      </c>
      <c r="V187" s="118">
        <f t="shared" si="184"/>
        <v>0.21250000000000002</v>
      </c>
      <c r="W187" s="118">
        <f t="shared" si="185"/>
        <v>0.3</v>
      </c>
      <c r="X187" s="118">
        <f t="shared" si="186"/>
        <v>6.25E-2</v>
      </c>
      <c r="Y187" s="205">
        <f t="shared" si="187"/>
        <v>0</v>
      </c>
      <c r="Z187" s="235">
        <f t="shared" si="166"/>
        <v>25781677.739129808</v>
      </c>
      <c r="AA187" s="236">
        <f t="shared" si="134"/>
        <v>0</v>
      </c>
      <c r="AB187" s="236">
        <f t="shared" si="135"/>
        <v>25781677.739129808</v>
      </c>
      <c r="AC187" s="236">
        <f t="shared" si="136"/>
        <v>14437739.533912696</v>
      </c>
      <c r="AD187" s="236">
        <f t="shared" si="137"/>
        <v>2062534.2191303847</v>
      </c>
      <c r="AE187" s="236">
        <f t="shared" si="138"/>
        <v>0</v>
      </c>
      <c r="AF187" s="971">
        <f t="shared" si="139"/>
        <v>68063629.231302693</v>
      </c>
      <c r="AG187" s="235">
        <f t="shared" si="140"/>
        <v>0</v>
      </c>
      <c r="AH187" s="236">
        <f t="shared" si="141"/>
        <v>0</v>
      </c>
      <c r="AI187" s="236">
        <f t="shared" si="142"/>
        <v>6187602.6573911523</v>
      </c>
      <c r="AJ187" s="236">
        <f t="shared" si="143"/>
        <v>1237520.5314782304</v>
      </c>
      <c r="AK187" s="236">
        <f t="shared" si="144"/>
        <v>0</v>
      </c>
      <c r="AL187" s="236">
        <f t="shared" si="145"/>
        <v>0</v>
      </c>
      <c r="AM187" s="242">
        <f t="shared" si="146"/>
        <v>7425123.1888693832</v>
      </c>
      <c r="AN187" s="235">
        <f t="shared" si="147"/>
        <v>71587125.188983753</v>
      </c>
      <c r="AO187" s="236">
        <f t="shared" si="148"/>
        <v>0</v>
      </c>
      <c r="AP187" s="236">
        <f t="shared" si="149"/>
        <v>35793562.594491877</v>
      </c>
      <c r="AQ187" s="236">
        <f t="shared" si="150"/>
        <v>50532088.368694417</v>
      </c>
      <c r="AR187" s="236">
        <f t="shared" si="151"/>
        <v>2105503.6820289339</v>
      </c>
      <c r="AS187" s="236">
        <f t="shared" si="152"/>
        <v>0</v>
      </c>
      <c r="AT187" s="242">
        <f t="shared" si="153"/>
        <v>160018279.83419898</v>
      </c>
      <c r="AU187" s="254">
        <v>0</v>
      </c>
      <c r="AV187" s="246">
        <f t="shared" si="167"/>
        <v>235.50703225437104</v>
      </c>
      <c r="AW187" s="257">
        <f t="shared" si="154"/>
        <v>3.711999456211089</v>
      </c>
    </row>
    <row r="188" spans="1:49">
      <c r="A188" s="193">
        <f>'Input data'!A146</f>
        <v>2046</v>
      </c>
      <c r="B188" s="208">
        <f>'Input data'!B146</f>
        <v>73.995362001779526</v>
      </c>
      <c r="C188" s="417">
        <f>'Recycling - Case 2'!E126</f>
        <v>1</v>
      </c>
      <c r="D188" s="525">
        <f>'Recycling - Case 2'!F126</f>
        <v>0.36725000000000002</v>
      </c>
      <c r="E188" s="235">
        <f t="shared" si="155"/>
        <v>1151701736.8187225</v>
      </c>
      <c r="F188" s="236">
        <v>0</v>
      </c>
      <c r="G188" s="237">
        <f t="shared" si="132"/>
        <v>1151701736.8187225</v>
      </c>
      <c r="H188" s="118">
        <f t="shared" si="170"/>
        <v>0.19230769230769232</v>
      </c>
      <c r="I188" s="118">
        <f t="shared" si="171"/>
        <v>0</v>
      </c>
      <c r="J188" s="118">
        <f t="shared" si="172"/>
        <v>0.19230769230769232</v>
      </c>
      <c r="K188" s="118">
        <f t="shared" si="173"/>
        <v>0.53846153846153855</v>
      </c>
      <c r="L188" s="118">
        <f t="shared" si="174"/>
        <v>7.6923076923076927E-2</v>
      </c>
      <c r="M188" s="205">
        <f t="shared" si="175"/>
        <v>0</v>
      </c>
      <c r="N188" s="117">
        <f t="shared" si="176"/>
        <v>0</v>
      </c>
      <c r="O188" s="118">
        <f t="shared" si="177"/>
        <v>0.7</v>
      </c>
      <c r="P188" s="118">
        <f t="shared" si="178"/>
        <v>0.15</v>
      </c>
      <c r="Q188" s="118">
        <f t="shared" si="179"/>
        <v>0.15</v>
      </c>
      <c r="R188" s="118">
        <f t="shared" si="180"/>
        <v>0</v>
      </c>
      <c r="S188" s="205">
        <f t="shared" si="181"/>
        <v>0</v>
      </c>
      <c r="T188" s="117">
        <f t="shared" si="182"/>
        <v>0.42500000000000004</v>
      </c>
      <c r="U188" s="118">
        <f t="shared" si="183"/>
        <v>0</v>
      </c>
      <c r="V188" s="118">
        <f t="shared" si="184"/>
        <v>0.21250000000000002</v>
      </c>
      <c r="W188" s="118">
        <f t="shared" si="185"/>
        <v>0.3</v>
      </c>
      <c r="X188" s="118">
        <f t="shared" si="186"/>
        <v>6.25E-2</v>
      </c>
      <c r="Y188" s="205">
        <f t="shared" si="187"/>
        <v>0</v>
      </c>
      <c r="Z188" s="235">
        <f t="shared" si="166"/>
        <v>25913289.078421257</v>
      </c>
      <c r="AA188" s="236">
        <f t="shared" si="134"/>
        <v>0</v>
      </c>
      <c r="AB188" s="236">
        <f t="shared" si="135"/>
        <v>25913289.078421257</v>
      </c>
      <c r="AC188" s="236">
        <f t="shared" si="136"/>
        <v>14511441.883915907</v>
      </c>
      <c r="AD188" s="236">
        <f t="shared" si="137"/>
        <v>2073063.1262737007</v>
      </c>
      <c r="AE188" s="236">
        <f t="shared" si="138"/>
        <v>0</v>
      </c>
      <c r="AF188" s="971">
        <f t="shared" si="139"/>
        <v>68411083.167032123</v>
      </c>
      <c r="AG188" s="235">
        <f t="shared" si="140"/>
        <v>0</v>
      </c>
      <c r="AH188" s="236">
        <f t="shared" si="141"/>
        <v>0</v>
      </c>
      <c r="AI188" s="236">
        <f t="shared" si="142"/>
        <v>6219189.378821101</v>
      </c>
      <c r="AJ188" s="236">
        <f t="shared" si="143"/>
        <v>1243837.87576422</v>
      </c>
      <c r="AK188" s="236">
        <f t="shared" si="144"/>
        <v>0</v>
      </c>
      <c r="AL188" s="236">
        <f t="shared" si="145"/>
        <v>0</v>
      </c>
      <c r="AM188" s="242">
        <f t="shared" si="146"/>
        <v>7463027.2545853211</v>
      </c>
      <c r="AN188" s="235">
        <f t="shared" si="147"/>
        <v>71952566.007749677</v>
      </c>
      <c r="AO188" s="236">
        <f t="shared" si="148"/>
        <v>0</v>
      </c>
      <c r="AP188" s="236">
        <f t="shared" si="149"/>
        <v>35976283.003874838</v>
      </c>
      <c r="AQ188" s="236">
        <f t="shared" si="150"/>
        <v>50790046.593705654</v>
      </c>
      <c r="AR188" s="236">
        <f t="shared" si="151"/>
        <v>2116251.9414044023</v>
      </c>
      <c r="AS188" s="236">
        <f t="shared" si="152"/>
        <v>0</v>
      </c>
      <c r="AT188" s="242">
        <f t="shared" si="153"/>
        <v>160835147.54673457</v>
      </c>
      <c r="AU188" s="254">
        <v>0</v>
      </c>
      <c r="AV188" s="246">
        <f t="shared" si="167"/>
        <v>236.70925796835201</v>
      </c>
      <c r="AW188" s="257">
        <f t="shared" si="154"/>
        <v>3.7309486194433799</v>
      </c>
    </row>
    <row r="189" spans="1:49">
      <c r="A189" s="193">
        <f>'Input data'!A147</f>
        <v>2047</v>
      </c>
      <c r="B189" s="208">
        <f>'Input data'!B147</f>
        <v>74.373096484110363</v>
      </c>
      <c r="C189" s="417">
        <f>'Recycling - Case 2'!E127</f>
        <v>1</v>
      </c>
      <c r="D189" s="525">
        <f>'Recycling - Case 2'!F127</f>
        <v>0.36725000000000002</v>
      </c>
      <c r="E189" s="235">
        <f t="shared" si="155"/>
        <v>1157580989.8906419</v>
      </c>
      <c r="F189" s="236">
        <v>0</v>
      </c>
      <c r="G189" s="237">
        <f t="shared" si="132"/>
        <v>1157580989.8906419</v>
      </c>
      <c r="H189" s="118">
        <f t="shared" si="170"/>
        <v>0.19230769230769232</v>
      </c>
      <c r="I189" s="118">
        <f t="shared" si="171"/>
        <v>0</v>
      </c>
      <c r="J189" s="118">
        <f t="shared" si="172"/>
        <v>0.19230769230769232</v>
      </c>
      <c r="K189" s="118">
        <f t="shared" si="173"/>
        <v>0.53846153846153855</v>
      </c>
      <c r="L189" s="118">
        <f t="shared" si="174"/>
        <v>7.6923076923076927E-2</v>
      </c>
      <c r="M189" s="205">
        <f t="shared" si="175"/>
        <v>0</v>
      </c>
      <c r="N189" s="117">
        <f t="shared" si="176"/>
        <v>0</v>
      </c>
      <c r="O189" s="118">
        <f t="shared" si="177"/>
        <v>0.7</v>
      </c>
      <c r="P189" s="118">
        <f t="shared" si="178"/>
        <v>0.15</v>
      </c>
      <c r="Q189" s="118">
        <f t="shared" si="179"/>
        <v>0.15</v>
      </c>
      <c r="R189" s="118">
        <f t="shared" si="180"/>
        <v>0</v>
      </c>
      <c r="S189" s="205">
        <f t="shared" si="181"/>
        <v>0</v>
      </c>
      <c r="T189" s="117">
        <f t="shared" si="182"/>
        <v>0.42500000000000004</v>
      </c>
      <c r="U189" s="118">
        <f t="shared" si="183"/>
        <v>0</v>
      </c>
      <c r="V189" s="118">
        <f t="shared" si="184"/>
        <v>0.21250000000000002</v>
      </c>
      <c r="W189" s="118">
        <f t="shared" si="185"/>
        <v>0.3</v>
      </c>
      <c r="X189" s="118">
        <f t="shared" si="186"/>
        <v>6.25E-2</v>
      </c>
      <c r="Y189" s="205">
        <f t="shared" si="187"/>
        <v>0</v>
      </c>
      <c r="Z189" s="235">
        <f t="shared" si="166"/>
        <v>26045572.272539444</v>
      </c>
      <c r="AA189" s="236">
        <f t="shared" si="134"/>
        <v>0</v>
      </c>
      <c r="AB189" s="236">
        <f t="shared" si="135"/>
        <v>26045572.272539444</v>
      </c>
      <c r="AC189" s="236">
        <f t="shared" si="136"/>
        <v>14585520.472622091</v>
      </c>
      <c r="AD189" s="236">
        <f t="shared" si="137"/>
        <v>2083645.7818031558</v>
      </c>
      <c r="AE189" s="236">
        <f t="shared" si="138"/>
        <v>0</v>
      </c>
      <c r="AF189" s="971">
        <f t="shared" si="139"/>
        <v>68760310.799504131</v>
      </c>
      <c r="AG189" s="235">
        <f t="shared" si="140"/>
        <v>0</v>
      </c>
      <c r="AH189" s="236">
        <f t="shared" si="141"/>
        <v>0</v>
      </c>
      <c r="AI189" s="236">
        <f t="shared" si="142"/>
        <v>6250937.345409466</v>
      </c>
      <c r="AJ189" s="236">
        <f t="shared" si="143"/>
        <v>1250187.4690818931</v>
      </c>
      <c r="AK189" s="236">
        <f t="shared" si="144"/>
        <v>0</v>
      </c>
      <c r="AL189" s="236">
        <f t="shared" si="145"/>
        <v>0</v>
      </c>
      <c r="AM189" s="242">
        <f t="shared" si="146"/>
        <v>7501124.8144913595</v>
      </c>
      <c r="AN189" s="235">
        <f t="shared" si="147"/>
        <v>72319872.343417853</v>
      </c>
      <c r="AO189" s="236">
        <f t="shared" si="148"/>
        <v>0</v>
      </c>
      <c r="AP189" s="236">
        <f t="shared" si="149"/>
        <v>36159936.171708927</v>
      </c>
      <c r="AQ189" s="236">
        <f t="shared" si="150"/>
        <v>51049321.654177308</v>
      </c>
      <c r="AR189" s="236">
        <f t="shared" si="151"/>
        <v>2127055.0689240545</v>
      </c>
      <c r="AS189" s="236">
        <f t="shared" si="152"/>
        <v>0</v>
      </c>
      <c r="AT189" s="242">
        <f t="shared" si="153"/>
        <v>161656185.23822814</v>
      </c>
      <c r="AU189" s="254">
        <v>0</v>
      </c>
      <c r="AV189" s="246">
        <f t="shared" si="167"/>
        <v>237.91762085222362</v>
      </c>
      <c r="AW189" s="257">
        <f t="shared" si="154"/>
        <v>3.74999451512174</v>
      </c>
    </row>
    <row r="190" spans="1:49">
      <c r="A190" s="193">
        <f>'Input data'!A148</f>
        <v>2048</v>
      </c>
      <c r="B190" s="208">
        <f>'Input data'!B148</f>
        <v>74.752759240528661</v>
      </c>
      <c r="C190" s="417">
        <f>'Recycling - Case 2'!E128</f>
        <v>1</v>
      </c>
      <c r="D190" s="525">
        <f>'Recycling - Case 2'!F128</f>
        <v>0.36725000000000002</v>
      </c>
      <c r="E190" s="235">
        <f t="shared" si="155"/>
        <v>1163490255.6086991</v>
      </c>
      <c r="F190" s="236">
        <v>0</v>
      </c>
      <c r="G190" s="237">
        <f t="shared" si="132"/>
        <v>1163490255.6086991</v>
      </c>
      <c r="H190" s="118">
        <f t="shared" si="170"/>
        <v>0.19230769230769232</v>
      </c>
      <c r="I190" s="118">
        <f t="shared" si="171"/>
        <v>0</v>
      </c>
      <c r="J190" s="118">
        <f t="shared" si="172"/>
        <v>0.19230769230769232</v>
      </c>
      <c r="K190" s="118">
        <f t="shared" si="173"/>
        <v>0.53846153846153855</v>
      </c>
      <c r="L190" s="118">
        <f t="shared" si="174"/>
        <v>7.6923076923076927E-2</v>
      </c>
      <c r="M190" s="205">
        <f t="shared" si="175"/>
        <v>0</v>
      </c>
      <c r="N190" s="117">
        <f t="shared" si="176"/>
        <v>0</v>
      </c>
      <c r="O190" s="118">
        <f t="shared" si="177"/>
        <v>0.7</v>
      </c>
      <c r="P190" s="118">
        <f t="shared" si="178"/>
        <v>0.15</v>
      </c>
      <c r="Q190" s="118">
        <f t="shared" si="179"/>
        <v>0.15</v>
      </c>
      <c r="R190" s="118">
        <f t="shared" si="180"/>
        <v>0</v>
      </c>
      <c r="S190" s="205">
        <f t="shared" si="181"/>
        <v>0</v>
      </c>
      <c r="T190" s="117">
        <f t="shared" si="182"/>
        <v>0.42500000000000004</v>
      </c>
      <c r="U190" s="118">
        <f t="shared" si="183"/>
        <v>0</v>
      </c>
      <c r="V190" s="118">
        <f t="shared" si="184"/>
        <v>0.21250000000000002</v>
      </c>
      <c r="W190" s="118">
        <f t="shared" si="185"/>
        <v>0.3</v>
      </c>
      <c r="X190" s="118">
        <f t="shared" si="186"/>
        <v>6.25E-2</v>
      </c>
      <c r="Y190" s="205">
        <f t="shared" si="187"/>
        <v>0</v>
      </c>
      <c r="Z190" s="235">
        <f t="shared" si="166"/>
        <v>26178530.751195729</v>
      </c>
      <c r="AA190" s="236">
        <f t="shared" si="134"/>
        <v>0</v>
      </c>
      <c r="AB190" s="236">
        <f t="shared" si="135"/>
        <v>26178530.751195729</v>
      </c>
      <c r="AC190" s="236">
        <f t="shared" si="136"/>
        <v>14659977.220669612</v>
      </c>
      <c r="AD190" s="236">
        <f t="shared" si="137"/>
        <v>2094282.4600956584</v>
      </c>
      <c r="AE190" s="236">
        <f t="shared" si="138"/>
        <v>0</v>
      </c>
      <c r="AF190" s="971">
        <f t="shared" si="139"/>
        <v>69111321.183156729</v>
      </c>
      <c r="AG190" s="235">
        <f t="shared" si="140"/>
        <v>0</v>
      </c>
      <c r="AH190" s="236">
        <f t="shared" si="141"/>
        <v>0</v>
      </c>
      <c r="AI190" s="236">
        <f t="shared" si="142"/>
        <v>6282847.3802869748</v>
      </c>
      <c r="AJ190" s="236">
        <f t="shared" si="143"/>
        <v>1256569.4760573949</v>
      </c>
      <c r="AK190" s="236">
        <f t="shared" si="144"/>
        <v>0</v>
      </c>
      <c r="AL190" s="236">
        <f t="shared" si="145"/>
        <v>0</v>
      </c>
      <c r="AM190" s="242">
        <f t="shared" si="146"/>
        <v>7539416.8563443702</v>
      </c>
      <c r="AN190" s="235">
        <f t="shared" si="147"/>
        <v>72689053.719153479</v>
      </c>
      <c r="AO190" s="236">
        <f t="shared" si="148"/>
        <v>0</v>
      </c>
      <c r="AP190" s="236">
        <f t="shared" si="149"/>
        <v>36344526.859576739</v>
      </c>
      <c r="AQ190" s="236">
        <f t="shared" si="150"/>
        <v>51309920.272343628</v>
      </c>
      <c r="AR190" s="236">
        <f t="shared" si="151"/>
        <v>2137913.3446809845</v>
      </c>
      <c r="AS190" s="236">
        <f t="shared" si="152"/>
        <v>0</v>
      </c>
      <c r="AT190" s="242">
        <f t="shared" si="153"/>
        <v>162481414.19575486</v>
      </c>
      <c r="AU190" s="254">
        <v>0</v>
      </c>
      <c r="AV190" s="246">
        <f t="shared" si="167"/>
        <v>239.13215223525594</v>
      </c>
      <c r="AW190" s="257">
        <f t="shared" si="154"/>
        <v>3.769137637049826</v>
      </c>
    </row>
    <row r="191" spans="1:49">
      <c r="A191" s="193">
        <f>'Input data'!A149</f>
        <v>2049</v>
      </c>
      <c r="B191" s="208">
        <f>'Input data'!B149</f>
        <v>75.134360114565098</v>
      </c>
      <c r="C191" s="417">
        <f>'Recycling - Case 2'!E129</f>
        <v>1</v>
      </c>
      <c r="D191" s="525">
        <f>'Recycling - Case 2'!F129</f>
        <v>0.36725000000000002</v>
      </c>
      <c r="E191" s="235">
        <f t="shared" si="155"/>
        <v>1169429687.1826501</v>
      </c>
      <c r="F191" s="236">
        <v>0</v>
      </c>
      <c r="G191" s="237">
        <f t="shared" si="132"/>
        <v>1169429687.1826501</v>
      </c>
      <c r="H191" s="118">
        <f t="shared" si="170"/>
        <v>0.19230769230769232</v>
      </c>
      <c r="I191" s="118">
        <f t="shared" si="171"/>
        <v>0</v>
      </c>
      <c r="J191" s="118">
        <f t="shared" si="172"/>
        <v>0.19230769230769232</v>
      </c>
      <c r="K191" s="118">
        <f t="shared" si="173"/>
        <v>0.53846153846153855</v>
      </c>
      <c r="L191" s="118">
        <f t="shared" si="174"/>
        <v>7.6923076923076927E-2</v>
      </c>
      <c r="M191" s="205">
        <f t="shared" si="175"/>
        <v>0</v>
      </c>
      <c r="N191" s="117">
        <f t="shared" si="176"/>
        <v>0</v>
      </c>
      <c r="O191" s="118">
        <f t="shared" si="177"/>
        <v>0.7</v>
      </c>
      <c r="P191" s="118">
        <f t="shared" si="178"/>
        <v>0.15</v>
      </c>
      <c r="Q191" s="118">
        <f t="shared" si="179"/>
        <v>0.15</v>
      </c>
      <c r="R191" s="118">
        <f t="shared" si="180"/>
        <v>0</v>
      </c>
      <c r="S191" s="205">
        <f t="shared" si="181"/>
        <v>0</v>
      </c>
      <c r="T191" s="117">
        <f t="shared" si="182"/>
        <v>0.42500000000000004</v>
      </c>
      <c r="U191" s="118">
        <f t="shared" si="183"/>
        <v>0</v>
      </c>
      <c r="V191" s="118">
        <f t="shared" si="184"/>
        <v>0.21250000000000002</v>
      </c>
      <c r="W191" s="118">
        <f t="shared" si="185"/>
        <v>0.3</v>
      </c>
      <c r="X191" s="118">
        <f t="shared" si="186"/>
        <v>6.25E-2</v>
      </c>
      <c r="Y191" s="205">
        <f t="shared" si="187"/>
        <v>0</v>
      </c>
      <c r="Z191" s="235">
        <f t="shared" si="166"/>
        <v>26312167.961609632</v>
      </c>
      <c r="AA191" s="236">
        <f t="shared" si="134"/>
        <v>0</v>
      </c>
      <c r="AB191" s="236">
        <f t="shared" si="135"/>
        <v>26312167.961609632</v>
      </c>
      <c r="AC191" s="236">
        <f t="shared" si="136"/>
        <v>14734814.058501394</v>
      </c>
      <c r="AD191" s="236">
        <f t="shared" si="137"/>
        <v>2104973.4369287705</v>
      </c>
      <c r="AE191" s="236">
        <f t="shared" si="138"/>
        <v>0</v>
      </c>
      <c r="AF191" s="971">
        <f t="shared" si="139"/>
        <v>69464123.41864942</v>
      </c>
      <c r="AG191" s="235">
        <f t="shared" si="140"/>
        <v>0</v>
      </c>
      <c r="AH191" s="236">
        <f t="shared" si="141"/>
        <v>0</v>
      </c>
      <c r="AI191" s="236">
        <f t="shared" si="142"/>
        <v>6314920.3107863097</v>
      </c>
      <c r="AJ191" s="236">
        <f t="shared" si="143"/>
        <v>1262984.0621572619</v>
      </c>
      <c r="AK191" s="236">
        <f t="shared" si="144"/>
        <v>0</v>
      </c>
      <c r="AL191" s="236">
        <f t="shared" si="145"/>
        <v>0</v>
      </c>
      <c r="AM191" s="242">
        <f t="shared" si="146"/>
        <v>7577904.3729435718</v>
      </c>
      <c r="AN191" s="235">
        <f t="shared" si="147"/>
        <v>73060119.706736073</v>
      </c>
      <c r="AO191" s="236">
        <f t="shared" si="148"/>
        <v>0</v>
      </c>
      <c r="AP191" s="236">
        <f t="shared" si="149"/>
        <v>36530059.853368036</v>
      </c>
      <c r="AQ191" s="236">
        <f t="shared" si="150"/>
        <v>51571849.204754859</v>
      </c>
      <c r="AR191" s="236">
        <f t="shared" si="151"/>
        <v>2148827.0501981191</v>
      </c>
      <c r="AS191" s="236">
        <f t="shared" si="152"/>
        <v>0</v>
      </c>
      <c r="AT191" s="242">
        <f t="shared" si="153"/>
        <v>163310855.81505707</v>
      </c>
      <c r="AU191" s="254">
        <v>0</v>
      </c>
      <c r="AV191" s="246">
        <f t="shared" si="167"/>
        <v>240.35288360665007</v>
      </c>
      <c r="AW191" s="257">
        <f t="shared" si="154"/>
        <v>3.7883784815520856</v>
      </c>
    </row>
    <row r="192" spans="1:49" ht="15.75" thickBot="1">
      <c r="A192" s="195">
        <f>'Input data'!A150</f>
        <v>2050</v>
      </c>
      <c r="B192" s="209">
        <f>'Input data'!B150</f>
        <v>75.517908999999989</v>
      </c>
      <c r="C192" s="651">
        <f>'Recycling - Case 2'!E130</f>
        <v>1</v>
      </c>
      <c r="D192" s="652">
        <f>'Recycling - Case 2'!F130</f>
        <v>0.36725000000000002</v>
      </c>
      <c r="E192" s="238">
        <f>B192*$C$4*($C$7*$C$11+$C$8*$C$10+$C$7*$C$12)*10^6</f>
        <v>1175399438.6043625</v>
      </c>
      <c r="F192" s="239">
        <v>0</v>
      </c>
      <c r="G192" s="240">
        <f t="shared" si="132"/>
        <v>1175399438.6043625</v>
      </c>
      <c r="H192" s="121">
        <f t="shared" si="170"/>
        <v>0.19230769230769232</v>
      </c>
      <c r="I192" s="121">
        <f t="shared" si="171"/>
        <v>0</v>
      </c>
      <c r="J192" s="121">
        <f t="shared" si="172"/>
        <v>0.19230769230769232</v>
      </c>
      <c r="K192" s="121">
        <f t="shared" si="173"/>
        <v>0.53846153846153855</v>
      </c>
      <c r="L192" s="121">
        <f t="shared" si="174"/>
        <v>7.6923076923076927E-2</v>
      </c>
      <c r="M192" s="206">
        <f t="shared" si="175"/>
        <v>0</v>
      </c>
      <c r="N192" s="120">
        <f t="shared" si="176"/>
        <v>0</v>
      </c>
      <c r="O192" s="121">
        <f t="shared" si="177"/>
        <v>0.7</v>
      </c>
      <c r="P192" s="121">
        <f t="shared" si="178"/>
        <v>0.15</v>
      </c>
      <c r="Q192" s="121">
        <f t="shared" si="179"/>
        <v>0.15</v>
      </c>
      <c r="R192" s="121">
        <f t="shared" si="180"/>
        <v>0</v>
      </c>
      <c r="S192" s="206">
        <f t="shared" si="181"/>
        <v>0</v>
      </c>
      <c r="T192" s="120">
        <f t="shared" si="182"/>
        <v>0.42500000000000004</v>
      </c>
      <c r="U192" s="121">
        <f t="shared" si="183"/>
        <v>0</v>
      </c>
      <c r="V192" s="121">
        <f t="shared" si="184"/>
        <v>0.21250000000000002</v>
      </c>
      <c r="W192" s="121">
        <f t="shared" si="185"/>
        <v>0.3</v>
      </c>
      <c r="X192" s="121">
        <f t="shared" si="186"/>
        <v>6.25E-2</v>
      </c>
      <c r="Y192" s="206">
        <f t="shared" si="187"/>
        <v>0</v>
      </c>
      <c r="Z192" s="238">
        <f>H192*$C$35*G192*$C$10</f>
        <v>26446487.368598159</v>
      </c>
      <c r="AA192" s="239">
        <f t="shared" si="134"/>
        <v>0</v>
      </c>
      <c r="AB192" s="239">
        <f t="shared" si="135"/>
        <v>26446487.368598159</v>
      </c>
      <c r="AC192" s="239">
        <f t="shared" si="136"/>
        <v>14810032.926414972</v>
      </c>
      <c r="AD192" s="239">
        <f t="shared" si="137"/>
        <v>2115718.9894878524</v>
      </c>
      <c r="AE192" s="239">
        <f t="shared" si="138"/>
        <v>0</v>
      </c>
      <c r="AF192" s="972">
        <f t="shared" si="139"/>
        <v>69818726.653099149</v>
      </c>
      <c r="AG192" s="238">
        <f t="shared" si="140"/>
        <v>0</v>
      </c>
      <c r="AH192" s="239">
        <f t="shared" si="141"/>
        <v>0</v>
      </c>
      <c r="AI192" s="239">
        <f t="shared" si="142"/>
        <v>6347156.9684635568</v>
      </c>
      <c r="AJ192" s="239">
        <f t="shared" si="143"/>
        <v>1269431.3936927111</v>
      </c>
      <c r="AK192" s="239">
        <f t="shared" si="144"/>
        <v>0</v>
      </c>
      <c r="AL192" s="239">
        <f t="shared" si="145"/>
        <v>0</v>
      </c>
      <c r="AM192" s="243">
        <f t="shared" si="146"/>
        <v>7616588.3621562682</v>
      </c>
      <c r="AN192" s="238">
        <f t="shared" si="147"/>
        <v>73433079.926807553</v>
      </c>
      <c r="AO192" s="239">
        <f t="shared" si="148"/>
        <v>0</v>
      </c>
      <c r="AP192" s="239">
        <f t="shared" si="149"/>
        <v>36716539.963403776</v>
      </c>
      <c r="AQ192" s="239">
        <f t="shared" si="150"/>
        <v>51835115.242452383</v>
      </c>
      <c r="AR192" s="239">
        <f t="shared" si="151"/>
        <v>2159796.4684355161</v>
      </c>
      <c r="AS192" s="239">
        <f t="shared" si="152"/>
        <v>0</v>
      </c>
      <c r="AT192" s="243">
        <f t="shared" si="153"/>
        <v>164144531.60109925</v>
      </c>
      <c r="AU192" s="255">
        <v>0</v>
      </c>
      <c r="AV192" s="249">
        <f t="shared" si="167"/>
        <v>241.57984661635467</v>
      </c>
      <c r="AW192" s="258">
        <f t="shared" si="154"/>
        <v>3.8077175474866229</v>
      </c>
    </row>
    <row r="193" spans="1:49" ht="21.75" thickBot="1">
      <c r="A193" s="975" t="s">
        <v>620</v>
      </c>
      <c r="B193" s="976"/>
      <c r="C193" s="943"/>
      <c r="D193" s="976"/>
      <c r="E193" s="977"/>
      <c r="F193" s="977"/>
      <c r="G193" s="1440"/>
      <c r="H193" s="976"/>
      <c r="I193" s="976"/>
      <c r="J193" s="976"/>
      <c r="K193" s="976"/>
      <c r="L193" s="976"/>
      <c r="M193" s="976"/>
      <c r="N193" s="976"/>
      <c r="O193" s="976"/>
      <c r="P193" s="976"/>
      <c r="Q193" s="976"/>
      <c r="R193" s="976"/>
      <c r="S193" s="976"/>
      <c r="T193" s="177"/>
      <c r="U193" s="177"/>
      <c r="V193" s="177"/>
      <c r="W193" s="177"/>
      <c r="X193" s="177"/>
      <c r="Y193" s="177"/>
      <c r="Z193" s="977"/>
      <c r="AA193" s="977"/>
      <c r="AB193" s="977"/>
      <c r="AC193" s="977"/>
      <c r="AD193" s="977"/>
      <c r="AE193" s="977"/>
      <c r="AF193" s="977"/>
      <c r="AG193" s="977"/>
      <c r="AH193" s="977"/>
      <c r="AI193" s="977"/>
      <c r="AJ193" s="977"/>
      <c r="AK193" s="977"/>
      <c r="AL193" s="977"/>
      <c r="AM193" s="977"/>
      <c r="AN193" s="977"/>
      <c r="AO193" s="977"/>
      <c r="AP193" s="977"/>
      <c r="AQ193" s="977"/>
      <c r="AR193" s="977"/>
      <c r="AS193" s="977"/>
      <c r="AT193" s="977"/>
      <c r="AU193" s="978"/>
      <c r="AV193" s="979"/>
      <c r="AW193" s="980"/>
    </row>
    <row r="194" spans="1:49">
      <c r="A194" s="127">
        <f>'Input data'!A118</f>
        <v>2018</v>
      </c>
      <c r="B194" s="105">
        <f>'Input data'!B118</f>
        <v>57.436000617299655</v>
      </c>
      <c r="C194" s="417">
        <f>'Recycling - Case 3'!E98</f>
        <v>0.73673846153846156</v>
      </c>
      <c r="D194" s="525">
        <f>'Recycling - Case 3'!F98</f>
        <v>0.29578461538461537</v>
      </c>
      <c r="E194" s="235">
        <f t="shared" ref="E194:E226" si="188">B194*$C$4*($C$7*$C$11+$C$8*$C$10+$C$7*$C$12)*10^6</f>
        <v>893963349.55796838</v>
      </c>
      <c r="F194" s="236">
        <v>0</v>
      </c>
      <c r="G194" s="237">
        <f t="shared" ref="G194:G226" si="189">E194-F194</f>
        <v>893963349.55796838</v>
      </c>
      <c r="H194" s="671">
        <f>($H$206-$H$124)/($A$206-$A$124)+H124</f>
        <v>0.10710059171597634</v>
      </c>
      <c r="I194" s="671">
        <f t="shared" ref="I194:I205" si="190">$D$16</f>
        <v>0</v>
      </c>
      <c r="J194" s="671">
        <f>($J$206-$J$124)/($A$206-$A$124)+J124</f>
        <v>0.10710059171597634</v>
      </c>
      <c r="K194" s="671">
        <f>($K$206-$K$124)/($A$206-$A$124)+K124</f>
        <v>0.29988165680473378</v>
      </c>
      <c r="L194" s="671">
        <f>($L$206-$L$124)/($A$206-$A$124)+L124</f>
        <v>4.2840236686390532E-2</v>
      </c>
      <c r="M194" s="807">
        <f>($M$206-$M$124)/($A$206-$A$124)+M124</f>
        <v>0.44307692307692303</v>
      </c>
      <c r="N194" s="806">
        <f>($N$206-$N$124)/($A$206-$A$124)+N124</f>
        <v>0</v>
      </c>
      <c r="O194" s="671">
        <f>($O$206-$O$124)/($A$206-$A$124)+O124</f>
        <v>0.7</v>
      </c>
      <c r="P194" s="671">
        <f>($P$206-$P$124)/($A$206-$A$124)+P124</f>
        <v>0.15</v>
      </c>
      <c r="Q194" s="671">
        <f>($Q$206-$Q$124)/($A$206-$A$124)+Q124</f>
        <v>0.15</v>
      </c>
      <c r="R194" s="671">
        <f>($R$206-$R$124)/($A$206-$A$124)+R124</f>
        <v>0</v>
      </c>
      <c r="S194" s="807">
        <f>($S$206-$S$124)/($A$206-$A$124)+S124</f>
        <v>0</v>
      </c>
      <c r="T194" s="806">
        <f>($T$206-$T$124)/($A$206-$A$124)+T124</f>
        <v>0.34653846153846157</v>
      </c>
      <c r="U194" s="671">
        <f>($U$206-$U$124)/($A$206-$A$124)+U124</f>
        <v>0</v>
      </c>
      <c r="V194" s="671">
        <f>($V$206-$V$124)/($A$206-$A$124)+V124</f>
        <v>0.17326923076923079</v>
      </c>
      <c r="W194" s="671">
        <f>($W$206-$W$124)/($A$206-$A$124)+W124</f>
        <v>0.2446153846153846</v>
      </c>
      <c r="X194" s="671">
        <f>($X$206-$X$124)/($A$206-$A$124)+X124</f>
        <v>5.0961538461538461E-2</v>
      </c>
      <c r="Y194" s="807">
        <f>($Y$206-$Y$124)/($A$206-$A$124)+Y124</f>
        <v>0.18461538461538463</v>
      </c>
      <c r="Z194" s="236">
        <f t="shared" ref="Z194:Z202" si="191">H194*$C$35*G194*$C$10</f>
        <v>11202048.434076387</v>
      </c>
      <c r="AA194" s="236">
        <f t="shared" ref="AA194:AA202" si="192">I194*$C$36*G194*$C$10</f>
        <v>0</v>
      </c>
      <c r="AB194" s="236">
        <f t="shared" ref="AB194:AB202" si="193">J194*$C$37*G194*$C$10</f>
        <v>11202048.434076387</v>
      </c>
      <c r="AC194" s="236">
        <f t="shared" ref="AC194:AC202" si="194">K194*$C$40*G194*$C$10</f>
        <v>6273147.1230827775</v>
      </c>
      <c r="AD194" s="236">
        <f t="shared" ref="AD194:AD202" si="195">L194*$C$41*G194*$C$10</f>
        <v>896163.87472611107</v>
      </c>
      <c r="AE194" s="236">
        <f t="shared" ref="AE194:AE202" si="196">M194*$C$42*G194*$C$10</f>
        <v>0</v>
      </c>
      <c r="AF194" s="242">
        <f t="shared" ref="AF194:AF202" si="197">SUM(Z194:AE194)</f>
        <v>29573407.865961663</v>
      </c>
      <c r="AG194" s="235">
        <f t="shared" ref="AG194:AG202" si="198">N194*$C$35*G194*$C$11</f>
        <v>0</v>
      </c>
      <c r="AH194" s="236">
        <f t="shared" ref="AH194:AH202" si="199">O194*$C$36*G194*$C$11</f>
        <v>0</v>
      </c>
      <c r="AI194" s="236">
        <f t="shared" ref="AI194:AI202" si="200">P194*$C$37*G194*$C$11</f>
        <v>4827402.0876130285</v>
      </c>
      <c r="AJ194" s="236">
        <f t="shared" ref="AJ194:AJ202" si="201">Q194*$C$38*G194*$C$11</f>
        <v>965480.41752260574</v>
      </c>
      <c r="AK194" s="236">
        <f t="shared" ref="AK194:AK202" si="202">R194*$C$41*G194*$C$11</f>
        <v>0</v>
      </c>
      <c r="AL194" s="236">
        <f t="shared" ref="AL194:AL202" si="203">S194*$C$42*G194*$C$11</f>
        <v>0</v>
      </c>
      <c r="AM194" s="971">
        <f t="shared" ref="AM194:AM202" si="204">SUM(AG194:AL194)</f>
        <v>5792882.505135634</v>
      </c>
      <c r="AN194" s="235">
        <f t="shared" ref="AN194:AN202" si="205">T194*$C$35*G194*$C$12</f>
        <v>45539524.52265548</v>
      </c>
      <c r="AO194" s="236">
        <f t="shared" ref="AO194:AO202" si="206">U194*$C$36*G194*$C$12</f>
        <v>0</v>
      </c>
      <c r="AP194" s="236">
        <f t="shared" ref="AP194:AP202" si="207">V194*$C$37*G194*$C$12</f>
        <v>22769762.26132774</v>
      </c>
      <c r="AQ194" s="236">
        <f t="shared" ref="AQ194:AQ202" si="208">W194*$C$39*G194*$C$12</f>
        <v>32145546.721874453</v>
      </c>
      <c r="AR194" s="236">
        <f t="shared" ref="AR194:AR202" si="209">X194*$C$41*G194*$C$12</f>
        <v>1339397.7800781021</v>
      </c>
      <c r="AS194" s="236">
        <f t="shared" ref="AS194:AS202" si="210">Y194*$C$42*N194*$C$12</f>
        <v>0</v>
      </c>
      <c r="AT194" s="242">
        <f t="shared" ref="AT194:AT202" si="211">SUM(AN194:AS194)</f>
        <v>101794231.28593577</v>
      </c>
      <c r="AU194" s="254">
        <v>0</v>
      </c>
      <c r="AV194" s="246">
        <f t="shared" ref="AV194:AV202" si="212">(AF194+AM194+AT194)/10^6-AU194</f>
        <v>137.16052165703309</v>
      </c>
      <c r="AW194" s="973">
        <f t="shared" ref="AW194:AW202" si="213">((B194*$C$46*$C$47*$C$48*$C$49)-$C$50)*$C$51*$C$52</f>
        <v>2.8960026873618072</v>
      </c>
    </row>
    <row r="195" spans="1:49">
      <c r="A195" s="127">
        <f>'Input data'!A119</f>
        <v>2019</v>
      </c>
      <c r="B195" s="105">
        <f>'Input data'!B119</f>
        <v>58.364834921819444</v>
      </c>
      <c r="C195" s="417">
        <f>'Recycling - Case 3'!E99</f>
        <v>0.75867692307692314</v>
      </c>
      <c r="D195" s="525">
        <f>'Recycling - Case 3'!F99</f>
        <v>0.30196923076923077</v>
      </c>
      <c r="E195" s="235">
        <f t="shared" si="188"/>
        <v>908420202.70109534</v>
      </c>
      <c r="F195" s="236">
        <v>0</v>
      </c>
      <c r="G195" s="237">
        <f t="shared" si="189"/>
        <v>908420202.70109534</v>
      </c>
      <c r="H195" s="118">
        <f t="shared" ref="H195:H205" si="214">($H$206-$H$124)/($A$206-$A$124)+H194</f>
        <v>0.11420118343195268</v>
      </c>
      <c r="I195" s="118">
        <f t="shared" si="190"/>
        <v>0</v>
      </c>
      <c r="J195" s="118">
        <f t="shared" ref="J195:J205" si="215">($J$206-$J$124)/($A$206-$A$124)+J194</f>
        <v>0.11420118343195268</v>
      </c>
      <c r="K195" s="118">
        <f t="shared" ref="K195:K205" si="216">($K$206-$K$124)/($A$206-$A$124)+K194</f>
        <v>0.31976331360946753</v>
      </c>
      <c r="L195" s="118">
        <f t="shared" ref="L195:L205" si="217">($L$206-$L$124)/($A$206-$A$124)+L194</f>
        <v>4.5680473372781062E-2</v>
      </c>
      <c r="M195" s="205">
        <f t="shared" ref="M195:M205" si="218">($M$206-$M$124)/($A$206-$A$124)+M194</f>
        <v>0.40615384615384609</v>
      </c>
      <c r="N195" s="117">
        <f t="shared" ref="N195:N205" si="219">($N$206-$N$124)/($A$206-$A$124)+N194</f>
        <v>0</v>
      </c>
      <c r="O195" s="118">
        <f t="shared" ref="O195:O205" si="220">($O$206-$O$124)/($A$206-$A$124)+O194</f>
        <v>0.7</v>
      </c>
      <c r="P195" s="118">
        <f t="shared" ref="P195:P205" si="221">($P$206-$P$124)/($A$206-$A$124)+P194</f>
        <v>0.15</v>
      </c>
      <c r="Q195" s="118">
        <f t="shared" ref="Q195:Q205" si="222">($Q$206-$Q$124)/($A$206-$A$124)+Q194</f>
        <v>0.15</v>
      </c>
      <c r="R195" s="118">
        <f t="shared" ref="R195:R205" si="223">($R$206-$R$124)/($A$206-$A$124)+R194</f>
        <v>0</v>
      </c>
      <c r="S195" s="205">
        <f t="shared" ref="S195:S205" si="224">($S$206-$S$124)/($A$206-$A$124)+S194</f>
        <v>0</v>
      </c>
      <c r="T195" s="117">
        <f t="shared" ref="T195:T205" si="225">($T$206-$T$124)/($A$206-$A$124)+T194</f>
        <v>0.35307692307692312</v>
      </c>
      <c r="U195" s="118">
        <f t="shared" ref="U195:U205" si="226">($U$206-$U$124)/($A$206-$A$124)+U194</f>
        <v>0</v>
      </c>
      <c r="V195" s="118">
        <f t="shared" ref="V195:V205" si="227">($V$206-$V$124)/($A$206-$A$124)+V194</f>
        <v>0.17653846153846156</v>
      </c>
      <c r="W195" s="118">
        <f t="shared" ref="W195:W205" si="228">($W$206-$W$124)/($A$206-$A$124)+W194</f>
        <v>0.2492307692307692</v>
      </c>
      <c r="X195" s="118">
        <f t="shared" ref="X195:X205" si="229">($X$206-$X$124)/($A$206-$A$124)+X194</f>
        <v>5.1923076923076919E-2</v>
      </c>
      <c r="Y195" s="205">
        <f t="shared" ref="Y195:Y205" si="230">($Y$206-$Y$124)/($A$206-$A$124)+Y194</f>
        <v>0.16923076923076924</v>
      </c>
      <c r="Z195" s="236">
        <f t="shared" si="191"/>
        <v>12137891.477629254</v>
      </c>
      <c r="AA195" s="236">
        <f t="shared" si="192"/>
        <v>0</v>
      </c>
      <c r="AB195" s="236">
        <f t="shared" si="193"/>
        <v>12137891.477629254</v>
      </c>
      <c r="AC195" s="236">
        <f t="shared" si="194"/>
        <v>6797219.2274723817</v>
      </c>
      <c r="AD195" s="236">
        <f t="shared" si="195"/>
        <v>971031.3182103401</v>
      </c>
      <c r="AE195" s="236">
        <f t="shared" si="196"/>
        <v>0</v>
      </c>
      <c r="AF195" s="242">
        <f t="shared" si="197"/>
        <v>32044033.500941232</v>
      </c>
      <c r="AG195" s="235">
        <f t="shared" si="198"/>
        <v>0</v>
      </c>
      <c r="AH195" s="236">
        <f t="shared" si="199"/>
        <v>0</v>
      </c>
      <c r="AI195" s="236">
        <f t="shared" si="200"/>
        <v>4905469.0945859142</v>
      </c>
      <c r="AJ195" s="236">
        <f t="shared" si="201"/>
        <v>981093.81891718286</v>
      </c>
      <c r="AK195" s="236">
        <f t="shared" si="202"/>
        <v>0</v>
      </c>
      <c r="AL195" s="236">
        <f t="shared" si="203"/>
        <v>0</v>
      </c>
      <c r="AM195" s="971">
        <f t="shared" si="204"/>
        <v>5886562.9135030974</v>
      </c>
      <c r="AN195" s="235">
        <f t="shared" si="205"/>
        <v>47149104.874500781</v>
      </c>
      <c r="AO195" s="236">
        <f t="shared" si="206"/>
        <v>0</v>
      </c>
      <c r="AP195" s="236">
        <f t="shared" si="207"/>
        <v>23574552.437250391</v>
      </c>
      <c r="AQ195" s="236">
        <f t="shared" si="208"/>
        <v>33281721.087882888</v>
      </c>
      <c r="AR195" s="236">
        <f t="shared" si="209"/>
        <v>1386738.3786617874</v>
      </c>
      <c r="AS195" s="236">
        <f t="shared" si="210"/>
        <v>0</v>
      </c>
      <c r="AT195" s="242">
        <f t="shared" si="211"/>
        <v>105392116.77829584</v>
      </c>
      <c r="AU195" s="254">
        <v>0</v>
      </c>
      <c r="AV195" s="246">
        <f t="shared" si="212"/>
        <v>143.32271319274017</v>
      </c>
      <c r="AW195" s="973">
        <f t="shared" si="213"/>
        <v>2.9428357992270668</v>
      </c>
    </row>
    <row r="196" spans="1:49">
      <c r="A196" s="127">
        <f>'Input data'!A120</f>
        <v>2020</v>
      </c>
      <c r="B196" s="105">
        <f>'Input data'!B120</f>
        <v>59.308690000000006</v>
      </c>
      <c r="C196" s="417">
        <f>'Recycling - Case 3'!E100</f>
        <v>0.78061538461538471</v>
      </c>
      <c r="D196" s="525">
        <f>'Recycling - Case 3'!F100</f>
        <v>0.30815384615384617</v>
      </c>
      <c r="E196" s="235">
        <f t="shared" si="188"/>
        <v>923110846.86362517</v>
      </c>
      <c r="F196" s="236">
        <v>0</v>
      </c>
      <c r="G196" s="237">
        <f t="shared" si="189"/>
        <v>923110846.86362517</v>
      </c>
      <c r="H196" s="118">
        <f t="shared" si="214"/>
        <v>0.12130177514792902</v>
      </c>
      <c r="I196" s="118">
        <f t="shared" si="190"/>
        <v>0</v>
      </c>
      <c r="J196" s="118">
        <f t="shared" si="215"/>
        <v>0.12130177514792902</v>
      </c>
      <c r="K196" s="118">
        <f t="shared" si="216"/>
        <v>0.33964497041420127</v>
      </c>
      <c r="L196" s="118">
        <f t="shared" si="217"/>
        <v>4.8520710059171593E-2</v>
      </c>
      <c r="M196" s="205">
        <f t="shared" si="218"/>
        <v>0.36923076923076914</v>
      </c>
      <c r="N196" s="117">
        <f t="shared" si="219"/>
        <v>0</v>
      </c>
      <c r="O196" s="118">
        <f t="shared" si="220"/>
        <v>0.7</v>
      </c>
      <c r="P196" s="118">
        <f t="shared" si="221"/>
        <v>0.15</v>
      </c>
      <c r="Q196" s="118">
        <f t="shared" si="222"/>
        <v>0.15</v>
      </c>
      <c r="R196" s="118">
        <f t="shared" si="223"/>
        <v>0</v>
      </c>
      <c r="S196" s="205">
        <f t="shared" si="224"/>
        <v>0</v>
      </c>
      <c r="T196" s="117">
        <f t="shared" si="225"/>
        <v>0.35961538461538467</v>
      </c>
      <c r="U196" s="118">
        <f t="shared" si="226"/>
        <v>0</v>
      </c>
      <c r="V196" s="118">
        <f t="shared" si="227"/>
        <v>0.17980769230769234</v>
      </c>
      <c r="W196" s="118">
        <f t="shared" si="228"/>
        <v>0.25384615384615383</v>
      </c>
      <c r="X196" s="118">
        <f t="shared" si="229"/>
        <v>5.2884615384615377E-2</v>
      </c>
      <c r="Y196" s="205">
        <f t="shared" si="230"/>
        <v>0.15384615384615385</v>
      </c>
      <c r="Z196" s="236">
        <f t="shared" si="191"/>
        <v>13101073.172795299</v>
      </c>
      <c r="AA196" s="236">
        <f t="shared" si="192"/>
        <v>0</v>
      </c>
      <c r="AB196" s="236">
        <f t="shared" si="193"/>
        <v>13101073.172795299</v>
      </c>
      <c r="AC196" s="236">
        <f t="shared" si="194"/>
        <v>7336600.9767653672</v>
      </c>
      <c r="AD196" s="236">
        <f t="shared" si="195"/>
        <v>1048085.8538236235</v>
      </c>
      <c r="AE196" s="236">
        <f t="shared" si="196"/>
        <v>0</v>
      </c>
      <c r="AF196" s="242">
        <f t="shared" si="197"/>
        <v>34586833.176179588</v>
      </c>
      <c r="AG196" s="235">
        <f t="shared" si="198"/>
        <v>0</v>
      </c>
      <c r="AH196" s="236">
        <f t="shared" si="199"/>
        <v>0</v>
      </c>
      <c r="AI196" s="236">
        <f t="shared" si="200"/>
        <v>4984798.5730635757</v>
      </c>
      <c r="AJ196" s="236">
        <f t="shared" si="201"/>
        <v>996959.71461271506</v>
      </c>
      <c r="AK196" s="236">
        <f t="shared" si="202"/>
        <v>0</v>
      </c>
      <c r="AL196" s="236">
        <f t="shared" si="203"/>
        <v>0</v>
      </c>
      <c r="AM196" s="971">
        <f t="shared" si="204"/>
        <v>5981758.2876762906</v>
      </c>
      <c r="AN196" s="235">
        <f t="shared" si="205"/>
        <v>48798834.748911917</v>
      </c>
      <c r="AO196" s="236">
        <f t="shared" si="206"/>
        <v>0</v>
      </c>
      <c r="AP196" s="236">
        <f t="shared" si="207"/>
        <v>24399417.374455959</v>
      </c>
      <c r="AQ196" s="236">
        <f t="shared" si="208"/>
        <v>34446236.293349579</v>
      </c>
      <c r="AR196" s="236">
        <f t="shared" si="209"/>
        <v>1435259.8455562324</v>
      </c>
      <c r="AS196" s="236">
        <f t="shared" si="210"/>
        <v>0</v>
      </c>
      <c r="AT196" s="242">
        <f t="shared" si="211"/>
        <v>109079748.26227368</v>
      </c>
      <c r="AU196" s="254">
        <v>0</v>
      </c>
      <c r="AV196" s="246">
        <f t="shared" si="212"/>
        <v>149.64833972612956</v>
      </c>
      <c r="AW196" s="973">
        <f t="shared" si="213"/>
        <v>2.9904262793007734</v>
      </c>
    </row>
    <row r="197" spans="1:49">
      <c r="A197" s="127">
        <f>'Input data'!A121</f>
        <v>2021</v>
      </c>
      <c r="B197" s="105">
        <f>'Input data'!B121</f>
        <v>59.991580449204264</v>
      </c>
      <c r="C197" s="417">
        <f>'Recycling - Case 3'!E101</f>
        <v>0.80255384615384628</v>
      </c>
      <c r="D197" s="525">
        <f>'Recycling - Case 3'!F101</f>
        <v>0.31433846153846157</v>
      </c>
      <c r="E197" s="235">
        <f t="shared" si="188"/>
        <v>933739703.79639542</v>
      </c>
      <c r="F197" s="236">
        <v>0</v>
      </c>
      <c r="G197" s="237">
        <f t="shared" si="189"/>
        <v>933739703.79639542</v>
      </c>
      <c r="H197" s="118">
        <f t="shared" si="214"/>
        <v>0.12840236686390535</v>
      </c>
      <c r="I197" s="118">
        <f t="shared" si="190"/>
        <v>0</v>
      </c>
      <c r="J197" s="118">
        <f t="shared" si="215"/>
        <v>0.12840236686390535</v>
      </c>
      <c r="K197" s="118">
        <f t="shared" si="216"/>
        <v>0.35952662721893502</v>
      </c>
      <c r="L197" s="118">
        <f t="shared" si="217"/>
        <v>5.1360946745562124E-2</v>
      </c>
      <c r="M197" s="205">
        <f t="shared" si="218"/>
        <v>0.33230769230769219</v>
      </c>
      <c r="N197" s="117">
        <f t="shared" si="219"/>
        <v>0</v>
      </c>
      <c r="O197" s="118">
        <f t="shared" si="220"/>
        <v>0.7</v>
      </c>
      <c r="P197" s="118">
        <f t="shared" si="221"/>
        <v>0.15</v>
      </c>
      <c r="Q197" s="118">
        <f t="shared" si="222"/>
        <v>0.15</v>
      </c>
      <c r="R197" s="118">
        <f t="shared" si="223"/>
        <v>0</v>
      </c>
      <c r="S197" s="205">
        <f t="shared" si="224"/>
        <v>0</v>
      </c>
      <c r="T197" s="117">
        <f t="shared" si="225"/>
        <v>0.36615384615384622</v>
      </c>
      <c r="U197" s="118">
        <f t="shared" si="226"/>
        <v>0</v>
      </c>
      <c r="V197" s="118">
        <f t="shared" si="227"/>
        <v>0.18307692307692311</v>
      </c>
      <c r="W197" s="118">
        <f t="shared" si="228"/>
        <v>0.25846153846153846</v>
      </c>
      <c r="X197" s="118">
        <f t="shared" si="229"/>
        <v>5.3846153846153835E-2</v>
      </c>
      <c r="Y197" s="205">
        <f t="shared" si="230"/>
        <v>0.13846153846153847</v>
      </c>
      <c r="Z197" s="236">
        <f t="shared" si="191"/>
        <v>14027643.396264313</v>
      </c>
      <c r="AA197" s="236">
        <f t="shared" si="192"/>
        <v>0</v>
      </c>
      <c r="AB197" s="236">
        <f t="shared" si="193"/>
        <v>14027643.396264313</v>
      </c>
      <c r="AC197" s="236">
        <f t="shared" si="194"/>
        <v>7855480.3019080153</v>
      </c>
      <c r="AD197" s="236">
        <f t="shared" si="195"/>
        <v>1122211.4717011447</v>
      </c>
      <c r="AE197" s="236">
        <f t="shared" si="196"/>
        <v>0</v>
      </c>
      <c r="AF197" s="242">
        <f t="shared" si="197"/>
        <v>37032978.566137783</v>
      </c>
      <c r="AG197" s="235">
        <f t="shared" si="198"/>
        <v>0</v>
      </c>
      <c r="AH197" s="236">
        <f t="shared" si="199"/>
        <v>0</v>
      </c>
      <c r="AI197" s="236">
        <f t="shared" si="200"/>
        <v>5042194.400500535</v>
      </c>
      <c r="AJ197" s="236">
        <f t="shared" si="201"/>
        <v>1008438.8801001071</v>
      </c>
      <c r="AK197" s="236">
        <f t="shared" si="202"/>
        <v>0</v>
      </c>
      <c r="AL197" s="236">
        <f t="shared" si="203"/>
        <v>0</v>
      </c>
      <c r="AM197" s="971">
        <f t="shared" si="204"/>
        <v>6050633.2806006419</v>
      </c>
      <c r="AN197" s="235">
        <f t="shared" si="205"/>
        <v>50258180.426185682</v>
      </c>
      <c r="AO197" s="236">
        <f t="shared" si="206"/>
        <v>0</v>
      </c>
      <c r="AP197" s="236">
        <f t="shared" si="207"/>
        <v>25129090.213092841</v>
      </c>
      <c r="AQ197" s="236">
        <f t="shared" si="208"/>
        <v>35476362.653778128</v>
      </c>
      <c r="AR197" s="236">
        <f t="shared" si="209"/>
        <v>1478181.777240755</v>
      </c>
      <c r="AS197" s="236">
        <f t="shared" si="210"/>
        <v>0</v>
      </c>
      <c r="AT197" s="242">
        <f t="shared" si="211"/>
        <v>112341815.07029742</v>
      </c>
      <c r="AU197" s="254">
        <v>0</v>
      </c>
      <c r="AV197" s="246">
        <f t="shared" si="212"/>
        <v>155.42542691703585</v>
      </c>
      <c r="AW197" s="973">
        <f t="shared" si="213"/>
        <v>3.0248585614028385</v>
      </c>
    </row>
    <row r="198" spans="1:49">
      <c r="A198" s="127">
        <f>'Input data'!A122</f>
        <v>2022</v>
      </c>
      <c r="B198" s="105">
        <f>'Input data'!B122</f>
        <v>60.682333816399378</v>
      </c>
      <c r="C198" s="417">
        <f>'Recycling - Case 3'!E102</f>
        <v>0.82449230769230786</v>
      </c>
      <c r="D198" s="525">
        <f>'Recycling - Case 3'!F102</f>
        <v>0.32052307692307697</v>
      </c>
      <c r="E198" s="235">
        <f t="shared" si="188"/>
        <v>944490943.21452093</v>
      </c>
      <c r="F198" s="236">
        <v>0</v>
      </c>
      <c r="G198" s="237">
        <f t="shared" si="189"/>
        <v>944490943.21452093</v>
      </c>
      <c r="H198" s="118">
        <f t="shared" si="214"/>
        <v>0.13550295857988168</v>
      </c>
      <c r="I198" s="118">
        <f t="shared" si="190"/>
        <v>0</v>
      </c>
      <c r="J198" s="118">
        <f t="shared" si="215"/>
        <v>0.13550295857988168</v>
      </c>
      <c r="K198" s="118">
        <f t="shared" si="216"/>
        <v>0.37940828402366877</v>
      </c>
      <c r="L198" s="118">
        <f t="shared" si="217"/>
        <v>5.4201183431952654E-2</v>
      </c>
      <c r="M198" s="205">
        <f t="shared" si="218"/>
        <v>0.29538461538461525</v>
      </c>
      <c r="N198" s="117">
        <f t="shared" si="219"/>
        <v>0</v>
      </c>
      <c r="O198" s="118">
        <f t="shared" si="220"/>
        <v>0.7</v>
      </c>
      <c r="P198" s="118">
        <f t="shared" si="221"/>
        <v>0.15</v>
      </c>
      <c r="Q198" s="118">
        <f t="shared" si="222"/>
        <v>0.15</v>
      </c>
      <c r="R198" s="118">
        <f t="shared" si="223"/>
        <v>0</v>
      </c>
      <c r="S198" s="205">
        <f t="shared" si="224"/>
        <v>0</v>
      </c>
      <c r="T198" s="117">
        <f t="shared" si="225"/>
        <v>0.37269230769230777</v>
      </c>
      <c r="U198" s="118">
        <f t="shared" si="226"/>
        <v>0</v>
      </c>
      <c r="V198" s="118">
        <f t="shared" si="227"/>
        <v>0.18634615384615388</v>
      </c>
      <c r="W198" s="118">
        <f t="shared" si="228"/>
        <v>0.2630769230769231</v>
      </c>
      <c r="X198" s="118">
        <f t="shared" si="229"/>
        <v>5.4807692307692293E-2</v>
      </c>
      <c r="Y198" s="205">
        <f t="shared" si="230"/>
        <v>0.12307692307692308</v>
      </c>
      <c r="Z198" s="236">
        <f t="shared" si="191"/>
        <v>14973814.107424062</v>
      </c>
      <c r="AA198" s="236">
        <f t="shared" si="192"/>
        <v>0</v>
      </c>
      <c r="AB198" s="236">
        <f t="shared" si="193"/>
        <v>14973814.107424062</v>
      </c>
      <c r="AC198" s="236">
        <f t="shared" si="194"/>
        <v>8385335.9001574758</v>
      </c>
      <c r="AD198" s="236">
        <f t="shared" si="195"/>
        <v>1197905.1285939245</v>
      </c>
      <c r="AE198" s="236">
        <f t="shared" si="196"/>
        <v>0</v>
      </c>
      <c r="AF198" s="242">
        <f t="shared" si="197"/>
        <v>39530869.243599519</v>
      </c>
      <c r="AG198" s="235">
        <f t="shared" si="198"/>
        <v>0</v>
      </c>
      <c r="AH198" s="236">
        <f t="shared" si="199"/>
        <v>0</v>
      </c>
      <c r="AI198" s="236">
        <f t="shared" si="200"/>
        <v>5100251.0933584133</v>
      </c>
      <c r="AJ198" s="236">
        <f t="shared" si="201"/>
        <v>1020050.2186716824</v>
      </c>
      <c r="AK198" s="236">
        <f t="shared" si="202"/>
        <v>0</v>
      </c>
      <c r="AL198" s="236">
        <f t="shared" si="203"/>
        <v>0</v>
      </c>
      <c r="AM198" s="971">
        <f t="shared" si="204"/>
        <v>6120301.3120300956</v>
      </c>
      <c r="AN198" s="235">
        <f t="shared" si="205"/>
        <v>51744662.855502322</v>
      </c>
      <c r="AO198" s="236">
        <f t="shared" si="206"/>
        <v>0</v>
      </c>
      <c r="AP198" s="236">
        <f t="shared" si="207"/>
        <v>25872331.427751161</v>
      </c>
      <c r="AQ198" s="236">
        <f t="shared" si="208"/>
        <v>36525644.368589871</v>
      </c>
      <c r="AR198" s="236">
        <f t="shared" si="209"/>
        <v>1521901.8486912439</v>
      </c>
      <c r="AS198" s="236">
        <f t="shared" si="210"/>
        <v>0</v>
      </c>
      <c r="AT198" s="242">
        <f t="shared" si="211"/>
        <v>115664540.50053461</v>
      </c>
      <c r="AU198" s="254">
        <v>0</v>
      </c>
      <c r="AV198" s="246">
        <f t="shared" si="212"/>
        <v>161.31571105616422</v>
      </c>
      <c r="AW198" s="973">
        <f t="shared" si="213"/>
        <v>3.0596873027184164</v>
      </c>
    </row>
    <row r="199" spans="1:49">
      <c r="A199" s="127">
        <f>'Input data'!A123</f>
        <v>2023</v>
      </c>
      <c r="B199" s="105">
        <f>'Input data'!B123</f>
        <v>61.381040636574369</v>
      </c>
      <c r="C199" s="417">
        <f>'Recycling - Case 3'!E103</f>
        <v>0.84643076923076943</v>
      </c>
      <c r="D199" s="525">
        <f>'Recycling - Case 3'!F103</f>
        <v>0.32670769230769237</v>
      </c>
      <c r="E199" s="235">
        <f t="shared" si="188"/>
        <v>955365974.25096989</v>
      </c>
      <c r="F199" s="236">
        <v>0</v>
      </c>
      <c r="G199" s="237">
        <f t="shared" si="189"/>
        <v>955365974.25096989</v>
      </c>
      <c r="H199" s="118">
        <f t="shared" si="214"/>
        <v>0.142603550295858</v>
      </c>
      <c r="I199" s="118">
        <f t="shared" si="190"/>
        <v>0</v>
      </c>
      <c r="J199" s="118">
        <f t="shared" si="215"/>
        <v>0.142603550295858</v>
      </c>
      <c r="K199" s="118">
        <f t="shared" si="216"/>
        <v>0.39928994082840252</v>
      </c>
      <c r="L199" s="118">
        <f t="shared" si="217"/>
        <v>5.7041420118343185E-2</v>
      </c>
      <c r="M199" s="205">
        <f t="shared" si="218"/>
        <v>0.2584615384615383</v>
      </c>
      <c r="N199" s="117">
        <f t="shared" si="219"/>
        <v>0</v>
      </c>
      <c r="O199" s="118">
        <f t="shared" si="220"/>
        <v>0.7</v>
      </c>
      <c r="P199" s="118">
        <f t="shared" si="221"/>
        <v>0.15</v>
      </c>
      <c r="Q199" s="118">
        <f t="shared" si="222"/>
        <v>0.15</v>
      </c>
      <c r="R199" s="118">
        <f t="shared" si="223"/>
        <v>0</v>
      </c>
      <c r="S199" s="205">
        <f t="shared" si="224"/>
        <v>0</v>
      </c>
      <c r="T199" s="117">
        <f t="shared" si="225"/>
        <v>0.37923076923076932</v>
      </c>
      <c r="U199" s="118">
        <f t="shared" si="226"/>
        <v>0</v>
      </c>
      <c r="V199" s="118">
        <f t="shared" si="227"/>
        <v>0.18961538461538466</v>
      </c>
      <c r="W199" s="118">
        <f t="shared" si="228"/>
        <v>0.26769230769230773</v>
      </c>
      <c r="X199" s="118">
        <f t="shared" si="229"/>
        <v>5.5769230769230752E-2</v>
      </c>
      <c r="Y199" s="205">
        <f t="shared" si="230"/>
        <v>0.1076923076923077</v>
      </c>
      <c r="Z199" s="236">
        <f t="shared" si="191"/>
        <v>15939913.831925798</v>
      </c>
      <c r="AA199" s="236">
        <f t="shared" si="192"/>
        <v>0</v>
      </c>
      <c r="AB199" s="236">
        <f t="shared" si="193"/>
        <v>15939913.831925798</v>
      </c>
      <c r="AC199" s="236">
        <f t="shared" si="194"/>
        <v>8926351.7458784506</v>
      </c>
      <c r="AD199" s="236">
        <f t="shared" si="195"/>
        <v>1275193.1065540635</v>
      </c>
      <c r="AE199" s="236">
        <f t="shared" si="196"/>
        <v>0</v>
      </c>
      <c r="AF199" s="242">
        <f t="shared" si="197"/>
        <v>42081372.516284108</v>
      </c>
      <c r="AG199" s="235">
        <f t="shared" si="198"/>
        <v>0</v>
      </c>
      <c r="AH199" s="236">
        <f t="shared" si="199"/>
        <v>0</v>
      </c>
      <c r="AI199" s="236">
        <f t="shared" si="200"/>
        <v>5158976.2609552369</v>
      </c>
      <c r="AJ199" s="236">
        <f t="shared" si="201"/>
        <v>1031795.2521910473</v>
      </c>
      <c r="AK199" s="236">
        <f t="shared" si="202"/>
        <v>0</v>
      </c>
      <c r="AL199" s="236">
        <f t="shared" si="203"/>
        <v>0</v>
      </c>
      <c r="AM199" s="971">
        <f t="shared" si="204"/>
        <v>6190771.513146284</v>
      </c>
      <c r="AN199" s="235">
        <f t="shared" si="205"/>
        <v>53258713.476878501</v>
      </c>
      <c r="AO199" s="236">
        <f t="shared" si="206"/>
        <v>0</v>
      </c>
      <c r="AP199" s="236">
        <f t="shared" si="207"/>
        <v>26629356.738439251</v>
      </c>
      <c r="AQ199" s="236">
        <f t="shared" si="208"/>
        <v>37594385.983678937</v>
      </c>
      <c r="AR199" s="236">
        <f t="shared" si="209"/>
        <v>1566432.749319955</v>
      </c>
      <c r="AS199" s="236">
        <f t="shared" si="210"/>
        <v>0</v>
      </c>
      <c r="AT199" s="242">
        <f t="shared" si="211"/>
        <v>119048888.94831665</v>
      </c>
      <c r="AU199" s="254">
        <v>0</v>
      </c>
      <c r="AV199" s="246">
        <f t="shared" si="212"/>
        <v>167.32103297774702</v>
      </c>
      <c r="AW199" s="973">
        <f t="shared" si="213"/>
        <v>3.0949170681470224</v>
      </c>
    </row>
    <row r="200" spans="1:49">
      <c r="A200" s="127">
        <f>'Input data'!A124</f>
        <v>2024</v>
      </c>
      <c r="B200" s="105">
        <f>'Input data'!B124</f>
        <v>62.087792487153699</v>
      </c>
      <c r="C200" s="417">
        <f>'Recycling - Case 3'!E104</f>
        <v>0.868369230769231</v>
      </c>
      <c r="D200" s="525">
        <f>'Recycling - Case 3'!F104</f>
        <v>0.33289230769230777</v>
      </c>
      <c r="E200" s="235">
        <f t="shared" si="188"/>
        <v>966366222.26371002</v>
      </c>
      <c r="F200" s="236">
        <v>0</v>
      </c>
      <c r="G200" s="237">
        <f t="shared" si="189"/>
        <v>966366222.26371002</v>
      </c>
      <c r="H200" s="118">
        <f t="shared" si="214"/>
        <v>0.14970414201183432</v>
      </c>
      <c r="I200" s="118">
        <f t="shared" si="190"/>
        <v>0</v>
      </c>
      <c r="J200" s="118">
        <f t="shared" si="215"/>
        <v>0.14970414201183432</v>
      </c>
      <c r="K200" s="118">
        <f t="shared" si="216"/>
        <v>0.41917159763313627</v>
      </c>
      <c r="L200" s="118">
        <f t="shared" si="217"/>
        <v>5.9881656804733716E-2</v>
      </c>
      <c r="M200" s="205">
        <f t="shared" si="218"/>
        <v>0.22153846153846138</v>
      </c>
      <c r="N200" s="117">
        <f t="shared" si="219"/>
        <v>0</v>
      </c>
      <c r="O200" s="118">
        <f t="shared" si="220"/>
        <v>0.7</v>
      </c>
      <c r="P200" s="118">
        <f t="shared" si="221"/>
        <v>0.15</v>
      </c>
      <c r="Q200" s="118">
        <f t="shared" si="222"/>
        <v>0.15</v>
      </c>
      <c r="R200" s="118">
        <f t="shared" si="223"/>
        <v>0</v>
      </c>
      <c r="S200" s="205">
        <f t="shared" si="224"/>
        <v>0</v>
      </c>
      <c r="T200" s="117">
        <f t="shared" si="225"/>
        <v>0.38576923076923086</v>
      </c>
      <c r="U200" s="118">
        <f t="shared" si="226"/>
        <v>0</v>
      </c>
      <c r="V200" s="118">
        <f t="shared" si="227"/>
        <v>0.19288461538461543</v>
      </c>
      <c r="W200" s="118">
        <f t="shared" si="228"/>
        <v>0.27230769230769236</v>
      </c>
      <c r="X200" s="118">
        <f t="shared" si="229"/>
        <v>5.673076923076921E-2</v>
      </c>
      <c r="Y200" s="205">
        <f t="shared" si="230"/>
        <v>9.2307692307692313E-2</v>
      </c>
      <c r="Z200" s="236">
        <f t="shared" si="191"/>
        <v>16926276.062265135</v>
      </c>
      <c r="AA200" s="236">
        <f t="shared" si="192"/>
        <v>0</v>
      </c>
      <c r="AB200" s="236">
        <f t="shared" si="193"/>
        <v>16926276.062265135</v>
      </c>
      <c r="AC200" s="236">
        <f t="shared" si="194"/>
        <v>9478714.5948684812</v>
      </c>
      <c r="AD200" s="236">
        <f t="shared" si="195"/>
        <v>1354102.0849812105</v>
      </c>
      <c r="AE200" s="236">
        <f t="shared" si="196"/>
        <v>0</v>
      </c>
      <c r="AF200" s="242">
        <f t="shared" si="197"/>
        <v>44685368.804379962</v>
      </c>
      <c r="AG200" s="235">
        <f t="shared" si="198"/>
        <v>0</v>
      </c>
      <c r="AH200" s="236">
        <f t="shared" si="199"/>
        <v>0</v>
      </c>
      <c r="AI200" s="236">
        <f t="shared" si="200"/>
        <v>5218377.6002240339</v>
      </c>
      <c r="AJ200" s="236">
        <f t="shared" si="201"/>
        <v>1043675.5200448068</v>
      </c>
      <c r="AK200" s="236">
        <f t="shared" si="202"/>
        <v>0</v>
      </c>
      <c r="AL200" s="236">
        <f t="shared" si="203"/>
        <v>0</v>
      </c>
      <c r="AM200" s="971">
        <f t="shared" si="204"/>
        <v>6262053.1202688403</v>
      </c>
      <c r="AN200" s="235">
        <f t="shared" si="205"/>
        <v>54800770.06799373</v>
      </c>
      <c r="AO200" s="236">
        <f t="shared" si="206"/>
        <v>0</v>
      </c>
      <c r="AP200" s="236">
        <f t="shared" si="207"/>
        <v>27400385.033996865</v>
      </c>
      <c r="AQ200" s="236">
        <f t="shared" si="208"/>
        <v>38682896.518583804</v>
      </c>
      <c r="AR200" s="236">
        <f t="shared" si="209"/>
        <v>1611787.3549409909</v>
      </c>
      <c r="AS200" s="236">
        <f t="shared" si="210"/>
        <v>0</v>
      </c>
      <c r="AT200" s="242">
        <f t="shared" si="211"/>
        <v>122495838.9755154</v>
      </c>
      <c r="AU200" s="254">
        <v>0</v>
      </c>
      <c r="AV200" s="246">
        <f t="shared" si="212"/>
        <v>173.44326090016418</v>
      </c>
      <c r="AW200" s="973">
        <f t="shared" si="213"/>
        <v>3.1305524751492158</v>
      </c>
    </row>
    <row r="201" spans="1:49">
      <c r="A201" s="127">
        <f>'Input data'!A125</f>
        <v>2025</v>
      </c>
      <c r="B201" s="105">
        <f>'Input data'!B125</f>
        <v>62.802682000000026</v>
      </c>
      <c r="C201" s="417">
        <f>'Recycling - Case 3'!E105</f>
        <v>0.89030769230769258</v>
      </c>
      <c r="D201" s="525">
        <f>'Recycling - Case 3'!F105</f>
        <v>0.33907692307692316</v>
      </c>
      <c r="E201" s="235">
        <f t="shared" si="188"/>
        <v>977493129.02252555</v>
      </c>
      <c r="F201" s="236">
        <v>0</v>
      </c>
      <c r="G201" s="237">
        <f t="shared" si="189"/>
        <v>977493129.02252555</v>
      </c>
      <c r="H201" s="118">
        <f t="shared" si="214"/>
        <v>0.15680473372781065</v>
      </c>
      <c r="I201" s="118">
        <f t="shared" si="190"/>
        <v>0</v>
      </c>
      <c r="J201" s="118">
        <f t="shared" si="215"/>
        <v>0.15680473372781065</v>
      </c>
      <c r="K201" s="118">
        <f t="shared" si="216"/>
        <v>0.43905325443787002</v>
      </c>
      <c r="L201" s="118">
        <f t="shared" si="217"/>
        <v>6.2721893491124253E-2</v>
      </c>
      <c r="M201" s="205">
        <f t="shared" si="218"/>
        <v>0.18461538461538446</v>
      </c>
      <c r="N201" s="117">
        <f t="shared" si="219"/>
        <v>0</v>
      </c>
      <c r="O201" s="118">
        <f t="shared" si="220"/>
        <v>0.7</v>
      </c>
      <c r="P201" s="118">
        <f t="shared" si="221"/>
        <v>0.15</v>
      </c>
      <c r="Q201" s="118">
        <f t="shared" si="222"/>
        <v>0.15</v>
      </c>
      <c r="R201" s="118">
        <f t="shared" si="223"/>
        <v>0</v>
      </c>
      <c r="S201" s="205">
        <f t="shared" si="224"/>
        <v>0</v>
      </c>
      <c r="T201" s="117">
        <f t="shared" si="225"/>
        <v>0.39230769230769241</v>
      </c>
      <c r="U201" s="118">
        <f t="shared" si="226"/>
        <v>0</v>
      </c>
      <c r="V201" s="118">
        <f t="shared" si="227"/>
        <v>0.19615384615384621</v>
      </c>
      <c r="W201" s="118">
        <f t="shared" si="228"/>
        <v>0.27692307692307699</v>
      </c>
      <c r="X201" s="118">
        <f t="shared" si="229"/>
        <v>5.7692307692307668E-2</v>
      </c>
      <c r="Y201" s="205">
        <f t="shared" si="230"/>
        <v>7.6923076923076927E-2</v>
      </c>
      <c r="Z201" s="236">
        <f t="shared" si="191"/>
        <v>17933239.328605562</v>
      </c>
      <c r="AA201" s="236">
        <f t="shared" si="192"/>
        <v>0</v>
      </c>
      <c r="AB201" s="236">
        <f t="shared" si="193"/>
        <v>17933239.328605562</v>
      </c>
      <c r="AC201" s="236">
        <f t="shared" si="194"/>
        <v>10042614.024019122</v>
      </c>
      <c r="AD201" s="236">
        <f t="shared" si="195"/>
        <v>1434659.146288445</v>
      </c>
      <c r="AE201" s="236">
        <f t="shared" si="196"/>
        <v>0</v>
      </c>
      <c r="AF201" s="242">
        <f t="shared" si="197"/>
        <v>47343751.827518694</v>
      </c>
      <c r="AG201" s="235">
        <f t="shared" si="198"/>
        <v>0</v>
      </c>
      <c r="AH201" s="236">
        <f t="shared" si="199"/>
        <v>0</v>
      </c>
      <c r="AI201" s="236">
        <f t="shared" si="200"/>
        <v>5278462.8967216378</v>
      </c>
      <c r="AJ201" s="236">
        <f t="shared" si="201"/>
        <v>1055692.5793443273</v>
      </c>
      <c r="AK201" s="236">
        <f t="shared" si="202"/>
        <v>0</v>
      </c>
      <c r="AL201" s="236">
        <f t="shared" si="203"/>
        <v>0</v>
      </c>
      <c r="AM201" s="971">
        <f t="shared" si="204"/>
        <v>6334155.4760659654</v>
      </c>
      <c r="AN201" s="235">
        <f t="shared" si="205"/>
        <v>56371276.832937509</v>
      </c>
      <c r="AO201" s="236">
        <f t="shared" si="206"/>
        <v>0</v>
      </c>
      <c r="AP201" s="236">
        <f t="shared" si="207"/>
        <v>28185638.416468754</v>
      </c>
      <c r="AQ201" s="236">
        <f t="shared" si="208"/>
        <v>39791489.529132359</v>
      </c>
      <c r="AR201" s="236">
        <f t="shared" si="209"/>
        <v>1657978.7303805137</v>
      </c>
      <c r="AS201" s="236">
        <f t="shared" si="210"/>
        <v>0</v>
      </c>
      <c r="AT201" s="242">
        <f t="shared" si="211"/>
        <v>126006383.50891913</v>
      </c>
      <c r="AU201" s="254">
        <v>0</v>
      </c>
      <c r="AV201" s="246">
        <f t="shared" si="212"/>
        <v>179.68429081250378</v>
      </c>
      <c r="AW201" s="973">
        <f t="shared" si="213"/>
        <v>3.166598194351784</v>
      </c>
    </row>
    <row r="202" spans="1:49">
      <c r="A202" s="127">
        <f>'Input data'!A126</f>
        <v>2026</v>
      </c>
      <c r="B202" s="105">
        <f>'Input data'!B126</f>
        <v>63.421065342005143</v>
      </c>
      <c r="C202" s="417">
        <f>'Recycling - Case 3'!E106</f>
        <v>0.91224615384615415</v>
      </c>
      <c r="D202" s="525">
        <f>'Recycling - Case 3'!F106</f>
        <v>0.34526153846153856</v>
      </c>
      <c r="E202" s="235">
        <f t="shared" si="188"/>
        <v>987117964.27895594</v>
      </c>
      <c r="F202" s="236">
        <v>0</v>
      </c>
      <c r="G202" s="237">
        <f t="shared" si="189"/>
        <v>987117964.27895594</v>
      </c>
      <c r="H202" s="118">
        <f t="shared" si="214"/>
        <v>0.16390532544378697</v>
      </c>
      <c r="I202" s="118">
        <f t="shared" si="190"/>
        <v>0</v>
      </c>
      <c r="J202" s="118">
        <f t="shared" si="215"/>
        <v>0.16390532544378697</v>
      </c>
      <c r="K202" s="118">
        <f t="shared" si="216"/>
        <v>0.45893491124260377</v>
      </c>
      <c r="L202" s="118">
        <f t="shared" si="217"/>
        <v>6.5562130177514791E-2</v>
      </c>
      <c r="M202" s="205">
        <f t="shared" si="218"/>
        <v>0.14769230769230754</v>
      </c>
      <c r="N202" s="117">
        <f t="shared" si="219"/>
        <v>0</v>
      </c>
      <c r="O202" s="118">
        <f t="shared" si="220"/>
        <v>0.7</v>
      </c>
      <c r="P202" s="118">
        <f t="shared" si="221"/>
        <v>0.15</v>
      </c>
      <c r="Q202" s="118">
        <f t="shared" si="222"/>
        <v>0.15</v>
      </c>
      <c r="R202" s="118">
        <f t="shared" si="223"/>
        <v>0</v>
      </c>
      <c r="S202" s="205">
        <f t="shared" si="224"/>
        <v>0</v>
      </c>
      <c r="T202" s="117">
        <f t="shared" si="225"/>
        <v>0.39884615384615396</v>
      </c>
      <c r="U202" s="118">
        <f t="shared" si="226"/>
        <v>0</v>
      </c>
      <c r="V202" s="118">
        <f t="shared" si="227"/>
        <v>0.19942307692307698</v>
      </c>
      <c r="W202" s="118">
        <f t="shared" si="228"/>
        <v>0.28153846153846163</v>
      </c>
      <c r="X202" s="118">
        <f t="shared" si="229"/>
        <v>5.8653846153846126E-2</v>
      </c>
      <c r="Y202" s="205">
        <f t="shared" si="230"/>
        <v>6.1538461538461542E-2</v>
      </c>
      <c r="Z202" s="236">
        <f t="shared" si="191"/>
        <v>18929885.26882644</v>
      </c>
      <c r="AA202" s="236">
        <f t="shared" si="192"/>
        <v>0</v>
      </c>
      <c r="AB202" s="236">
        <f t="shared" si="193"/>
        <v>18929885.26882644</v>
      </c>
      <c r="AC202" s="236">
        <f t="shared" si="194"/>
        <v>10600735.750542812</v>
      </c>
      <c r="AD202" s="236">
        <f t="shared" si="195"/>
        <v>1514390.8215061149</v>
      </c>
      <c r="AE202" s="236">
        <f t="shared" si="196"/>
        <v>0</v>
      </c>
      <c r="AF202" s="242">
        <f t="shared" si="197"/>
        <v>49974897.109701805</v>
      </c>
      <c r="AG202" s="235">
        <f t="shared" si="198"/>
        <v>0</v>
      </c>
      <c r="AH202" s="236">
        <f t="shared" si="199"/>
        <v>0</v>
      </c>
      <c r="AI202" s="236">
        <f t="shared" si="200"/>
        <v>5330437.0071063619</v>
      </c>
      <c r="AJ202" s="236">
        <f t="shared" si="201"/>
        <v>1066087.4014212722</v>
      </c>
      <c r="AK202" s="236">
        <f t="shared" si="202"/>
        <v>0</v>
      </c>
      <c r="AL202" s="236">
        <f t="shared" si="203"/>
        <v>0</v>
      </c>
      <c r="AM202" s="971">
        <f t="shared" si="204"/>
        <v>6396524.4085276341</v>
      </c>
      <c r="AN202" s="235">
        <f t="shared" si="205"/>
        <v>57875105.906430691</v>
      </c>
      <c r="AO202" s="236">
        <f t="shared" si="206"/>
        <v>0</v>
      </c>
      <c r="AP202" s="236">
        <f t="shared" si="207"/>
        <v>28937552.953215346</v>
      </c>
      <c r="AQ202" s="236">
        <f t="shared" si="208"/>
        <v>40853015.93395108</v>
      </c>
      <c r="AR202" s="236">
        <f t="shared" si="209"/>
        <v>1702208.9972479602</v>
      </c>
      <c r="AS202" s="236">
        <f t="shared" si="210"/>
        <v>0</v>
      </c>
      <c r="AT202" s="242">
        <f t="shared" si="211"/>
        <v>129367883.79084508</v>
      </c>
      <c r="AU202" s="254">
        <v>0</v>
      </c>
      <c r="AV202" s="246">
        <f t="shared" si="212"/>
        <v>185.73930530907452</v>
      </c>
      <c r="AW202" s="973">
        <f t="shared" si="213"/>
        <v>3.1977779387807019</v>
      </c>
    </row>
    <row r="203" spans="1:49">
      <c r="A203" s="127">
        <f>'Input data'!A127</f>
        <v>2027</v>
      </c>
      <c r="B203" s="105">
        <f>'Input data'!B127</f>
        <v>64.045537563425796</v>
      </c>
      <c r="C203" s="417">
        <f>'Recycling - Case 3'!E107</f>
        <v>0.93418461538461572</v>
      </c>
      <c r="D203" s="525">
        <f>'Recycling - Case 3'!F107</f>
        <v>0.35144615384615396</v>
      </c>
      <c r="E203" s="235">
        <f t="shared" si="188"/>
        <v>996837569.97516036</v>
      </c>
      <c r="F203" s="236">
        <v>0</v>
      </c>
      <c r="G203" s="237">
        <f t="shared" si="189"/>
        <v>996837569.97516036</v>
      </c>
      <c r="H203" s="118">
        <f t="shared" si="214"/>
        <v>0.17100591715976329</v>
      </c>
      <c r="I203" s="118">
        <f t="shared" si="190"/>
        <v>0</v>
      </c>
      <c r="J203" s="118">
        <f t="shared" si="215"/>
        <v>0.17100591715976329</v>
      </c>
      <c r="K203" s="118">
        <f t="shared" si="216"/>
        <v>0.47881656804733752</v>
      </c>
      <c r="L203" s="118">
        <f t="shared" si="217"/>
        <v>6.8402366863905328E-2</v>
      </c>
      <c r="M203" s="205">
        <f t="shared" si="218"/>
        <v>0.11076923076923062</v>
      </c>
      <c r="N203" s="117">
        <f t="shared" si="219"/>
        <v>0</v>
      </c>
      <c r="O203" s="118">
        <f t="shared" si="220"/>
        <v>0.7</v>
      </c>
      <c r="P203" s="118">
        <f t="shared" si="221"/>
        <v>0.15</v>
      </c>
      <c r="Q203" s="118">
        <f t="shared" si="222"/>
        <v>0.15</v>
      </c>
      <c r="R203" s="118">
        <f t="shared" si="223"/>
        <v>0</v>
      </c>
      <c r="S203" s="205">
        <f t="shared" si="224"/>
        <v>0</v>
      </c>
      <c r="T203" s="117">
        <f t="shared" si="225"/>
        <v>0.40538461538461551</v>
      </c>
      <c r="U203" s="118">
        <f t="shared" si="226"/>
        <v>0</v>
      </c>
      <c r="V203" s="118">
        <f t="shared" si="227"/>
        <v>0.20269230769230775</v>
      </c>
      <c r="W203" s="118">
        <f t="shared" si="228"/>
        <v>0.28615384615384626</v>
      </c>
      <c r="X203" s="118">
        <f t="shared" si="229"/>
        <v>5.9615384615384584E-2</v>
      </c>
      <c r="Y203" s="205">
        <f t="shared" si="230"/>
        <v>4.6153846153846156E-2</v>
      </c>
      <c r="Z203" s="236">
        <f t="shared" ref="Z203:Z219" si="231">H203*$C$35*G203*$C$10</f>
        <v>19944419.380810708</v>
      </c>
      <c r="AA203" s="236">
        <f t="shared" ref="AA203:AA219" si="232">I203*$C$36*G203*$C$10</f>
        <v>0</v>
      </c>
      <c r="AB203" s="236">
        <f t="shared" ref="AB203:AB219" si="233">J203*$C$37*G203*$C$10</f>
        <v>19944419.380810708</v>
      </c>
      <c r="AC203" s="236">
        <f t="shared" ref="AC203:AC219" si="234">K203*$C$40*G203*$C$10</f>
        <v>11168874.853254002</v>
      </c>
      <c r="AD203" s="236">
        <f t="shared" ref="AD203:AD219" si="235">L203*$C$41*G203*$C$10</f>
        <v>1595553.5504648569</v>
      </c>
      <c r="AE203" s="236">
        <f t="shared" ref="AE203:AE219" si="236">M203*$C$42*G203*$C$10</f>
        <v>0</v>
      </c>
      <c r="AF203" s="242">
        <f t="shared" ref="AF203:AF219" si="237">SUM(Z203:AE203)</f>
        <v>52653267.165340275</v>
      </c>
      <c r="AG203" s="235">
        <f t="shared" ref="AG203:AG219" si="238">N203*$C$35*G203*$C$11</f>
        <v>0</v>
      </c>
      <c r="AH203" s="236">
        <f t="shared" ref="AH203:AH219" si="239">O203*$C$36*G203*$C$11</f>
        <v>0</v>
      </c>
      <c r="AI203" s="236">
        <f t="shared" ref="AI203:AI219" si="240">P203*$C$37*G203*$C$11</f>
        <v>5382922.8778658658</v>
      </c>
      <c r="AJ203" s="236">
        <f t="shared" ref="AJ203:AJ219" si="241">Q203*$C$38*G203*$C$11</f>
        <v>1076584.5755731731</v>
      </c>
      <c r="AK203" s="236">
        <f t="shared" ref="AK203:AK219" si="242">R203*$C$41*G203*$C$11</f>
        <v>0</v>
      </c>
      <c r="AL203" s="236">
        <f t="shared" ref="AL203:AL219" si="243">S203*$C$42*G203*$C$11</f>
        <v>0</v>
      </c>
      <c r="AM203" s="971">
        <f t="shared" ref="AM203:AM219" si="244">SUM(AG203:AL203)</f>
        <v>6459507.4534390392</v>
      </c>
      <c r="AN203" s="235">
        <f t="shared" ref="AN203:AN219" si="245">T203*$C$35*G203*$C$12</f>
        <v>59403084.391081326</v>
      </c>
      <c r="AO203" s="236">
        <f t="shared" ref="AO203:AO219" si="246">U203*$C$36*G203*$C$12</f>
        <v>0</v>
      </c>
      <c r="AP203" s="236">
        <f t="shared" ref="AP203:AP219" si="247">V203*$C$37*G203*$C$12</f>
        <v>29701542.195540663</v>
      </c>
      <c r="AQ203" s="236">
        <f t="shared" ref="AQ203:AQ219" si="248">W203*$C$39*G203*$C$12</f>
        <v>41931588.981939763</v>
      </c>
      <c r="AR203" s="236">
        <f t="shared" ref="AR203:AR219" si="249">X203*$C$41*G203*$C$12</f>
        <v>1747149.5409141548</v>
      </c>
      <c r="AS203" s="236">
        <f t="shared" ref="AS203:AS219" si="250">Y203*$C$42*N203*$C$12</f>
        <v>0</v>
      </c>
      <c r="AT203" s="242">
        <f t="shared" ref="AT203:AT219" si="251">SUM(AN203:AS203)</f>
        <v>132783365.1094759</v>
      </c>
      <c r="AU203" s="254">
        <v>0</v>
      </c>
      <c r="AV203" s="246">
        <f t="shared" ref="AV203:AV219" si="252">(AF203+AM203+AT203)/10^6-AU203</f>
        <v>191.89613972825521</v>
      </c>
      <c r="AW203" s="973">
        <f t="shared" ref="AW203:AW219" si="253">((B203*$C$46*$C$47*$C$48*$C$49)-$C$50)*$C$51*$C$52</f>
        <v>3.2292646929415123</v>
      </c>
    </row>
    <row r="204" spans="1:49">
      <c r="A204" s="127">
        <f>'Input data'!A128</f>
        <v>2028</v>
      </c>
      <c r="B204" s="105">
        <f>'Input data'!B128</f>
        <v>64.676158618096451</v>
      </c>
      <c r="C204" s="417">
        <f>'Recycling - Case 3'!E108</f>
        <v>0.9561230769230773</v>
      </c>
      <c r="D204" s="525">
        <f>'Recycling - Case 3'!F108</f>
        <v>0.35763076923076936</v>
      </c>
      <c r="E204" s="235">
        <f t="shared" si="188"/>
        <v>1006652879.2633451</v>
      </c>
      <c r="F204" s="236">
        <v>0</v>
      </c>
      <c r="G204" s="237">
        <f t="shared" si="189"/>
        <v>1006652879.2633451</v>
      </c>
      <c r="H204" s="118">
        <f t="shared" si="214"/>
        <v>0.17810650887573962</v>
      </c>
      <c r="I204" s="118">
        <f t="shared" si="190"/>
        <v>0</v>
      </c>
      <c r="J204" s="118">
        <f t="shared" si="215"/>
        <v>0.17810650887573962</v>
      </c>
      <c r="K204" s="118">
        <f t="shared" si="216"/>
        <v>0.49869822485207127</v>
      </c>
      <c r="L204" s="118">
        <f t="shared" si="217"/>
        <v>7.1242603550295866E-2</v>
      </c>
      <c r="M204" s="205">
        <f t="shared" si="218"/>
        <v>7.38461538461537E-2</v>
      </c>
      <c r="N204" s="117">
        <f t="shared" si="219"/>
        <v>0</v>
      </c>
      <c r="O204" s="118">
        <f t="shared" si="220"/>
        <v>0.7</v>
      </c>
      <c r="P204" s="118">
        <f t="shared" si="221"/>
        <v>0.15</v>
      </c>
      <c r="Q204" s="118">
        <f t="shared" si="222"/>
        <v>0.15</v>
      </c>
      <c r="R204" s="118">
        <f t="shared" si="223"/>
        <v>0</v>
      </c>
      <c r="S204" s="205">
        <f t="shared" si="224"/>
        <v>0</v>
      </c>
      <c r="T204" s="117">
        <f t="shared" si="225"/>
        <v>0.41192307692307706</v>
      </c>
      <c r="U204" s="118">
        <f t="shared" si="226"/>
        <v>0</v>
      </c>
      <c r="V204" s="118">
        <f t="shared" si="227"/>
        <v>0.20596153846153853</v>
      </c>
      <c r="W204" s="118">
        <f t="shared" si="228"/>
        <v>0.29076923076923089</v>
      </c>
      <c r="X204" s="118">
        <f t="shared" si="229"/>
        <v>6.0576923076923042E-2</v>
      </c>
      <c r="Y204" s="205">
        <f t="shared" si="230"/>
        <v>3.0769230769230771E-2</v>
      </c>
      <c r="Z204" s="236">
        <f t="shared" si="231"/>
        <v>20977097.307110783</v>
      </c>
      <c r="AA204" s="236">
        <f t="shared" si="232"/>
        <v>0</v>
      </c>
      <c r="AB204" s="236">
        <f t="shared" si="233"/>
        <v>20977097.307110783</v>
      </c>
      <c r="AC204" s="236">
        <f t="shared" si="234"/>
        <v>11747174.491982045</v>
      </c>
      <c r="AD204" s="236">
        <f t="shared" si="235"/>
        <v>1678167.7845688628</v>
      </c>
      <c r="AE204" s="236">
        <f t="shared" si="236"/>
        <v>0</v>
      </c>
      <c r="AF204" s="242">
        <f t="shared" si="237"/>
        <v>55379536.890772469</v>
      </c>
      <c r="AG204" s="235">
        <f t="shared" si="238"/>
        <v>0</v>
      </c>
      <c r="AH204" s="236">
        <f t="shared" si="239"/>
        <v>0</v>
      </c>
      <c r="AI204" s="236">
        <f t="shared" si="240"/>
        <v>5435925.5480220634</v>
      </c>
      <c r="AJ204" s="236">
        <f t="shared" si="241"/>
        <v>1087185.1096044125</v>
      </c>
      <c r="AK204" s="236">
        <f t="shared" si="242"/>
        <v>0</v>
      </c>
      <c r="AL204" s="236">
        <f t="shared" si="243"/>
        <v>0</v>
      </c>
      <c r="AM204" s="971">
        <f t="shared" si="244"/>
        <v>6523110.6576264761</v>
      </c>
      <c r="AN204" s="235">
        <f t="shared" si="245"/>
        <v>60955542.058685884</v>
      </c>
      <c r="AO204" s="236">
        <f t="shared" si="246"/>
        <v>0</v>
      </c>
      <c r="AP204" s="236">
        <f t="shared" si="247"/>
        <v>30477771.029342942</v>
      </c>
      <c r="AQ204" s="236">
        <f t="shared" si="248"/>
        <v>43027441.453190044</v>
      </c>
      <c r="AR204" s="236">
        <f t="shared" si="249"/>
        <v>1792810.0605495835</v>
      </c>
      <c r="AS204" s="236">
        <f t="shared" si="250"/>
        <v>0</v>
      </c>
      <c r="AT204" s="242">
        <f t="shared" si="251"/>
        <v>136253564.60176846</v>
      </c>
      <c r="AU204" s="254">
        <v>0</v>
      </c>
      <c r="AV204" s="246">
        <f t="shared" si="252"/>
        <v>198.15621215016739</v>
      </c>
      <c r="AW204" s="973">
        <f t="shared" si="253"/>
        <v>3.2610614797895683</v>
      </c>
    </row>
    <row r="205" spans="1:49">
      <c r="A205" s="127">
        <f>'Input data'!A129</f>
        <v>2029</v>
      </c>
      <c r="B205" s="105">
        <f>'Input data'!B129</f>
        <v>65.31298905018393</v>
      </c>
      <c r="C205" s="417">
        <f>'Recycling - Case 3'!E109</f>
        <v>0.97806153846153887</v>
      </c>
      <c r="D205" s="525">
        <f>'Recycling - Case 3'!F109</f>
        <v>0.36381538461538476</v>
      </c>
      <c r="E205" s="235">
        <f t="shared" si="188"/>
        <v>1016564834.483951</v>
      </c>
      <c r="F205" s="236">
        <v>0</v>
      </c>
      <c r="G205" s="237">
        <f t="shared" si="189"/>
        <v>1016564834.483951</v>
      </c>
      <c r="H205" s="118">
        <f t="shared" si="214"/>
        <v>0.18520710059171594</v>
      </c>
      <c r="I205" s="118">
        <f t="shared" si="190"/>
        <v>0</v>
      </c>
      <c r="J205" s="118">
        <f t="shared" si="215"/>
        <v>0.18520710059171594</v>
      </c>
      <c r="K205" s="118">
        <f t="shared" si="216"/>
        <v>0.51857988165680502</v>
      </c>
      <c r="L205" s="118">
        <f t="shared" si="217"/>
        <v>7.4082840236686404E-2</v>
      </c>
      <c r="M205" s="205">
        <f t="shared" si="218"/>
        <v>3.6923076923076781E-2</v>
      </c>
      <c r="N205" s="117">
        <f t="shared" si="219"/>
        <v>0</v>
      </c>
      <c r="O205" s="118">
        <f t="shared" si="220"/>
        <v>0.7</v>
      </c>
      <c r="P205" s="118">
        <f t="shared" si="221"/>
        <v>0.15</v>
      </c>
      <c r="Q205" s="118">
        <f t="shared" si="222"/>
        <v>0.15</v>
      </c>
      <c r="R205" s="118">
        <f t="shared" si="223"/>
        <v>0</v>
      </c>
      <c r="S205" s="205">
        <f t="shared" si="224"/>
        <v>0</v>
      </c>
      <c r="T205" s="117">
        <f t="shared" si="225"/>
        <v>0.41846153846153861</v>
      </c>
      <c r="U205" s="118">
        <f t="shared" si="226"/>
        <v>0</v>
      </c>
      <c r="V205" s="118">
        <f t="shared" si="227"/>
        <v>0.2092307692307693</v>
      </c>
      <c r="W205" s="118">
        <f t="shared" si="228"/>
        <v>0.29538461538461552</v>
      </c>
      <c r="X205" s="118">
        <f t="shared" si="229"/>
        <v>6.15384615384615E-2</v>
      </c>
      <c r="Y205" s="205">
        <f t="shared" si="230"/>
        <v>1.5384615384615385E-2</v>
      </c>
      <c r="Z205" s="236">
        <f t="shared" si="231"/>
        <v>22028177.990317609</v>
      </c>
      <c r="AA205" s="236">
        <f t="shared" si="232"/>
        <v>0</v>
      </c>
      <c r="AB205" s="236">
        <f t="shared" si="233"/>
        <v>22028177.990317609</v>
      </c>
      <c r="AC205" s="236">
        <f t="shared" si="234"/>
        <v>12335779.674577871</v>
      </c>
      <c r="AD205" s="236">
        <f t="shared" si="235"/>
        <v>1762254.2392254095</v>
      </c>
      <c r="AE205" s="236">
        <f t="shared" si="236"/>
        <v>0</v>
      </c>
      <c r="AF205" s="242">
        <f t="shared" si="237"/>
        <v>58154389.894438498</v>
      </c>
      <c r="AG205" s="235">
        <f t="shared" si="238"/>
        <v>0</v>
      </c>
      <c r="AH205" s="236">
        <f t="shared" si="239"/>
        <v>0</v>
      </c>
      <c r="AI205" s="236">
        <f t="shared" si="240"/>
        <v>5489450.1062133349</v>
      </c>
      <c r="AJ205" s="236">
        <f t="shared" si="241"/>
        <v>1097890.021242667</v>
      </c>
      <c r="AK205" s="236">
        <f t="shared" si="242"/>
        <v>0</v>
      </c>
      <c r="AL205" s="236">
        <f t="shared" si="243"/>
        <v>0</v>
      </c>
      <c r="AM205" s="971">
        <f t="shared" si="244"/>
        <v>6587340.1274560019</v>
      </c>
      <c r="AN205" s="235">
        <f t="shared" si="245"/>
        <v>62532812.83385586</v>
      </c>
      <c r="AO205" s="236">
        <f t="shared" si="246"/>
        <v>0</v>
      </c>
      <c r="AP205" s="236">
        <f t="shared" si="247"/>
        <v>31266406.41692793</v>
      </c>
      <c r="AQ205" s="236">
        <f t="shared" si="248"/>
        <v>44140809.059192374</v>
      </c>
      <c r="AR205" s="236">
        <f t="shared" si="249"/>
        <v>1839200.3774663471</v>
      </c>
      <c r="AS205" s="236">
        <f t="shared" si="250"/>
        <v>0</v>
      </c>
      <c r="AT205" s="242">
        <f t="shared" si="251"/>
        <v>139779228.68744251</v>
      </c>
      <c r="AU205" s="254">
        <v>0</v>
      </c>
      <c r="AV205" s="246">
        <f t="shared" si="252"/>
        <v>204.52095870933701</v>
      </c>
      <c r="AW205" s="973">
        <f t="shared" si="253"/>
        <v>3.2931713520456056</v>
      </c>
    </row>
    <row r="206" spans="1:49">
      <c r="A206" s="127">
        <f>'Input data'!A130</f>
        <v>2030</v>
      </c>
      <c r="B206" s="105">
        <f>'Input data'!B130</f>
        <v>65.956090000000003</v>
      </c>
      <c r="C206" s="417">
        <f>'Recycling - Case 3'!E110</f>
        <v>1</v>
      </c>
      <c r="D206" s="525">
        <f>'Recycling - Case 3'!F110</f>
        <v>0.37</v>
      </c>
      <c r="E206" s="235">
        <f t="shared" si="188"/>
        <v>1026574387.2561252</v>
      </c>
      <c r="F206" s="236">
        <v>0</v>
      </c>
      <c r="G206" s="237">
        <f t="shared" si="189"/>
        <v>1026574387.2561252</v>
      </c>
      <c r="H206" s="418">
        <f>'Recycling - Case 3'!C47</f>
        <v>0.19230769230769232</v>
      </c>
      <c r="I206" s="418">
        <f>'Recycling - Case 3'!D47</f>
        <v>0</v>
      </c>
      <c r="J206" s="418">
        <f>'Recycling - Case 3'!E47</f>
        <v>0.19230769230769232</v>
      </c>
      <c r="K206" s="418">
        <f>'Recycling - Case 3'!F47</f>
        <v>0.53846153846153855</v>
      </c>
      <c r="L206" s="418">
        <f>'Recycling - Case 3'!G47</f>
        <v>7.6923076923076927E-2</v>
      </c>
      <c r="M206" s="119">
        <f>'Recycling - Case 3'!H47</f>
        <v>0</v>
      </c>
      <c r="N206" s="767">
        <f>'Recycling - Case 3'!J47</f>
        <v>0</v>
      </c>
      <c r="O206" s="418">
        <f>'Recycling - Case 3'!K47</f>
        <v>0.7</v>
      </c>
      <c r="P206" s="418">
        <f>'Recycling - Case 3'!L47</f>
        <v>0.15</v>
      </c>
      <c r="Q206" s="418">
        <f>'Recycling - Case 3'!M47</f>
        <v>0.15</v>
      </c>
      <c r="R206" s="418">
        <f>'Recycling - Case 3'!N47</f>
        <v>0</v>
      </c>
      <c r="S206" s="119">
        <f>'Recycling - Case 3'!O47</f>
        <v>0</v>
      </c>
      <c r="T206" s="767">
        <f>'Recycling - Case 3'!Q47</f>
        <v>0.42500000000000004</v>
      </c>
      <c r="U206" s="418">
        <f>'Recycling - Case 3'!R47</f>
        <v>0</v>
      </c>
      <c r="V206" s="418">
        <f>'Recycling - Case 3'!S47</f>
        <v>0.21250000000000002</v>
      </c>
      <c r="W206" s="418">
        <f>'Recycling - Case 3'!T47</f>
        <v>0.3</v>
      </c>
      <c r="X206" s="418">
        <f>'Recycling - Case 3'!U47</f>
        <v>6.25E-2</v>
      </c>
      <c r="Y206" s="119">
        <f>'Recycling - Case 3'!V47</f>
        <v>0</v>
      </c>
      <c r="Z206" s="236">
        <f t="shared" si="231"/>
        <v>23097923.713262819</v>
      </c>
      <c r="AA206" s="236">
        <f t="shared" si="232"/>
        <v>0</v>
      </c>
      <c r="AB206" s="236">
        <f t="shared" si="233"/>
        <v>23097923.713262819</v>
      </c>
      <c r="AC206" s="236">
        <f t="shared" si="234"/>
        <v>12934837.279427182</v>
      </c>
      <c r="AD206" s="236">
        <f t="shared" si="235"/>
        <v>1847833.8970610255</v>
      </c>
      <c r="AE206" s="236">
        <f t="shared" si="236"/>
        <v>0</v>
      </c>
      <c r="AF206" s="242">
        <f t="shared" si="237"/>
        <v>60978518.603013851</v>
      </c>
      <c r="AG206" s="235">
        <f t="shared" si="238"/>
        <v>0</v>
      </c>
      <c r="AH206" s="236">
        <f t="shared" si="239"/>
        <v>0</v>
      </c>
      <c r="AI206" s="236">
        <f t="shared" si="240"/>
        <v>5543501.6911830753</v>
      </c>
      <c r="AJ206" s="236">
        <f t="shared" si="241"/>
        <v>1108700.3382366151</v>
      </c>
      <c r="AK206" s="236">
        <f t="shared" si="242"/>
        <v>0</v>
      </c>
      <c r="AL206" s="236">
        <f t="shared" si="243"/>
        <v>0</v>
      </c>
      <c r="AM206" s="971">
        <f t="shared" si="244"/>
        <v>6652202.0294196904</v>
      </c>
      <c r="AN206" s="235">
        <f t="shared" si="245"/>
        <v>64135234.843826428</v>
      </c>
      <c r="AO206" s="236">
        <f t="shared" si="246"/>
        <v>0</v>
      </c>
      <c r="AP206" s="236">
        <f t="shared" si="247"/>
        <v>32067617.421913214</v>
      </c>
      <c r="AQ206" s="236">
        <f t="shared" si="248"/>
        <v>45271930.47799512</v>
      </c>
      <c r="AR206" s="236">
        <f t="shared" si="249"/>
        <v>1886330.4365831299</v>
      </c>
      <c r="AS206" s="236">
        <f t="shared" si="250"/>
        <v>0</v>
      </c>
      <c r="AT206" s="242">
        <f t="shared" si="251"/>
        <v>143361113.18031791</v>
      </c>
      <c r="AU206" s="254">
        <v>0</v>
      </c>
      <c r="AV206" s="246">
        <f t="shared" si="252"/>
        <v>210.99183381275145</v>
      </c>
      <c r="AW206" s="973">
        <f t="shared" si="253"/>
        <v>3.3255973924888065</v>
      </c>
    </row>
    <row r="207" spans="1:49">
      <c r="A207" s="127">
        <f>'Input data'!A131</f>
        <v>2031</v>
      </c>
      <c r="B207" s="105">
        <f>'Input data'!B131</f>
        <v>66.518977190687664</v>
      </c>
      <c r="C207" s="417">
        <f>'Recycling - Case 3'!E111</f>
        <v>1</v>
      </c>
      <c r="D207" s="525">
        <f>'Recycling - Case 3'!F111</f>
        <v>0.37</v>
      </c>
      <c r="E207" s="235">
        <f t="shared" si="188"/>
        <v>1035335451.9716731</v>
      </c>
      <c r="F207" s="236">
        <v>0</v>
      </c>
      <c r="G207" s="237">
        <f t="shared" si="189"/>
        <v>1035335451.9716731</v>
      </c>
      <c r="H207" s="118">
        <f>H206</f>
        <v>0.19230769230769232</v>
      </c>
      <c r="I207" s="118">
        <f t="shared" ref="I207:Y207" si="254">I206</f>
        <v>0</v>
      </c>
      <c r="J207" s="118">
        <f t="shared" si="254"/>
        <v>0.19230769230769232</v>
      </c>
      <c r="K207" s="118">
        <f t="shared" si="254"/>
        <v>0.53846153846153855</v>
      </c>
      <c r="L207" s="118">
        <f t="shared" si="254"/>
        <v>7.6923076923076927E-2</v>
      </c>
      <c r="M207" s="205">
        <f t="shared" si="254"/>
        <v>0</v>
      </c>
      <c r="N207" s="117">
        <f t="shared" si="254"/>
        <v>0</v>
      </c>
      <c r="O207" s="118">
        <f t="shared" si="254"/>
        <v>0.7</v>
      </c>
      <c r="P207" s="118">
        <f t="shared" si="254"/>
        <v>0.15</v>
      </c>
      <c r="Q207" s="118">
        <f t="shared" si="254"/>
        <v>0.15</v>
      </c>
      <c r="R207" s="118">
        <f t="shared" si="254"/>
        <v>0</v>
      </c>
      <c r="S207" s="205">
        <f t="shared" si="254"/>
        <v>0</v>
      </c>
      <c r="T207" s="117">
        <f t="shared" si="254"/>
        <v>0.42500000000000004</v>
      </c>
      <c r="U207" s="118">
        <f t="shared" si="254"/>
        <v>0</v>
      </c>
      <c r="V207" s="118">
        <f t="shared" si="254"/>
        <v>0.21250000000000002</v>
      </c>
      <c r="W207" s="118">
        <f t="shared" si="254"/>
        <v>0.3</v>
      </c>
      <c r="X207" s="118">
        <f t="shared" si="254"/>
        <v>6.25E-2</v>
      </c>
      <c r="Y207" s="205">
        <f t="shared" si="254"/>
        <v>0</v>
      </c>
      <c r="Z207" s="236">
        <f t="shared" si="231"/>
        <v>23295047.669362649</v>
      </c>
      <c r="AA207" s="236">
        <f t="shared" si="232"/>
        <v>0</v>
      </c>
      <c r="AB207" s="236">
        <f t="shared" si="233"/>
        <v>23295047.669362649</v>
      </c>
      <c r="AC207" s="236">
        <f t="shared" si="234"/>
        <v>13045226.694843085</v>
      </c>
      <c r="AD207" s="236">
        <f t="shared" si="235"/>
        <v>1863603.8135490119</v>
      </c>
      <c r="AE207" s="236">
        <f t="shared" si="236"/>
        <v>0</v>
      </c>
      <c r="AF207" s="242">
        <f t="shared" si="237"/>
        <v>61498925.847117394</v>
      </c>
      <c r="AG207" s="235">
        <f t="shared" si="238"/>
        <v>0</v>
      </c>
      <c r="AH207" s="236">
        <f t="shared" si="239"/>
        <v>0</v>
      </c>
      <c r="AI207" s="236">
        <f t="shared" si="240"/>
        <v>5590811.4406470349</v>
      </c>
      <c r="AJ207" s="236">
        <f t="shared" si="241"/>
        <v>1118162.288129407</v>
      </c>
      <c r="AK207" s="236">
        <f t="shared" si="242"/>
        <v>0</v>
      </c>
      <c r="AL207" s="236">
        <f t="shared" si="243"/>
        <v>0</v>
      </c>
      <c r="AM207" s="971">
        <f t="shared" si="244"/>
        <v>6708973.7287764419</v>
      </c>
      <c r="AN207" s="235">
        <f t="shared" si="245"/>
        <v>64682582.361930281</v>
      </c>
      <c r="AO207" s="236">
        <f t="shared" si="246"/>
        <v>0</v>
      </c>
      <c r="AP207" s="236">
        <f t="shared" si="247"/>
        <v>32341291.18096514</v>
      </c>
      <c r="AQ207" s="236">
        <f t="shared" si="248"/>
        <v>45658293.431950785</v>
      </c>
      <c r="AR207" s="236">
        <f t="shared" si="249"/>
        <v>1902428.8929979494</v>
      </c>
      <c r="AS207" s="236">
        <f t="shared" si="250"/>
        <v>0</v>
      </c>
      <c r="AT207" s="242">
        <f t="shared" si="251"/>
        <v>144584595.86784416</v>
      </c>
      <c r="AU207" s="254">
        <v>0</v>
      </c>
      <c r="AV207" s="246">
        <f t="shared" si="252"/>
        <v>212.79249544373798</v>
      </c>
      <c r="AW207" s="973">
        <f t="shared" si="253"/>
        <v>3.3539789441183268</v>
      </c>
    </row>
    <row r="208" spans="1:49">
      <c r="A208" s="127">
        <f>'Input data'!A132</f>
        <v>2032</v>
      </c>
      <c r="B208" s="105">
        <f>'Input data'!B132</f>
        <v>67.08666821358311</v>
      </c>
      <c r="C208" s="417">
        <f>'Recycling - Case 3'!E112</f>
        <v>1</v>
      </c>
      <c r="D208" s="525">
        <f>'Recycling - Case 3'!F112</f>
        <v>0.37</v>
      </c>
      <c r="E208" s="235">
        <f t="shared" si="188"/>
        <v>1044171285.9936672</v>
      </c>
      <c r="F208" s="236">
        <v>0</v>
      </c>
      <c r="G208" s="237">
        <f t="shared" si="189"/>
        <v>1044171285.9936672</v>
      </c>
      <c r="H208" s="118">
        <f t="shared" ref="H208:H226" si="255">H207</f>
        <v>0.19230769230769232</v>
      </c>
      <c r="I208" s="118">
        <f t="shared" ref="I208:I226" si="256">I207</f>
        <v>0</v>
      </c>
      <c r="J208" s="118">
        <f t="shared" ref="J208:J226" si="257">J207</f>
        <v>0.19230769230769232</v>
      </c>
      <c r="K208" s="118">
        <f t="shared" ref="K208:K226" si="258">K207</f>
        <v>0.53846153846153855</v>
      </c>
      <c r="L208" s="118">
        <f t="shared" ref="L208:L226" si="259">L207</f>
        <v>7.6923076923076927E-2</v>
      </c>
      <c r="M208" s="205">
        <f t="shared" ref="M208:M226" si="260">M207</f>
        <v>0</v>
      </c>
      <c r="N208" s="117">
        <f t="shared" ref="N208:N226" si="261">N207</f>
        <v>0</v>
      </c>
      <c r="O208" s="118">
        <f t="shared" ref="O208:O226" si="262">O207</f>
        <v>0.7</v>
      </c>
      <c r="P208" s="118">
        <f t="shared" ref="P208:P226" si="263">P207</f>
        <v>0.15</v>
      </c>
      <c r="Q208" s="118">
        <f t="shared" ref="Q208:Q226" si="264">Q207</f>
        <v>0.15</v>
      </c>
      <c r="R208" s="118">
        <f t="shared" ref="R208:R226" si="265">R207</f>
        <v>0</v>
      </c>
      <c r="S208" s="205">
        <f t="shared" ref="S208:S226" si="266">S207</f>
        <v>0</v>
      </c>
      <c r="T208" s="117">
        <f t="shared" ref="T208:T226" si="267">T207</f>
        <v>0.42500000000000004</v>
      </c>
      <c r="U208" s="118">
        <f t="shared" ref="U208:U226" si="268">U207</f>
        <v>0</v>
      </c>
      <c r="V208" s="118">
        <f t="shared" ref="V208:V226" si="269">V207</f>
        <v>0.21250000000000002</v>
      </c>
      <c r="W208" s="118">
        <f t="shared" ref="W208:W226" si="270">W207</f>
        <v>0.3</v>
      </c>
      <c r="X208" s="118">
        <f t="shared" ref="X208:X226" si="271">X207</f>
        <v>6.25E-2</v>
      </c>
      <c r="Y208" s="205">
        <f t="shared" ref="Y208:Y226" si="272">Y207</f>
        <v>0</v>
      </c>
      <c r="Z208" s="236">
        <f t="shared" si="231"/>
        <v>23493853.934857517</v>
      </c>
      <c r="AA208" s="236">
        <f t="shared" si="232"/>
        <v>0</v>
      </c>
      <c r="AB208" s="236">
        <f t="shared" si="233"/>
        <v>23493853.934857517</v>
      </c>
      <c r="AC208" s="236">
        <f t="shared" si="234"/>
        <v>13156558.20352021</v>
      </c>
      <c r="AD208" s="236">
        <f t="shared" si="235"/>
        <v>1879508.3147886014</v>
      </c>
      <c r="AE208" s="236">
        <f t="shared" si="236"/>
        <v>0</v>
      </c>
      <c r="AF208" s="242">
        <f t="shared" si="237"/>
        <v>62023774.388023846</v>
      </c>
      <c r="AG208" s="235">
        <f t="shared" si="238"/>
        <v>0</v>
      </c>
      <c r="AH208" s="236">
        <f t="shared" si="239"/>
        <v>0</v>
      </c>
      <c r="AI208" s="236">
        <f t="shared" si="240"/>
        <v>5638524.9443658032</v>
      </c>
      <c r="AJ208" s="236">
        <f t="shared" si="241"/>
        <v>1127704.9888731604</v>
      </c>
      <c r="AK208" s="236">
        <f t="shared" si="242"/>
        <v>0</v>
      </c>
      <c r="AL208" s="236">
        <f t="shared" si="243"/>
        <v>0</v>
      </c>
      <c r="AM208" s="971">
        <f t="shared" si="244"/>
        <v>6766229.9332389636</v>
      </c>
      <c r="AN208" s="235">
        <f t="shared" si="245"/>
        <v>65234601.092454359</v>
      </c>
      <c r="AO208" s="236">
        <f t="shared" si="246"/>
        <v>0</v>
      </c>
      <c r="AP208" s="236">
        <f t="shared" si="247"/>
        <v>32617300.546227179</v>
      </c>
      <c r="AQ208" s="236">
        <f t="shared" si="248"/>
        <v>46047953.712320723</v>
      </c>
      <c r="AR208" s="236">
        <f t="shared" si="249"/>
        <v>1918664.7380133634</v>
      </c>
      <c r="AS208" s="236">
        <f t="shared" si="250"/>
        <v>0</v>
      </c>
      <c r="AT208" s="242">
        <f t="shared" si="251"/>
        <v>145818520.0890156</v>
      </c>
      <c r="AU208" s="254">
        <v>0</v>
      </c>
      <c r="AV208" s="246">
        <f t="shared" si="252"/>
        <v>214.60852441027842</v>
      </c>
      <c r="AW208" s="973">
        <f t="shared" si="253"/>
        <v>3.3826027116200144</v>
      </c>
    </row>
    <row r="209" spans="1:49">
      <c r="A209" s="127">
        <f>'Input data'!A133</f>
        <v>2033</v>
      </c>
      <c r="B209" s="105">
        <f>'Input data'!B133</f>
        <v>67.659204065895452</v>
      </c>
      <c r="C209" s="417">
        <f>'Recycling - Case 3'!E113</f>
        <v>1</v>
      </c>
      <c r="D209" s="525">
        <f>'Recycling - Case 3'!F113</f>
        <v>0.37</v>
      </c>
      <c r="E209" s="235">
        <f t="shared" si="188"/>
        <v>1053082527.4236807</v>
      </c>
      <c r="F209" s="236">
        <v>0</v>
      </c>
      <c r="G209" s="237">
        <f t="shared" si="189"/>
        <v>1053082527.4236807</v>
      </c>
      <c r="H209" s="118">
        <f t="shared" si="255"/>
        <v>0.19230769230769232</v>
      </c>
      <c r="I209" s="118">
        <f t="shared" si="256"/>
        <v>0</v>
      </c>
      <c r="J209" s="118">
        <f t="shared" si="257"/>
        <v>0.19230769230769232</v>
      </c>
      <c r="K209" s="118">
        <f t="shared" si="258"/>
        <v>0.53846153846153855</v>
      </c>
      <c r="L209" s="118">
        <f t="shared" si="259"/>
        <v>7.6923076923076927E-2</v>
      </c>
      <c r="M209" s="205">
        <f t="shared" si="260"/>
        <v>0</v>
      </c>
      <c r="N209" s="117">
        <f t="shared" si="261"/>
        <v>0</v>
      </c>
      <c r="O209" s="118">
        <f t="shared" si="262"/>
        <v>0.7</v>
      </c>
      <c r="P209" s="118">
        <f t="shared" si="263"/>
        <v>0.15</v>
      </c>
      <c r="Q209" s="118">
        <f t="shared" si="264"/>
        <v>0.15</v>
      </c>
      <c r="R209" s="118">
        <f t="shared" si="265"/>
        <v>0</v>
      </c>
      <c r="S209" s="205">
        <f t="shared" si="266"/>
        <v>0</v>
      </c>
      <c r="T209" s="117">
        <f t="shared" si="267"/>
        <v>0.42500000000000004</v>
      </c>
      <c r="U209" s="118">
        <f t="shared" si="268"/>
        <v>0</v>
      </c>
      <c r="V209" s="118">
        <f t="shared" si="269"/>
        <v>0.21250000000000002</v>
      </c>
      <c r="W209" s="118">
        <f t="shared" si="270"/>
        <v>0.3</v>
      </c>
      <c r="X209" s="118">
        <f t="shared" si="271"/>
        <v>6.25E-2</v>
      </c>
      <c r="Y209" s="205">
        <f t="shared" si="272"/>
        <v>0</v>
      </c>
      <c r="Z209" s="236">
        <f t="shared" si="231"/>
        <v>23694356.867032815</v>
      </c>
      <c r="AA209" s="236">
        <f t="shared" si="232"/>
        <v>0</v>
      </c>
      <c r="AB209" s="236">
        <f t="shared" si="233"/>
        <v>23694356.867032815</v>
      </c>
      <c r="AC209" s="236">
        <f t="shared" si="234"/>
        <v>13268839.84553838</v>
      </c>
      <c r="AD209" s="236">
        <f t="shared" si="235"/>
        <v>1895548.5493626255</v>
      </c>
      <c r="AE209" s="236">
        <f t="shared" si="236"/>
        <v>0</v>
      </c>
      <c r="AF209" s="242">
        <f t="shared" si="237"/>
        <v>62553102.12896663</v>
      </c>
      <c r="AG209" s="235">
        <f t="shared" si="238"/>
        <v>0</v>
      </c>
      <c r="AH209" s="236">
        <f t="shared" si="239"/>
        <v>0</v>
      </c>
      <c r="AI209" s="236">
        <f t="shared" si="240"/>
        <v>5686645.648087875</v>
      </c>
      <c r="AJ209" s="236">
        <f t="shared" si="241"/>
        <v>1137329.1296175751</v>
      </c>
      <c r="AK209" s="236">
        <f t="shared" si="242"/>
        <v>0</v>
      </c>
      <c r="AL209" s="236">
        <f t="shared" si="243"/>
        <v>0</v>
      </c>
      <c r="AM209" s="971">
        <f t="shared" si="244"/>
        <v>6823974.7777054496</v>
      </c>
      <c r="AN209" s="235">
        <f t="shared" si="245"/>
        <v>65791330.900794454</v>
      </c>
      <c r="AO209" s="236">
        <f t="shared" si="246"/>
        <v>0</v>
      </c>
      <c r="AP209" s="236">
        <f t="shared" si="247"/>
        <v>32895665.450397227</v>
      </c>
      <c r="AQ209" s="236">
        <f t="shared" si="248"/>
        <v>46440939.459384315</v>
      </c>
      <c r="AR209" s="236">
        <f t="shared" si="249"/>
        <v>1935039.144141013</v>
      </c>
      <c r="AS209" s="236">
        <f t="shared" si="250"/>
        <v>0</v>
      </c>
      <c r="AT209" s="242">
        <f t="shared" si="251"/>
        <v>147062974.95471701</v>
      </c>
      <c r="AU209" s="254">
        <v>0</v>
      </c>
      <c r="AV209" s="246">
        <f t="shared" si="252"/>
        <v>216.44005186138909</v>
      </c>
      <c r="AW209" s="973">
        <f t="shared" si="253"/>
        <v>3.4114707621299263</v>
      </c>
    </row>
    <row r="210" spans="1:49">
      <c r="A210" s="127">
        <f>'Input data'!A134</f>
        <v>2034</v>
      </c>
      <c r="B210" s="105">
        <f>'Input data'!B134</f>
        <v>68.236626094715163</v>
      </c>
      <c r="C210" s="417">
        <f>'Recycling - Case 3'!E114</f>
        <v>1</v>
      </c>
      <c r="D210" s="525">
        <f>'Recycling - Case 3'!F114</f>
        <v>0.37</v>
      </c>
      <c r="E210" s="235">
        <f t="shared" si="188"/>
        <v>1062069819.8090204</v>
      </c>
      <c r="F210" s="236">
        <v>0</v>
      </c>
      <c r="G210" s="237">
        <f t="shared" si="189"/>
        <v>1062069819.8090204</v>
      </c>
      <c r="H210" s="118">
        <f t="shared" si="255"/>
        <v>0.19230769230769232</v>
      </c>
      <c r="I210" s="118">
        <f t="shared" si="256"/>
        <v>0</v>
      </c>
      <c r="J210" s="118">
        <f t="shared" si="257"/>
        <v>0.19230769230769232</v>
      </c>
      <c r="K210" s="118">
        <f t="shared" si="258"/>
        <v>0.53846153846153855</v>
      </c>
      <c r="L210" s="118">
        <f t="shared" si="259"/>
        <v>7.6923076923076927E-2</v>
      </c>
      <c r="M210" s="205">
        <f t="shared" si="260"/>
        <v>0</v>
      </c>
      <c r="N210" s="117">
        <f t="shared" si="261"/>
        <v>0</v>
      </c>
      <c r="O210" s="118">
        <f t="shared" si="262"/>
        <v>0.7</v>
      </c>
      <c r="P210" s="118">
        <f t="shared" si="263"/>
        <v>0.15</v>
      </c>
      <c r="Q210" s="118">
        <f t="shared" si="264"/>
        <v>0.15</v>
      </c>
      <c r="R210" s="118">
        <f t="shared" si="265"/>
        <v>0</v>
      </c>
      <c r="S210" s="205">
        <f t="shared" si="266"/>
        <v>0</v>
      </c>
      <c r="T210" s="117">
        <f t="shared" si="267"/>
        <v>0.42500000000000004</v>
      </c>
      <c r="U210" s="118">
        <f t="shared" si="268"/>
        <v>0</v>
      </c>
      <c r="V210" s="118">
        <f t="shared" si="269"/>
        <v>0.21250000000000002</v>
      </c>
      <c r="W210" s="118">
        <f t="shared" si="270"/>
        <v>0.3</v>
      </c>
      <c r="X210" s="118">
        <f t="shared" si="271"/>
        <v>6.25E-2</v>
      </c>
      <c r="Y210" s="205">
        <f t="shared" si="272"/>
        <v>0</v>
      </c>
      <c r="Z210" s="236">
        <f t="shared" si="231"/>
        <v>23896570.945702963</v>
      </c>
      <c r="AA210" s="236">
        <f t="shared" si="232"/>
        <v>0</v>
      </c>
      <c r="AB210" s="236">
        <f t="shared" si="233"/>
        <v>23896570.945702963</v>
      </c>
      <c r="AC210" s="236">
        <f t="shared" si="234"/>
        <v>13382079.729593663</v>
      </c>
      <c r="AD210" s="236">
        <f t="shared" si="235"/>
        <v>1911725.6756562369</v>
      </c>
      <c r="AE210" s="236">
        <f t="shared" si="236"/>
        <v>0</v>
      </c>
      <c r="AF210" s="242">
        <f t="shared" si="237"/>
        <v>63086947.296655826</v>
      </c>
      <c r="AG210" s="235">
        <f t="shared" si="238"/>
        <v>0</v>
      </c>
      <c r="AH210" s="236">
        <f t="shared" si="239"/>
        <v>0</v>
      </c>
      <c r="AI210" s="236">
        <f t="shared" si="240"/>
        <v>5735177.0269687101</v>
      </c>
      <c r="AJ210" s="236">
        <f t="shared" si="241"/>
        <v>1147035.405393742</v>
      </c>
      <c r="AK210" s="236">
        <f t="shared" si="242"/>
        <v>0</v>
      </c>
      <c r="AL210" s="236">
        <f t="shared" si="243"/>
        <v>0</v>
      </c>
      <c r="AM210" s="971">
        <f t="shared" si="244"/>
        <v>6882212.4323624521</v>
      </c>
      <c r="AN210" s="235">
        <f t="shared" si="245"/>
        <v>66352811.992568552</v>
      </c>
      <c r="AO210" s="236">
        <f t="shared" si="246"/>
        <v>0</v>
      </c>
      <c r="AP210" s="236">
        <f t="shared" si="247"/>
        <v>33176405.996284276</v>
      </c>
      <c r="AQ210" s="236">
        <f t="shared" si="248"/>
        <v>46837279.053577796</v>
      </c>
      <c r="AR210" s="236">
        <f t="shared" si="249"/>
        <v>1951553.2938990749</v>
      </c>
      <c r="AS210" s="236">
        <f t="shared" si="250"/>
        <v>0</v>
      </c>
      <c r="AT210" s="242">
        <f t="shared" si="251"/>
        <v>148318050.33632973</v>
      </c>
      <c r="AU210" s="254">
        <v>0</v>
      </c>
      <c r="AV210" s="246">
        <f t="shared" si="252"/>
        <v>218.28721006534801</v>
      </c>
      <c r="AW210" s="973">
        <f t="shared" si="253"/>
        <v>3.4405851804256198</v>
      </c>
    </row>
    <row r="211" spans="1:49">
      <c r="A211" s="127">
        <f>'Input data'!A135</f>
        <v>2035</v>
      </c>
      <c r="B211" s="105">
        <f>'Input data'!B135</f>
        <v>68.818976000000006</v>
      </c>
      <c r="C211" s="417">
        <f>'Recycling - Case 3'!E115</f>
        <v>1</v>
      </c>
      <c r="D211" s="525">
        <f>'Recycling - Case 3'!F115</f>
        <v>0.37</v>
      </c>
      <c r="E211" s="235">
        <f t="shared" si="188"/>
        <v>1071133812.1892002</v>
      </c>
      <c r="F211" s="236">
        <v>0</v>
      </c>
      <c r="G211" s="237">
        <f t="shared" si="189"/>
        <v>1071133812.1892002</v>
      </c>
      <c r="H211" s="118">
        <f t="shared" si="255"/>
        <v>0.19230769230769232</v>
      </c>
      <c r="I211" s="118">
        <f t="shared" si="256"/>
        <v>0</v>
      </c>
      <c r="J211" s="118">
        <f t="shared" si="257"/>
        <v>0.19230769230769232</v>
      </c>
      <c r="K211" s="118">
        <f t="shared" si="258"/>
        <v>0.53846153846153855</v>
      </c>
      <c r="L211" s="118">
        <f t="shared" si="259"/>
        <v>7.6923076923076927E-2</v>
      </c>
      <c r="M211" s="205">
        <f t="shared" si="260"/>
        <v>0</v>
      </c>
      <c r="N211" s="117">
        <f t="shared" si="261"/>
        <v>0</v>
      </c>
      <c r="O211" s="118">
        <f t="shared" si="262"/>
        <v>0.7</v>
      </c>
      <c r="P211" s="118">
        <f t="shared" si="263"/>
        <v>0.15</v>
      </c>
      <c r="Q211" s="118">
        <f t="shared" si="264"/>
        <v>0.15</v>
      </c>
      <c r="R211" s="118">
        <f t="shared" si="265"/>
        <v>0</v>
      </c>
      <c r="S211" s="205">
        <f t="shared" si="266"/>
        <v>0</v>
      </c>
      <c r="T211" s="117">
        <f t="shared" si="267"/>
        <v>0.42500000000000004</v>
      </c>
      <c r="U211" s="118">
        <f t="shared" si="268"/>
        <v>0</v>
      </c>
      <c r="V211" s="118">
        <f t="shared" si="269"/>
        <v>0.21250000000000002</v>
      </c>
      <c r="W211" s="118">
        <f t="shared" si="270"/>
        <v>0.3</v>
      </c>
      <c r="X211" s="118">
        <f t="shared" si="271"/>
        <v>6.25E-2</v>
      </c>
      <c r="Y211" s="205">
        <f t="shared" si="272"/>
        <v>0</v>
      </c>
      <c r="Z211" s="236">
        <f t="shared" si="231"/>
        <v>24100510.774257008</v>
      </c>
      <c r="AA211" s="236">
        <f t="shared" si="232"/>
        <v>0</v>
      </c>
      <c r="AB211" s="236">
        <f t="shared" si="233"/>
        <v>24100510.774257008</v>
      </c>
      <c r="AC211" s="236">
        <f t="shared" si="234"/>
        <v>13496286.033583926</v>
      </c>
      <c r="AD211" s="236">
        <f t="shared" si="235"/>
        <v>1928040.8619405604</v>
      </c>
      <c r="AE211" s="236">
        <f t="shared" si="236"/>
        <v>0</v>
      </c>
      <c r="AF211" s="242">
        <f t="shared" si="237"/>
        <v>63625348.444038503</v>
      </c>
      <c r="AG211" s="235">
        <f t="shared" si="238"/>
        <v>0</v>
      </c>
      <c r="AH211" s="236">
        <f t="shared" si="239"/>
        <v>0</v>
      </c>
      <c r="AI211" s="236">
        <f t="shared" si="240"/>
        <v>5784122.5858216807</v>
      </c>
      <c r="AJ211" s="236">
        <f t="shared" si="241"/>
        <v>1156824.5171643361</v>
      </c>
      <c r="AK211" s="236">
        <f t="shared" si="242"/>
        <v>0</v>
      </c>
      <c r="AL211" s="236">
        <f t="shared" si="243"/>
        <v>0</v>
      </c>
      <c r="AM211" s="971">
        <f t="shared" si="244"/>
        <v>6940947.1029860172</v>
      </c>
      <c r="AN211" s="235">
        <f t="shared" si="245"/>
        <v>66919084.916520275</v>
      </c>
      <c r="AO211" s="236">
        <f t="shared" si="246"/>
        <v>0</v>
      </c>
      <c r="AP211" s="236">
        <f t="shared" si="247"/>
        <v>33459542.458260138</v>
      </c>
      <c r="AQ211" s="236">
        <f t="shared" si="248"/>
        <v>47237001.117543727</v>
      </c>
      <c r="AR211" s="236">
        <f t="shared" si="249"/>
        <v>1968208.3798976552</v>
      </c>
      <c r="AS211" s="236">
        <f t="shared" si="250"/>
        <v>0</v>
      </c>
      <c r="AT211" s="242">
        <f t="shared" si="251"/>
        <v>149583836.8722218</v>
      </c>
      <c r="AU211" s="254">
        <v>0</v>
      </c>
      <c r="AV211" s="246">
        <f t="shared" si="252"/>
        <v>220.15013241924632</v>
      </c>
      <c r="AW211" s="973">
        <f t="shared" si="253"/>
        <v>3.4699480690767106</v>
      </c>
    </row>
    <row r="212" spans="1:49">
      <c r="A212" s="127">
        <f>'Input data'!A136</f>
        <v>2036</v>
      </c>
      <c r="B212" s="105">
        <f>'Input data'!B136</f>
        <v>69.322810489383542</v>
      </c>
      <c r="C212" s="417">
        <f>'Recycling - Case 3'!E116</f>
        <v>1</v>
      </c>
      <c r="D212" s="525">
        <f>'Recycling - Case 3'!F116</f>
        <v>0.37</v>
      </c>
      <c r="E212" s="235">
        <f t="shared" si="188"/>
        <v>1078975750.3971415</v>
      </c>
      <c r="F212" s="236">
        <v>0</v>
      </c>
      <c r="G212" s="237">
        <f t="shared" si="189"/>
        <v>1078975750.3971415</v>
      </c>
      <c r="H212" s="118">
        <f t="shared" si="255"/>
        <v>0.19230769230769232</v>
      </c>
      <c r="I212" s="118">
        <f t="shared" si="256"/>
        <v>0</v>
      </c>
      <c r="J212" s="118">
        <f t="shared" si="257"/>
        <v>0.19230769230769232</v>
      </c>
      <c r="K212" s="118">
        <f t="shared" si="258"/>
        <v>0.53846153846153855</v>
      </c>
      <c r="L212" s="118">
        <f t="shared" si="259"/>
        <v>7.6923076923076927E-2</v>
      </c>
      <c r="M212" s="205">
        <f t="shared" si="260"/>
        <v>0</v>
      </c>
      <c r="N212" s="117">
        <f t="shared" si="261"/>
        <v>0</v>
      </c>
      <c r="O212" s="118">
        <f t="shared" si="262"/>
        <v>0.7</v>
      </c>
      <c r="P212" s="118">
        <f t="shared" si="263"/>
        <v>0.15</v>
      </c>
      <c r="Q212" s="118">
        <f t="shared" si="264"/>
        <v>0.15</v>
      </c>
      <c r="R212" s="118">
        <f t="shared" si="265"/>
        <v>0</v>
      </c>
      <c r="S212" s="205">
        <f t="shared" si="266"/>
        <v>0</v>
      </c>
      <c r="T212" s="117">
        <f t="shared" si="267"/>
        <v>0.42500000000000004</v>
      </c>
      <c r="U212" s="118">
        <f t="shared" si="268"/>
        <v>0</v>
      </c>
      <c r="V212" s="118">
        <f t="shared" si="269"/>
        <v>0.21250000000000002</v>
      </c>
      <c r="W212" s="118">
        <f t="shared" si="270"/>
        <v>0.3</v>
      </c>
      <c r="X212" s="118">
        <f t="shared" si="271"/>
        <v>6.25E-2</v>
      </c>
      <c r="Y212" s="205">
        <f t="shared" si="272"/>
        <v>0</v>
      </c>
      <c r="Z212" s="236">
        <f t="shared" si="231"/>
        <v>24276954.383935686</v>
      </c>
      <c r="AA212" s="236">
        <f t="shared" si="232"/>
        <v>0</v>
      </c>
      <c r="AB212" s="236">
        <f t="shared" si="233"/>
        <v>24276954.383935686</v>
      </c>
      <c r="AC212" s="236">
        <f t="shared" si="234"/>
        <v>13595094.455003986</v>
      </c>
      <c r="AD212" s="236">
        <f t="shared" si="235"/>
        <v>1942156.3507148549</v>
      </c>
      <c r="AE212" s="236">
        <f t="shared" si="236"/>
        <v>0</v>
      </c>
      <c r="AF212" s="242">
        <f t="shared" si="237"/>
        <v>64091159.573590212</v>
      </c>
      <c r="AG212" s="235">
        <f t="shared" si="238"/>
        <v>0</v>
      </c>
      <c r="AH212" s="236">
        <f t="shared" si="239"/>
        <v>0</v>
      </c>
      <c r="AI212" s="236">
        <f t="shared" si="240"/>
        <v>5826469.0521445638</v>
      </c>
      <c r="AJ212" s="236">
        <f t="shared" si="241"/>
        <v>1165293.8104289128</v>
      </c>
      <c r="AK212" s="236">
        <f t="shared" si="242"/>
        <v>0</v>
      </c>
      <c r="AL212" s="236">
        <f t="shared" si="243"/>
        <v>0</v>
      </c>
      <c r="AM212" s="971">
        <f t="shared" si="244"/>
        <v>6991762.8625734765</v>
      </c>
      <c r="AN212" s="235">
        <f t="shared" si="245"/>
        <v>67409010.00606142</v>
      </c>
      <c r="AO212" s="236">
        <f t="shared" si="246"/>
        <v>0</v>
      </c>
      <c r="AP212" s="236">
        <f t="shared" si="247"/>
        <v>33704505.00303071</v>
      </c>
      <c r="AQ212" s="236">
        <f t="shared" si="248"/>
        <v>47582830.592513934</v>
      </c>
      <c r="AR212" s="236">
        <f t="shared" si="249"/>
        <v>1982617.9413547474</v>
      </c>
      <c r="AS212" s="236">
        <f t="shared" si="250"/>
        <v>0</v>
      </c>
      <c r="AT212" s="242">
        <f t="shared" si="251"/>
        <v>150678963.54296082</v>
      </c>
      <c r="AU212" s="254">
        <v>0</v>
      </c>
      <c r="AV212" s="246">
        <f t="shared" si="252"/>
        <v>221.76188597912451</v>
      </c>
      <c r="AW212" s="973">
        <f t="shared" si="253"/>
        <v>3.4953521017314642</v>
      </c>
    </row>
    <row r="213" spans="1:49">
      <c r="A213" s="127">
        <f>'Input data'!A137</f>
        <v>2037</v>
      </c>
      <c r="B213" s="105">
        <f>'Input data'!B137</f>
        <v>69.830333629884052</v>
      </c>
      <c r="C213" s="417">
        <f>'Recycling - Case 3'!E117</f>
        <v>1</v>
      </c>
      <c r="D213" s="525">
        <f>'Recycling - Case 3'!F117</f>
        <v>0.37</v>
      </c>
      <c r="E213" s="235">
        <f t="shared" si="188"/>
        <v>1086875100.6615009</v>
      </c>
      <c r="F213" s="236">
        <v>0</v>
      </c>
      <c r="G213" s="237">
        <f t="shared" si="189"/>
        <v>1086875100.6615009</v>
      </c>
      <c r="H213" s="118">
        <f t="shared" si="255"/>
        <v>0.19230769230769232</v>
      </c>
      <c r="I213" s="118">
        <f t="shared" si="256"/>
        <v>0</v>
      </c>
      <c r="J213" s="118">
        <f t="shared" si="257"/>
        <v>0.19230769230769232</v>
      </c>
      <c r="K213" s="118">
        <f t="shared" si="258"/>
        <v>0.53846153846153855</v>
      </c>
      <c r="L213" s="118">
        <f t="shared" si="259"/>
        <v>7.6923076923076927E-2</v>
      </c>
      <c r="M213" s="205">
        <f t="shared" si="260"/>
        <v>0</v>
      </c>
      <c r="N213" s="117">
        <f t="shared" si="261"/>
        <v>0</v>
      </c>
      <c r="O213" s="118">
        <f t="shared" si="262"/>
        <v>0.7</v>
      </c>
      <c r="P213" s="118">
        <f t="shared" si="263"/>
        <v>0.15</v>
      </c>
      <c r="Q213" s="118">
        <f t="shared" si="264"/>
        <v>0.15</v>
      </c>
      <c r="R213" s="118">
        <f t="shared" si="265"/>
        <v>0</v>
      </c>
      <c r="S213" s="205">
        <f t="shared" si="266"/>
        <v>0</v>
      </c>
      <c r="T213" s="117">
        <f t="shared" si="267"/>
        <v>0.42500000000000004</v>
      </c>
      <c r="U213" s="118">
        <f t="shared" si="268"/>
        <v>0</v>
      </c>
      <c r="V213" s="118">
        <f t="shared" si="269"/>
        <v>0.21250000000000002</v>
      </c>
      <c r="W213" s="118">
        <f t="shared" si="270"/>
        <v>0.3</v>
      </c>
      <c r="X213" s="118">
        <f t="shared" si="271"/>
        <v>6.25E-2</v>
      </c>
      <c r="Y213" s="205">
        <f t="shared" si="272"/>
        <v>0</v>
      </c>
      <c r="Z213" s="236">
        <f t="shared" si="231"/>
        <v>24454689.764883772</v>
      </c>
      <c r="AA213" s="236">
        <f t="shared" si="232"/>
        <v>0</v>
      </c>
      <c r="AB213" s="236">
        <f t="shared" si="233"/>
        <v>24454689.764883772</v>
      </c>
      <c r="AC213" s="236">
        <f t="shared" si="234"/>
        <v>13694626.268334916</v>
      </c>
      <c r="AD213" s="236">
        <f t="shared" si="235"/>
        <v>1956375.1811907019</v>
      </c>
      <c r="AE213" s="236">
        <f t="shared" si="236"/>
        <v>0</v>
      </c>
      <c r="AF213" s="242">
        <f t="shared" si="237"/>
        <v>64560380.97929316</v>
      </c>
      <c r="AG213" s="235">
        <f t="shared" si="238"/>
        <v>0</v>
      </c>
      <c r="AH213" s="236">
        <f t="shared" si="239"/>
        <v>0</v>
      </c>
      <c r="AI213" s="236">
        <f t="shared" si="240"/>
        <v>5869125.5435721045</v>
      </c>
      <c r="AJ213" s="236">
        <f t="shared" si="241"/>
        <v>1173825.1087144208</v>
      </c>
      <c r="AK213" s="236">
        <f t="shared" si="242"/>
        <v>0</v>
      </c>
      <c r="AL213" s="236">
        <f t="shared" si="243"/>
        <v>0</v>
      </c>
      <c r="AM213" s="971">
        <f t="shared" si="244"/>
        <v>7042950.6522865258</v>
      </c>
      <c r="AN213" s="235">
        <f t="shared" si="245"/>
        <v>67902521.91382727</v>
      </c>
      <c r="AO213" s="236">
        <f t="shared" si="246"/>
        <v>0</v>
      </c>
      <c r="AP213" s="236">
        <f t="shared" si="247"/>
        <v>33951260.956913635</v>
      </c>
      <c r="AQ213" s="236">
        <f t="shared" si="248"/>
        <v>47931191.939172193</v>
      </c>
      <c r="AR213" s="236">
        <f t="shared" si="249"/>
        <v>1997132.9974655078</v>
      </c>
      <c r="AS213" s="236">
        <f t="shared" si="250"/>
        <v>0</v>
      </c>
      <c r="AT213" s="242">
        <f t="shared" si="251"/>
        <v>151782107.80737862</v>
      </c>
      <c r="AU213" s="254">
        <v>0</v>
      </c>
      <c r="AV213" s="246">
        <f t="shared" si="252"/>
        <v>223.38543943895829</v>
      </c>
      <c r="AW213" s="973">
        <f t="shared" si="253"/>
        <v>3.5209421212835057</v>
      </c>
    </row>
    <row r="214" spans="1:49">
      <c r="A214" s="127">
        <f>'Input data'!A138</f>
        <v>2038</v>
      </c>
      <c r="B214" s="105">
        <f>'Input data'!B138</f>
        <v>70.341572426693446</v>
      </c>
      <c r="C214" s="417">
        <f>'Recycling - Case 3'!E118</f>
        <v>1</v>
      </c>
      <c r="D214" s="525">
        <f>'Recycling - Case 3'!F118</f>
        <v>0.37</v>
      </c>
      <c r="E214" s="235">
        <f t="shared" si="188"/>
        <v>1094832283.3049257</v>
      </c>
      <c r="F214" s="236">
        <v>0</v>
      </c>
      <c r="G214" s="237">
        <f t="shared" si="189"/>
        <v>1094832283.3049257</v>
      </c>
      <c r="H214" s="118">
        <f t="shared" si="255"/>
        <v>0.19230769230769232</v>
      </c>
      <c r="I214" s="118">
        <f t="shared" si="256"/>
        <v>0</v>
      </c>
      <c r="J214" s="118">
        <f t="shared" si="257"/>
        <v>0.19230769230769232</v>
      </c>
      <c r="K214" s="118">
        <f t="shared" si="258"/>
        <v>0.53846153846153855</v>
      </c>
      <c r="L214" s="118">
        <f t="shared" si="259"/>
        <v>7.6923076923076927E-2</v>
      </c>
      <c r="M214" s="205">
        <f t="shared" si="260"/>
        <v>0</v>
      </c>
      <c r="N214" s="117">
        <f t="shared" si="261"/>
        <v>0</v>
      </c>
      <c r="O214" s="118">
        <f t="shared" si="262"/>
        <v>0.7</v>
      </c>
      <c r="P214" s="118">
        <f t="shared" si="263"/>
        <v>0.15</v>
      </c>
      <c r="Q214" s="118">
        <f t="shared" si="264"/>
        <v>0.15</v>
      </c>
      <c r="R214" s="118">
        <f t="shared" si="265"/>
        <v>0</v>
      </c>
      <c r="S214" s="205">
        <f t="shared" si="266"/>
        <v>0</v>
      </c>
      <c r="T214" s="117">
        <f t="shared" si="267"/>
        <v>0.42500000000000004</v>
      </c>
      <c r="U214" s="118">
        <f t="shared" si="268"/>
        <v>0</v>
      </c>
      <c r="V214" s="118">
        <f t="shared" si="269"/>
        <v>0.21250000000000002</v>
      </c>
      <c r="W214" s="118">
        <f t="shared" si="270"/>
        <v>0.3</v>
      </c>
      <c r="X214" s="118">
        <f t="shared" si="271"/>
        <v>6.25E-2</v>
      </c>
      <c r="Y214" s="205">
        <f t="shared" si="272"/>
        <v>0</v>
      </c>
      <c r="Z214" s="236">
        <f t="shared" si="231"/>
        <v>24633726.37436083</v>
      </c>
      <c r="AA214" s="236">
        <f t="shared" si="232"/>
        <v>0</v>
      </c>
      <c r="AB214" s="236">
        <f t="shared" si="233"/>
        <v>24633726.37436083</v>
      </c>
      <c r="AC214" s="236">
        <f t="shared" si="234"/>
        <v>13794886.769642066</v>
      </c>
      <c r="AD214" s="236">
        <f t="shared" si="235"/>
        <v>1970698.1099488665</v>
      </c>
      <c r="AE214" s="236">
        <f t="shared" si="236"/>
        <v>0</v>
      </c>
      <c r="AF214" s="242">
        <f t="shared" si="237"/>
        <v>65033037.628312595</v>
      </c>
      <c r="AG214" s="235">
        <f t="shared" si="238"/>
        <v>0</v>
      </c>
      <c r="AH214" s="236">
        <f t="shared" si="239"/>
        <v>0</v>
      </c>
      <c r="AI214" s="236">
        <f t="shared" si="240"/>
        <v>5912094.3298465982</v>
      </c>
      <c r="AJ214" s="236">
        <f t="shared" si="241"/>
        <v>1182418.8659693196</v>
      </c>
      <c r="AK214" s="236">
        <f t="shared" si="242"/>
        <v>0</v>
      </c>
      <c r="AL214" s="236">
        <f t="shared" si="243"/>
        <v>0</v>
      </c>
      <c r="AM214" s="971">
        <f t="shared" si="244"/>
        <v>7094513.195815918</v>
      </c>
      <c r="AN214" s="235">
        <f t="shared" si="245"/>
        <v>68399646.899475232</v>
      </c>
      <c r="AO214" s="236">
        <f t="shared" si="246"/>
        <v>0</v>
      </c>
      <c r="AP214" s="236">
        <f t="shared" si="247"/>
        <v>34199823.449737616</v>
      </c>
      <c r="AQ214" s="236">
        <f t="shared" si="248"/>
        <v>48282103.693747215</v>
      </c>
      <c r="AR214" s="236">
        <f t="shared" si="249"/>
        <v>2011754.3205728009</v>
      </c>
      <c r="AS214" s="236">
        <f t="shared" si="250"/>
        <v>0</v>
      </c>
      <c r="AT214" s="242">
        <f t="shared" si="251"/>
        <v>152893328.36353287</v>
      </c>
      <c r="AU214" s="254">
        <v>0</v>
      </c>
      <c r="AV214" s="246">
        <f t="shared" si="252"/>
        <v>225.02087918766139</v>
      </c>
      <c r="AW214" s="973">
        <f t="shared" si="253"/>
        <v>3.5467194893720086</v>
      </c>
    </row>
    <row r="215" spans="1:49">
      <c r="A215" s="127">
        <f>'Input data'!A139</f>
        <v>2039</v>
      </c>
      <c r="B215" s="105">
        <f>'Input data'!B139</f>
        <v>70.856554082712819</v>
      </c>
      <c r="C215" s="417">
        <f>'Recycling - Case 3'!E119</f>
        <v>1</v>
      </c>
      <c r="D215" s="525">
        <f>'Recycling - Case 3'!F119</f>
        <v>0.37</v>
      </c>
      <c r="E215" s="235">
        <f t="shared" si="188"/>
        <v>1102847721.7273097</v>
      </c>
      <c r="F215" s="236">
        <v>0</v>
      </c>
      <c r="G215" s="237">
        <f t="shared" si="189"/>
        <v>1102847721.7273097</v>
      </c>
      <c r="H215" s="118">
        <f t="shared" si="255"/>
        <v>0.19230769230769232</v>
      </c>
      <c r="I215" s="118">
        <f t="shared" si="256"/>
        <v>0</v>
      </c>
      <c r="J215" s="118">
        <f t="shared" si="257"/>
        <v>0.19230769230769232</v>
      </c>
      <c r="K215" s="118">
        <f t="shared" si="258"/>
        <v>0.53846153846153855</v>
      </c>
      <c r="L215" s="118">
        <f t="shared" si="259"/>
        <v>7.6923076923076927E-2</v>
      </c>
      <c r="M215" s="205">
        <f t="shared" si="260"/>
        <v>0</v>
      </c>
      <c r="N215" s="117">
        <f t="shared" si="261"/>
        <v>0</v>
      </c>
      <c r="O215" s="118">
        <f t="shared" si="262"/>
        <v>0.7</v>
      </c>
      <c r="P215" s="118">
        <f t="shared" si="263"/>
        <v>0.15</v>
      </c>
      <c r="Q215" s="118">
        <f t="shared" si="264"/>
        <v>0.15</v>
      </c>
      <c r="R215" s="118">
        <f t="shared" si="265"/>
        <v>0</v>
      </c>
      <c r="S215" s="205">
        <f t="shared" si="266"/>
        <v>0</v>
      </c>
      <c r="T215" s="117">
        <f t="shared" si="267"/>
        <v>0.42500000000000004</v>
      </c>
      <c r="U215" s="118">
        <f t="shared" si="268"/>
        <v>0</v>
      </c>
      <c r="V215" s="118">
        <f t="shared" si="269"/>
        <v>0.21250000000000002</v>
      </c>
      <c r="W215" s="118">
        <f t="shared" si="270"/>
        <v>0.3</v>
      </c>
      <c r="X215" s="118">
        <f t="shared" si="271"/>
        <v>6.25E-2</v>
      </c>
      <c r="Y215" s="205">
        <f t="shared" si="272"/>
        <v>0</v>
      </c>
      <c r="Z215" s="236">
        <f t="shared" si="231"/>
        <v>24814073.73886447</v>
      </c>
      <c r="AA215" s="236">
        <f t="shared" si="232"/>
        <v>0</v>
      </c>
      <c r="AB215" s="236">
        <f t="shared" si="233"/>
        <v>24814073.73886447</v>
      </c>
      <c r="AC215" s="236">
        <f t="shared" si="234"/>
        <v>13895881.293764105</v>
      </c>
      <c r="AD215" s="236">
        <f t="shared" si="235"/>
        <v>1985125.8991091577</v>
      </c>
      <c r="AE215" s="236">
        <f t="shared" si="236"/>
        <v>0</v>
      </c>
      <c r="AF215" s="242">
        <f t="shared" si="237"/>
        <v>65509154.670602202</v>
      </c>
      <c r="AG215" s="235">
        <f t="shared" si="238"/>
        <v>0</v>
      </c>
      <c r="AH215" s="236">
        <f t="shared" si="239"/>
        <v>0</v>
      </c>
      <c r="AI215" s="236">
        <f t="shared" si="240"/>
        <v>5955377.6973274713</v>
      </c>
      <c r="AJ215" s="236">
        <f t="shared" si="241"/>
        <v>1191075.5394654942</v>
      </c>
      <c r="AK215" s="236">
        <f t="shared" si="242"/>
        <v>0</v>
      </c>
      <c r="AL215" s="236">
        <f t="shared" si="243"/>
        <v>0</v>
      </c>
      <c r="AM215" s="971">
        <f t="shared" si="244"/>
        <v>7146453.2367929658</v>
      </c>
      <c r="AN215" s="235">
        <f t="shared" si="245"/>
        <v>68900411.414913669</v>
      </c>
      <c r="AO215" s="236">
        <f t="shared" si="246"/>
        <v>0</v>
      </c>
      <c r="AP215" s="236">
        <f t="shared" si="247"/>
        <v>34450205.707456835</v>
      </c>
      <c r="AQ215" s="236">
        <f t="shared" si="248"/>
        <v>48635584.528174356</v>
      </c>
      <c r="AR215" s="236">
        <f t="shared" si="249"/>
        <v>2026482.6886739314</v>
      </c>
      <c r="AS215" s="236">
        <f t="shared" si="250"/>
        <v>0</v>
      </c>
      <c r="AT215" s="242">
        <f t="shared" si="251"/>
        <v>154012684.33921883</v>
      </c>
      <c r="AU215" s="254">
        <v>0</v>
      </c>
      <c r="AV215" s="246">
        <f t="shared" si="252"/>
        <v>226.66829224661399</v>
      </c>
      <c r="AW215" s="973">
        <f t="shared" si="253"/>
        <v>3.5726855776049167</v>
      </c>
    </row>
    <row r="216" spans="1:49">
      <c r="A216" s="127">
        <f>'Input data'!A140</f>
        <v>2040</v>
      </c>
      <c r="B216" s="105">
        <f>'Input data'!B140</f>
        <v>71.375305999999995</v>
      </c>
      <c r="C216" s="417">
        <f>'Recycling - Case 3'!E120</f>
        <v>1</v>
      </c>
      <c r="D216" s="525">
        <f>'Recycling - Case 3'!F120</f>
        <v>0.37</v>
      </c>
      <c r="E216" s="235">
        <f t="shared" si="188"/>
        <v>1110921842.4283249</v>
      </c>
      <c r="F216" s="236">
        <v>0</v>
      </c>
      <c r="G216" s="237">
        <f t="shared" si="189"/>
        <v>1110921842.4283249</v>
      </c>
      <c r="H216" s="118">
        <f t="shared" si="255"/>
        <v>0.19230769230769232</v>
      </c>
      <c r="I216" s="118">
        <f t="shared" si="256"/>
        <v>0</v>
      </c>
      <c r="J216" s="118">
        <f t="shared" si="257"/>
        <v>0.19230769230769232</v>
      </c>
      <c r="K216" s="118">
        <f t="shared" si="258"/>
        <v>0.53846153846153855</v>
      </c>
      <c r="L216" s="118">
        <f t="shared" si="259"/>
        <v>7.6923076923076927E-2</v>
      </c>
      <c r="M216" s="205">
        <f t="shared" si="260"/>
        <v>0</v>
      </c>
      <c r="N216" s="117">
        <f t="shared" si="261"/>
        <v>0</v>
      </c>
      <c r="O216" s="118">
        <f t="shared" si="262"/>
        <v>0.7</v>
      </c>
      <c r="P216" s="118">
        <f t="shared" si="263"/>
        <v>0.15</v>
      </c>
      <c r="Q216" s="118">
        <f t="shared" si="264"/>
        <v>0.15</v>
      </c>
      <c r="R216" s="118">
        <f t="shared" si="265"/>
        <v>0</v>
      </c>
      <c r="S216" s="205">
        <f t="shared" si="266"/>
        <v>0</v>
      </c>
      <c r="T216" s="117">
        <f t="shared" si="267"/>
        <v>0.42500000000000004</v>
      </c>
      <c r="U216" s="118">
        <f t="shared" si="268"/>
        <v>0</v>
      </c>
      <c r="V216" s="118">
        <f t="shared" si="269"/>
        <v>0.21250000000000002</v>
      </c>
      <c r="W216" s="118">
        <f t="shared" si="270"/>
        <v>0.3</v>
      </c>
      <c r="X216" s="118">
        <f t="shared" si="271"/>
        <v>6.25E-2</v>
      </c>
      <c r="Y216" s="205">
        <f t="shared" si="272"/>
        <v>0</v>
      </c>
      <c r="Z216" s="236">
        <f t="shared" si="231"/>
        <v>24995741.454637315</v>
      </c>
      <c r="AA216" s="236">
        <f t="shared" si="232"/>
        <v>0</v>
      </c>
      <c r="AB216" s="236">
        <f t="shared" si="233"/>
        <v>24995741.454637315</v>
      </c>
      <c r="AC216" s="236">
        <f t="shared" si="234"/>
        <v>13997615.214596899</v>
      </c>
      <c r="AD216" s="236">
        <f t="shared" si="235"/>
        <v>1999659.316370985</v>
      </c>
      <c r="AE216" s="236">
        <f t="shared" si="236"/>
        <v>0</v>
      </c>
      <c r="AF216" s="242">
        <f t="shared" si="237"/>
        <v>65988757.440242514</v>
      </c>
      <c r="AG216" s="235">
        <f t="shared" si="238"/>
        <v>0</v>
      </c>
      <c r="AH216" s="236">
        <f t="shared" si="239"/>
        <v>0</v>
      </c>
      <c r="AI216" s="236">
        <f t="shared" si="240"/>
        <v>5998977.9491129545</v>
      </c>
      <c r="AJ216" s="236">
        <f t="shared" si="241"/>
        <v>1199795.5898225908</v>
      </c>
      <c r="AK216" s="236">
        <f t="shared" si="242"/>
        <v>0</v>
      </c>
      <c r="AL216" s="236">
        <f t="shared" si="243"/>
        <v>0</v>
      </c>
      <c r="AM216" s="971">
        <f t="shared" si="244"/>
        <v>7198773.5389355458</v>
      </c>
      <c r="AN216" s="235">
        <f t="shared" si="245"/>
        <v>69404842.105709597</v>
      </c>
      <c r="AO216" s="236">
        <f t="shared" si="246"/>
        <v>0</v>
      </c>
      <c r="AP216" s="236">
        <f t="shared" si="247"/>
        <v>34702421.052854799</v>
      </c>
      <c r="AQ216" s="236">
        <f t="shared" si="248"/>
        <v>48991653.251089126</v>
      </c>
      <c r="AR216" s="236">
        <f t="shared" si="249"/>
        <v>2041318.8854620468</v>
      </c>
      <c r="AS216" s="236">
        <f t="shared" si="250"/>
        <v>0</v>
      </c>
      <c r="AT216" s="242">
        <f t="shared" si="251"/>
        <v>155140235.29511556</v>
      </c>
      <c r="AU216" s="254">
        <v>0</v>
      </c>
      <c r="AV216" s="246">
        <f t="shared" si="252"/>
        <v>228.32776627429359</v>
      </c>
      <c r="AW216" s="973">
        <f t="shared" si="253"/>
        <v>3.5988417676319293</v>
      </c>
    </row>
    <row r="217" spans="1:49">
      <c r="A217" s="127">
        <f>'Input data'!A141</f>
        <v>2041</v>
      </c>
      <c r="B217" s="105">
        <f>'Input data'!B141</f>
        <v>71.818612994947316</v>
      </c>
      <c r="C217" s="417">
        <f>'Recycling - Case 3'!E121</f>
        <v>1</v>
      </c>
      <c r="D217" s="525">
        <f>'Recycling - Case 3'!F121</f>
        <v>0.37</v>
      </c>
      <c r="E217" s="235">
        <f t="shared" si="188"/>
        <v>1117821699.6925201</v>
      </c>
      <c r="F217" s="236">
        <v>0</v>
      </c>
      <c r="G217" s="237">
        <f t="shared" si="189"/>
        <v>1117821699.6925201</v>
      </c>
      <c r="H217" s="118">
        <f t="shared" si="255"/>
        <v>0.19230769230769232</v>
      </c>
      <c r="I217" s="118">
        <f t="shared" si="256"/>
        <v>0</v>
      </c>
      <c r="J217" s="118">
        <f t="shared" si="257"/>
        <v>0.19230769230769232</v>
      </c>
      <c r="K217" s="118">
        <f t="shared" si="258"/>
        <v>0.53846153846153855</v>
      </c>
      <c r="L217" s="118">
        <f t="shared" si="259"/>
        <v>7.6923076923076927E-2</v>
      </c>
      <c r="M217" s="205">
        <f t="shared" si="260"/>
        <v>0</v>
      </c>
      <c r="N217" s="117">
        <f t="shared" si="261"/>
        <v>0</v>
      </c>
      <c r="O217" s="118">
        <f t="shared" si="262"/>
        <v>0.7</v>
      </c>
      <c r="P217" s="118">
        <f t="shared" si="263"/>
        <v>0.15</v>
      </c>
      <c r="Q217" s="118">
        <f t="shared" si="264"/>
        <v>0.15</v>
      </c>
      <c r="R217" s="118">
        <f t="shared" si="265"/>
        <v>0</v>
      </c>
      <c r="S217" s="205">
        <f t="shared" si="266"/>
        <v>0</v>
      </c>
      <c r="T217" s="117">
        <f t="shared" si="267"/>
        <v>0.42500000000000004</v>
      </c>
      <c r="U217" s="118">
        <f t="shared" si="268"/>
        <v>0</v>
      </c>
      <c r="V217" s="118">
        <f t="shared" si="269"/>
        <v>0.21250000000000002</v>
      </c>
      <c r="W217" s="118">
        <f t="shared" si="270"/>
        <v>0.3</v>
      </c>
      <c r="X217" s="118">
        <f t="shared" si="271"/>
        <v>6.25E-2</v>
      </c>
      <c r="Y217" s="205">
        <f t="shared" si="272"/>
        <v>0</v>
      </c>
      <c r="Z217" s="236">
        <f t="shared" si="231"/>
        <v>25150988.243081704</v>
      </c>
      <c r="AA217" s="236">
        <f t="shared" si="232"/>
        <v>0</v>
      </c>
      <c r="AB217" s="236">
        <f t="shared" si="233"/>
        <v>25150988.243081704</v>
      </c>
      <c r="AC217" s="236">
        <f t="shared" si="234"/>
        <v>14084553.416125758</v>
      </c>
      <c r="AD217" s="236">
        <f t="shared" si="235"/>
        <v>2012079.0594465365</v>
      </c>
      <c r="AE217" s="236">
        <f t="shared" si="236"/>
        <v>0</v>
      </c>
      <c r="AF217" s="242">
        <f t="shared" si="237"/>
        <v>66398608.961735703</v>
      </c>
      <c r="AG217" s="235">
        <f t="shared" si="238"/>
        <v>0</v>
      </c>
      <c r="AH217" s="236">
        <f t="shared" si="239"/>
        <v>0</v>
      </c>
      <c r="AI217" s="236">
        <f t="shared" si="240"/>
        <v>6036237.1783396089</v>
      </c>
      <c r="AJ217" s="236">
        <f t="shared" si="241"/>
        <v>1207247.4356679216</v>
      </c>
      <c r="AK217" s="236">
        <f t="shared" si="242"/>
        <v>0</v>
      </c>
      <c r="AL217" s="236">
        <f t="shared" si="243"/>
        <v>0</v>
      </c>
      <c r="AM217" s="971">
        <f t="shared" si="244"/>
        <v>7243484.6140075307</v>
      </c>
      <c r="AN217" s="235">
        <f t="shared" si="245"/>
        <v>69835910.688290194</v>
      </c>
      <c r="AO217" s="236">
        <f t="shared" si="246"/>
        <v>0</v>
      </c>
      <c r="AP217" s="236">
        <f t="shared" si="247"/>
        <v>34917955.344145097</v>
      </c>
      <c r="AQ217" s="236">
        <f t="shared" si="248"/>
        <v>49295936.956440136</v>
      </c>
      <c r="AR217" s="236">
        <f t="shared" si="249"/>
        <v>2053997.3731850057</v>
      </c>
      <c r="AS217" s="236">
        <f t="shared" si="250"/>
        <v>0</v>
      </c>
      <c r="AT217" s="242">
        <f t="shared" si="251"/>
        <v>156103800.36206046</v>
      </c>
      <c r="AU217" s="254">
        <v>0</v>
      </c>
      <c r="AV217" s="246">
        <f t="shared" si="252"/>
        <v>229.74589393780369</v>
      </c>
      <c r="AW217" s="973">
        <f t="shared" si="253"/>
        <v>3.6211939201999317</v>
      </c>
    </row>
    <row r="218" spans="1:49">
      <c r="A218" s="127">
        <f>'Input data'!A142</f>
        <v>2042</v>
      </c>
      <c r="B218" s="105">
        <f>'Input data'!B142</f>
        <v>72.264673338395411</v>
      </c>
      <c r="C218" s="417">
        <f>'Recycling - Case 3'!E122</f>
        <v>1</v>
      </c>
      <c r="D218" s="525">
        <f>'Recycling - Case 3'!F122</f>
        <v>0.37</v>
      </c>
      <c r="E218" s="235">
        <f t="shared" si="188"/>
        <v>1124764411.4838722</v>
      </c>
      <c r="F218" s="236">
        <v>0</v>
      </c>
      <c r="G218" s="237">
        <f t="shared" si="189"/>
        <v>1124764411.4838722</v>
      </c>
      <c r="H218" s="118">
        <f t="shared" si="255"/>
        <v>0.19230769230769232</v>
      </c>
      <c r="I218" s="118">
        <f t="shared" si="256"/>
        <v>0</v>
      </c>
      <c r="J218" s="118">
        <f t="shared" si="257"/>
        <v>0.19230769230769232</v>
      </c>
      <c r="K218" s="118">
        <f t="shared" si="258"/>
        <v>0.53846153846153855</v>
      </c>
      <c r="L218" s="118">
        <f t="shared" si="259"/>
        <v>7.6923076923076927E-2</v>
      </c>
      <c r="M218" s="205">
        <f t="shared" si="260"/>
        <v>0</v>
      </c>
      <c r="N218" s="117">
        <f t="shared" si="261"/>
        <v>0</v>
      </c>
      <c r="O218" s="118">
        <f t="shared" si="262"/>
        <v>0.7</v>
      </c>
      <c r="P218" s="118">
        <f t="shared" si="263"/>
        <v>0.15</v>
      </c>
      <c r="Q218" s="118">
        <f t="shared" si="264"/>
        <v>0.15</v>
      </c>
      <c r="R218" s="118">
        <f t="shared" si="265"/>
        <v>0</v>
      </c>
      <c r="S218" s="205">
        <f t="shared" si="266"/>
        <v>0</v>
      </c>
      <c r="T218" s="117">
        <f t="shared" si="267"/>
        <v>0.42500000000000004</v>
      </c>
      <c r="U218" s="118">
        <f t="shared" si="268"/>
        <v>0</v>
      </c>
      <c r="V218" s="118">
        <f t="shared" si="269"/>
        <v>0.21250000000000002</v>
      </c>
      <c r="W218" s="118">
        <f t="shared" si="270"/>
        <v>0.3</v>
      </c>
      <c r="X218" s="118">
        <f t="shared" si="271"/>
        <v>6.25E-2</v>
      </c>
      <c r="Y218" s="205">
        <f t="shared" si="272"/>
        <v>0</v>
      </c>
      <c r="Z218" s="236">
        <f t="shared" si="231"/>
        <v>25307199.258387126</v>
      </c>
      <c r="AA218" s="236">
        <f t="shared" si="232"/>
        <v>0</v>
      </c>
      <c r="AB218" s="236">
        <f t="shared" si="233"/>
        <v>25307199.258387126</v>
      </c>
      <c r="AC218" s="236">
        <f t="shared" si="234"/>
        <v>14172031.584696794</v>
      </c>
      <c r="AD218" s="236">
        <f t="shared" si="235"/>
        <v>2024575.9406709701</v>
      </c>
      <c r="AE218" s="236">
        <f t="shared" si="236"/>
        <v>0</v>
      </c>
      <c r="AF218" s="242">
        <f t="shared" si="237"/>
        <v>66811006.042142011</v>
      </c>
      <c r="AG218" s="235">
        <f t="shared" si="238"/>
        <v>0</v>
      </c>
      <c r="AH218" s="236">
        <f t="shared" si="239"/>
        <v>0</v>
      </c>
      <c r="AI218" s="236">
        <f t="shared" si="240"/>
        <v>6073727.8220129088</v>
      </c>
      <c r="AJ218" s="236">
        <f t="shared" si="241"/>
        <v>1214745.5644025819</v>
      </c>
      <c r="AK218" s="236">
        <f t="shared" si="242"/>
        <v>0</v>
      </c>
      <c r="AL218" s="236">
        <f t="shared" si="243"/>
        <v>0</v>
      </c>
      <c r="AM218" s="971">
        <f t="shared" si="244"/>
        <v>7288473.3864154909</v>
      </c>
      <c r="AN218" s="235">
        <f t="shared" si="245"/>
        <v>70269656.607454911</v>
      </c>
      <c r="AO218" s="236">
        <f t="shared" si="246"/>
        <v>0</v>
      </c>
      <c r="AP218" s="236">
        <f t="shared" si="247"/>
        <v>35134828.303727455</v>
      </c>
      <c r="AQ218" s="236">
        <f t="shared" si="248"/>
        <v>49602110.546438761</v>
      </c>
      <c r="AR218" s="236">
        <f t="shared" si="249"/>
        <v>2066754.6061016151</v>
      </c>
      <c r="AS218" s="236">
        <f t="shared" si="250"/>
        <v>0</v>
      </c>
      <c r="AT218" s="242">
        <f t="shared" si="251"/>
        <v>157073350.06372273</v>
      </c>
      <c r="AU218" s="254">
        <v>0</v>
      </c>
      <c r="AV218" s="246">
        <f t="shared" si="252"/>
        <v>231.17282949228024</v>
      </c>
      <c r="AW218" s="973">
        <f t="shared" si="253"/>
        <v>3.6436849004121257</v>
      </c>
    </row>
    <row r="219" spans="1:49">
      <c r="A219" s="127">
        <f>'Input data'!A143</f>
        <v>2043</v>
      </c>
      <c r="B219" s="105">
        <f>'Input data'!B143</f>
        <v>72.713504131197794</v>
      </c>
      <c r="C219" s="417">
        <f>'Recycling - Case 3'!E123</f>
        <v>1</v>
      </c>
      <c r="D219" s="525">
        <f>'Recycling - Case 3'!F123</f>
        <v>0.37</v>
      </c>
      <c r="E219" s="235">
        <f t="shared" si="188"/>
        <v>1131750243.9688299</v>
      </c>
      <c r="F219" s="236">
        <v>0</v>
      </c>
      <c r="G219" s="237">
        <f t="shared" si="189"/>
        <v>1131750243.9688299</v>
      </c>
      <c r="H219" s="118">
        <f t="shared" si="255"/>
        <v>0.19230769230769232</v>
      </c>
      <c r="I219" s="118">
        <f t="shared" si="256"/>
        <v>0</v>
      </c>
      <c r="J219" s="118">
        <f t="shared" si="257"/>
        <v>0.19230769230769232</v>
      </c>
      <c r="K219" s="118">
        <f t="shared" si="258"/>
        <v>0.53846153846153855</v>
      </c>
      <c r="L219" s="118">
        <f t="shared" si="259"/>
        <v>7.6923076923076927E-2</v>
      </c>
      <c r="M219" s="205">
        <f t="shared" si="260"/>
        <v>0</v>
      </c>
      <c r="N219" s="117">
        <f t="shared" si="261"/>
        <v>0</v>
      </c>
      <c r="O219" s="118">
        <f t="shared" si="262"/>
        <v>0.7</v>
      </c>
      <c r="P219" s="118">
        <f t="shared" si="263"/>
        <v>0.15</v>
      </c>
      <c r="Q219" s="118">
        <f t="shared" si="264"/>
        <v>0.15</v>
      </c>
      <c r="R219" s="118">
        <f t="shared" si="265"/>
        <v>0</v>
      </c>
      <c r="S219" s="205">
        <f t="shared" si="266"/>
        <v>0</v>
      </c>
      <c r="T219" s="117">
        <f t="shared" si="267"/>
        <v>0.42500000000000004</v>
      </c>
      <c r="U219" s="118">
        <f t="shared" si="268"/>
        <v>0</v>
      </c>
      <c r="V219" s="118">
        <f t="shared" si="269"/>
        <v>0.21250000000000002</v>
      </c>
      <c r="W219" s="118">
        <f t="shared" si="270"/>
        <v>0.3</v>
      </c>
      <c r="X219" s="118">
        <f t="shared" si="271"/>
        <v>6.25E-2</v>
      </c>
      <c r="Y219" s="205">
        <f t="shared" si="272"/>
        <v>0</v>
      </c>
      <c r="Z219" s="236">
        <f t="shared" si="231"/>
        <v>25464380.489298675</v>
      </c>
      <c r="AA219" s="236">
        <f t="shared" si="232"/>
        <v>0</v>
      </c>
      <c r="AB219" s="236">
        <f t="shared" si="233"/>
        <v>25464380.489298675</v>
      </c>
      <c r="AC219" s="236">
        <f t="shared" si="234"/>
        <v>14260053.074007262</v>
      </c>
      <c r="AD219" s="236">
        <f t="shared" si="235"/>
        <v>2037150.439143894</v>
      </c>
      <c r="AE219" s="236">
        <f t="shared" si="236"/>
        <v>0</v>
      </c>
      <c r="AF219" s="242">
        <f t="shared" si="237"/>
        <v>67225964.491748512</v>
      </c>
      <c r="AG219" s="235">
        <f t="shared" si="238"/>
        <v>0</v>
      </c>
      <c r="AH219" s="236">
        <f t="shared" si="239"/>
        <v>0</v>
      </c>
      <c r="AI219" s="236">
        <f t="shared" si="240"/>
        <v>6111451.3174316809</v>
      </c>
      <c r="AJ219" s="236">
        <f t="shared" si="241"/>
        <v>1222290.263486336</v>
      </c>
      <c r="AK219" s="236">
        <f t="shared" si="242"/>
        <v>0</v>
      </c>
      <c r="AL219" s="236">
        <f t="shared" si="243"/>
        <v>0</v>
      </c>
      <c r="AM219" s="971">
        <f t="shared" si="244"/>
        <v>7333741.5809180168</v>
      </c>
      <c r="AN219" s="235">
        <f t="shared" si="245"/>
        <v>70706096.491952643</v>
      </c>
      <c r="AO219" s="236">
        <f t="shared" si="246"/>
        <v>0</v>
      </c>
      <c r="AP219" s="236">
        <f t="shared" si="247"/>
        <v>35353048.245976321</v>
      </c>
      <c r="AQ219" s="236">
        <f t="shared" si="248"/>
        <v>49910185.759025395</v>
      </c>
      <c r="AR219" s="236">
        <f t="shared" si="249"/>
        <v>2079591.0732927246</v>
      </c>
      <c r="AS219" s="236">
        <f t="shared" si="250"/>
        <v>0</v>
      </c>
      <c r="AT219" s="242">
        <f t="shared" si="251"/>
        <v>158048921.57024708</v>
      </c>
      <c r="AU219" s="254">
        <v>0</v>
      </c>
      <c r="AV219" s="246">
        <f t="shared" si="252"/>
        <v>232.6086276429136</v>
      </c>
      <c r="AW219" s="973">
        <f t="shared" si="253"/>
        <v>3.666315570517225</v>
      </c>
    </row>
    <row r="220" spans="1:49">
      <c r="A220" s="127">
        <f>'Input data'!A144</f>
        <v>2044</v>
      </c>
      <c r="B220" s="105">
        <f>'Input data'!B144</f>
        <v>73.165122580420132</v>
      </c>
      <c r="C220" s="417">
        <f>'Recycling - Case 3'!E124</f>
        <v>1</v>
      </c>
      <c r="D220" s="525">
        <f>'Recycling - Case 3'!F124</f>
        <v>0.37</v>
      </c>
      <c r="E220" s="235">
        <f t="shared" si="188"/>
        <v>1138779464.9669816</v>
      </c>
      <c r="F220" s="236">
        <v>0</v>
      </c>
      <c r="G220" s="237">
        <f t="shared" si="189"/>
        <v>1138779464.9669816</v>
      </c>
      <c r="H220" s="118">
        <f t="shared" si="255"/>
        <v>0.19230769230769232</v>
      </c>
      <c r="I220" s="118">
        <f t="shared" si="256"/>
        <v>0</v>
      </c>
      <c r="J220" s="118">
        <f t="shared" si="257"/>
        <v>0.19230769230769232</v>
      </c>
      <c r="K220" s="118">
        <f t="shared" si="258"/>
        <v>0.53846153846153855</v>
      </c>
      <c r="L220" s="118">
        <f t="shared" si="259"/>
        <v>7.6923076923076927E-2</v>
      </c>
      <c r="M220" s="205">
        <f t="shared" si="260"/>
        <v>0</v>
      </c>
      <c r="N220" s="117">
        <f t="shared" si="261"/>
        <v>0</v>
      </c>
      <c r="O220" s="118">
        <f t="shared" si="262"/>
        <v>0.7</v>
      </c>
      <c r="P220" s="118">
        <f t="shared" si="263"/>
        <v>0.15</v>
      </c>
      <c r="Q220" s="118">
        <f t="shared" si="264"/>
        <v>0.15</v>
      </c>
      <c r="R220" s="118">
        <f t="shared" si="265"/>
        <v>0</v>
      </c>
      <c r="S220" s="205">
        <f t="shared" si="266"/>
        <v>0</v>
      </c>
      <c r="T220" s="117">
        <f t="shared" si="267"/>
        <v>0.42500000000000004</v>
      </c>
      <c r="U220" s="118">
        <f t="shared" si="268"/>
        <v>0</v>
      </c>
      <c r="V220" s="118">
        <f t="shared" si="269"/>
        <v>0.21250000000000002</v>
      </c>
      <c r="W220" s="118">
        <f t="shared" si="270"/>
        <v>0.3</v>
      </c>
      <c r="X220" s="118">
        <f t="shared" si="271"/>
        <v>6.25E-2</v>
      </c>
      <c r="Y220" s="205">
        <f t="shared" si="272"/>
        <v>0</v>
      </c>
      <c r="Z220" s="236">
        <f t="shared" ref="Z220:Z226" si="273">H220*$C$35*G220*$C$10</f>
        <v>25622537.96175709</v>
      </c>
      <c r="AA220" s="236">
        <f t="shared" ref="AA220:AA226" si="274">I220*$C$36*G220*$C$10</f>
        <v>0</v>
      </c>
      <c r="AB220" s="236">
        <f t="shared" ref="AB220:AB226" si="275">J220*$C$37*G220*$C$10</f>
        <v>25622537.96175709</v>
      </c>
      <c r="AC220" s="236">
        <f t="shared" ref="AC220:AC226" si="276">K220*$C$40*G220*$C$10</f>
        <v>14348621.258583972</v>
      </c>
      <c r="AD220" s="236">
        <f t="shared" ref="AD220:AD226" si="277">L220*$C$41*G220*$C$10</f>
        <v>2049803.0369405674</v>
      </c>
      <c r="AE220" s="236">
        <f t="shared" ref="AE220:AE226" si="278">M220*$C$42*G220*$C$10</f>
        <v>0</v>
      </c>
      <c r="AF220" s="242">
        <f t="shared" ref="AF220:AF226" si="279">SUM(Z220:AE220)</f>
        <v>67643500.219038725</v>
      </c>
      <c r="AG220" s="235">
        <f t="shared" ref="AG220:AG226" si="280">N220*$C$35*G220*$C$11</f>
        <v>0</v>
      </c>
      <c r="AH220" s="236">
        <f t="shared" ref="AH220:AH226" si="281">O220*$C$36*G220*$C$11</f>
        <v>0</v>
      </c>
      <c r="AI220" s="236">
        <f t="shared" ref="AI220:AI226" si="282">P220*$C$37*G220*$C$11</f>
        <v>6149409.1108217007</v>
      </c>
      <c r="AJ220" s="236">
        <f t="shared" ref="AJ220:AJ226" si="283">Q220*$C$38*G220*$C$11</f>
        <v>1229881.8221643399</v>
      </c>
      <c r="AK220" s="236">
        <f t="shared" ref="AK220:AK226" si="284">R220*$C$41*G220*$C$11</f>
        <v>0</v>
      </c>
      <c r="AL220" s="236">
        <f t="shared" ref="AL220:AL226" si="285">S220*$C$42*G220*$C$11</f>
        <v>0</v>
      </c>
      <c r="AM220" s="971">
        <f t="shared" ref="AM220:AM226" si="286">SUM(AG220:AL220)</f>
        <v>7379290.9329860406</v>
      </c>
      <c r="AN220" s="235">
        <f t="shared" ref="AN220:AN226" si="287">T220*$C$35*G220*$C$12</f>
        <v>71145247.073812187</v>
      </c>
      <c r="AO220" s="236">
        <f t="shared" ref="AO220:AO226" si="288">U220*$C$36*G220*$C$12</f>
        <v>0</v>
      </c>
      <c r="AP220" s="236">
        <f t="shared" ref="AP220:AP226" si="289">V220*$C$37*G220*$C$12</f>
        <v>35572623.536906093</v>
      </c>
      <c r="AQ220" s="236">
        <f t="shared" ref="AQ220:AQ226" si="290">W220*$C$39*G220*$C$12</f>
        <v>50220174.405043885</v>
      </c>
      <c r="AR220" s="236">
        <f t="shared" ref="AR220:AR226" si="291">X220*$C$41*G220*$C$12</f>
        <v>2092507.2668768286</v>
      </c>
      <c r="AS220" s="236">
        <f t="shared" ref="AS220:AS226" si="292">Y220*$C$42*N220*$C$12</f>
        <v>0</v>
      </c>
      <c r="AT220" s="242">
        <f t="shared" ref="AT220:AT226" si="293">SUM(AN220:AS220)</f>
        <v>159030552.28263897</v>
      </c>
      <c r="AU220" s="254">
        <v>0</v>
      </c>
      <c r="AV220" s="246">
        <f t="shared" ref="AV220:AV226" si="294">(AF220+AM220+AT220)/10^6-AU220</f>
        <v>234.0533434346637</v>
      </c>
      <c r="AW220" s="973">
        <f t="shared" ref="AW220:AW226" si="295">((B220*$C$46*$C$47*$C$48*$C$49)-$C$50)*$C$51*$C$52</f>
        <v>3.6890867981193103</v>
      </c>
    </row>
    <row r="221" spans="1:49">
      <c r="A221" s="127">
        <f>'Input data'!A145</f>
        <v>2045</v>
      </c>
      <c r="B221" s="105">
        <f>'Input data'!B145</f>
        <v>73.619545999999971</v>
      </c>
      <c r="C221" s="417">
        <f>'Recycling - Case 3'!E125</f>
        <v>1</v>
      </c>
      <c r="D221" s="525">
        <f>'Recycling - Case 3'!F125</f>
        <v>0.37</v>
      </c>
      <c r="E221" s="235">
        <f t="shared" si="188"/>
        <v>1145852343.9613247</v>
      </c>
      <c r="F221" s="236">
        <v>0</v>
      </c>
      <c r="G221" s="237">
        <f t="shared" si="189"/>
        <v>1145852343.9613247</v>
      </c>
      <c r="H221" s="118">
        <f t="shared" si="255"/>
        <v>0.19230769230769232</v>
      </c>
      <c r="I221" s="118">
        <f t="shared" si="256"/>
        <v>0</v>
      </c>
      <c r="J221" s="118">
        <f t="shared" si="257"/>
        <v>0.19230769230769232</v>
      </c>
      <c r="K221" s="118">
        <f t="shared" si="258"/>
        <v>0.53846153846153855</v>
      </c>
      <c r="L221" s="118">
        <f t="shared" si="259"/>
        <v>7.6923076923076927E-2</v>
      </c>
      <c r="M221" s="205">
        <f t="shared" si="260"/>
        <v>0</v>
      </c>
      <c r="N221" s="117">
        <f t="shared" si="261"/>
        <v>0</v>
      </c>
      <c r="O221" s="118">
        <f t="shared" si="262"/>
        <v>0.7</v>
      </c>
      <c r="P221" s="118">
        <f t="shared" si="263"/>
        <v>0.15</v>
      </c>
      <c r="Q221" s="118">
        <f t="shared" si="264"/>
        <v>0.15</v>
      </c>
      <c r="R221" s="118">
        <f t="shared" si="265"/>
        <v>0</v>
      </c>
      <c r="S221" s="205">
        <f t="shared" si="266"/>
        <v>0</v>
      </c>
      <c r="T221" s="117">
        <f t="shared" si="267"/>
        <v>0.42500000000000004</v>
      </c>
      <c r="U221" s="118">
        <f t="shared" si="268"/>
        <v>0</v>
      </c>
      <c r="V221" s="118">
        <f t="shared" si="269"/>
        <v>0.21250000000000002</v>
      </c>
      <c r="W221" s="118">
        <f t="shared" si="270"/>
        <v>0.3</v>
      </c>
      <c r="X221" s="118">
        <f t="shared" si="271"/>
        <v>6.25E-2</v>
      </c>
      <c r="Y221" s="205">
        <f t="shared" si="272"/>
        <v>0</v>
      </c>
      <c r="Z221" s="236">
        <f t="shared" si="273"/>
        <v>25781677.739129808</v>
      </c>
      <c r="AA221" s="236">
        <f t="shared" si="274"/>
        <v>0</v>
      </c>
      <c r="AB221" s="236">
        <f t="shared" si="275"/>
        <v>25781677.739129808</v>
      </c>
      <c r="AC221" s="236">
        <f t="shared" si="276"/>
        <v>14437739.533912696</v>
      </c>
      <c r="AD221" s="236">
        <f t="shared" si="277"/>
        <v>2062534.2191303847</v>
      </c>
      <c r="AE221" s="236">
        <f t="shared" si="278"/>
        <v>0</v>
      </c>
      <c r="AF221" s="242">
        <f t="shared" si="279"/>
        <v>68063629.231302693</v>
      </c>
      <c r="AG221" s="235">
        <f t="shared" si="280"/>
        <v>0</v>
      </c>
      <c r="AH221" s="236">
        <f t="shared" si="281"/>
        <v>0</v>
      </c>
      <c r="AI221" s="236">
        <f t="shared" si="282"/>
        <v>6187602.6573911523</v>
      </c>
      <c r="AJ221" s="236">
        <f t="shared" si="283"/>
        <v>1237520.5314782304</v>
      </c>
      <c r="AK221" s="236">
        <f t="shared" si="284"/>
        <v>0</v>
      </c>
      <c r="AL221" s="236">
        <f t="shared" si="285"/>
        <v>0</v>
      </c>
      <c r="AM221" s="971">
        <f t="shared" si="286"/>
        <v>7425123.1888693832</v>
      </c>
      <c r="AN221" s="235">
        <f t="shared" si="287"/>
        <v>71587125.188983753</v>
      </c>
      <c r="AO221" s="236">
        <f t="shared" si="288"/>
        <v>0</v>
      </c>
      <c r="AP221" s="236">
        <f t="shared" si="289"/>
        <v>35793562.594491877</v>
      </c>
      <c r="AQ221" s="236">
        <f t="shared" si="290"/>
        <v>50532088.368694417</v>
      </c>
      <c r="AR221" s="236">
        <f t="shared" si="291"/>
        <v>2105503.6820289339</v>
      </c>
      <c r="AS221" s="236">
        <f t="shared" si="292"/>
        <v>0</v>
      </c>
      <c r="AT221" s="242">
        <f t="shared" si="293"/>
        <v>160018279.83419898</v>
      </c>
      <c r="AU221" s="254">
        <v>0</v>
      </c>
      <c r="AV221" s="246">
        <f t="shared" si="294"/>
        <v>235.50703225437104</v>
      </c>
      <c r="AW221" s="973">
        <f t="shared" si="295"/>
        <v>3.711999456211089</v>
      </c>
    </row>
    <row r="222" spans="1:49">
      <c r="A222" s="127">
        <f>'Input data'!A146</f>
        <v>2046</v>
      </c>
      <c r="B222" s="105">
        <f>'Input data'!B146</f>
        <v>73.995362001779526</v>
      </c>
      <c r="C222" s="417">
        <f>'Recycling - Case 3'!E126</f>
        <v>1</v>
      </c>
      <c r="D222" s="525">
        <f>'Recycling - Case 3'!F126</f>
        <v>0.37</v>
      </c>
      <c r="E222" s="235">
        <f t="shared" si="188"/>
        <v>1151701736.8187225</v>
      </c>
      <c r="F222" s="236">
        <v>0</v>
      </c>
      <c r="G222" s="237">
        <f t="shared" si="189"/>
        <v>1151701736.8187225</v>
      </c>
      <c r="H222" s="118">
        <f t="shared" si="255"/>
        <v>0.19230769230769232</v>
      </c>
      <c r="I222" s="118">
        <f t="shared" si="256"/>
        <v>0</v>
      </c>
      <c r="J222" s="118">
        <f t="shared" si="257"/>
        <v>0.19230769230769232</v>
      </c>
      <c r="K222" s="118">
        <f t="shared" si="258"/>
        <v>0.53846153846153855</v>
      </c>
      <c r="L222" s="118">
        <f t="shared" si="259"/>
        <v>7.6923076923076927E-2</v>
      </c>
      <c r="M222" s="205">
        <f t="shared" si="260"/>
        <v>0</v>
      </c>
      <c r="N222" s="117">
        <f t="shared" si="261"/>
        <v>0</v>
      </c>
      <c r="O222" s="118">
        <f t="shared" si="262"/>
        <v>0.7</v>
      </c>
      <c r="P222" s="118">
        <f t="shared" si="263"/>
        <v>0.15</v>
      </c>
      <c r="Q222" s="118">
        <f t="shared" si="264"/>
        <v>0.15</v>
      </c>
      <c r="R222" s="118">
        <f t="shared" si="265"/>
        <v>0</v>
      </c>
      <c r="S222" s="205">
        <f t="shared" si="266"/>
        <v>0</v>
      </c>
      <c r="T222" s="117">
        <f t="shared" si="267"/>
        <v>0.42500000000000004</v>
      </c>
      <c r="U222" s="118">
        <f t="shared" si="268"/>
        <v>0</v>
      </c>
      <c r="V222" s="118">
        <f t="shared" si="269"/>
        <v>0.21250000000000002</v>
      </c>
      <c r="W222" s="118">
        <f t="shared" si="270"/>
        <v>0.3</v>
      </c>
      <c r="X222" s="118">
        <f t="shared" si="271"/>
        <v>6.25E-2</v>
      </c>
      <c r="Y222" s="205">
        <f t="shared" si="272"/>
        <v>0</v>
      </c>
      <c r="Z222" s="236">
        <f t="shared" si="273"/>
        <v>25913289.078421257</v>
      </c>
      <c r="AA222" s="236">
        <f t="shared" si="274"/>
        <v>0</v>
      </c>
      <c r="AB222" s="236">
        <f t="shared" si="275"/>
        <v>25913289.078421257</v>
      </c>
      <c r="AC222" s="236">
        <f t="shared" si="276"/>
        <v>14511441.883915907</v>
      </c>
      <c r="AD222" s="236">
        <f t="shared" si="277"/>
        <v>2073063.1262737007</v>
      </c>
      <c r="AE222" s="236">
        <f t="shared" si="278"/>
        <v>0</v>
      </c>
      <c r="AF222" s="242">
        <f t="shared" si="279"/>
        <v>68411083.167032123</v>
      </c>
      <c r="AG222" s="235">
        <f t="shared" si="280"/>
        <v>0</v>
      </c>
      <c r="AH222" s="236">
        <f t="shared" si="281"/>
        <v>0</v>
      </c>
      <c r="AI222" s="236">
        <f t="shared" si="282"/>
        <v>6219189.378821101</v>
      </c>
      <c r="AJ222" s="236">
        <f t="shared" si="283"/>
        <v>1243837.87576422</v>
      </c>
      <c r="AK222" s="236">
        <f t="shared" si="284"/>
        <v>0</v>
      </c>
      <c r="AL222" s="236">
        <f t="shared" si="285"/>
        <v>0</v>
      </c>
      <c r="AM222" s="971">
        <f t="shared" si="286"/>
        <v>7463027.2545853211</v>
      </c>
      <c r="AN222" s="235">
        <f t="shared" si="287"/>
        <v>71952566.007749677</v>
      </c>
      <c r="AO222" s="236">
        <f t="shared" si="288"/>
        <v>0</v>
      </c>
      <c r="AP222" s="236">
        <f t="shared" si="289"/>
        <v>35976283.003874838</v>
      </c>
      <c r="AQ222" s="236">
        <f t="shared" si="290"/>
        <v>50790046.593705654</v>
      </c>
      <c r="AR222" s="236">
        <f t="shared" si="291"/>
        <v>2116251.9414044023</v>
      </c>
      <c r="AS222" s="236">
        <f t="shared" si="292"/>
        <v>0</v>
      </c>
      <c r="AT222" s="242">
        <f t="shared" si="293"/>
        <v>160835147.54673457</v>
      </c>
      <c r="AU222" s="254">
        <v>0</v>
      </c>
      <c r="AV222" s="246">
        <f t="shared" si="294"/>
        <v>236.70925796835201</v>
      </c>
      <c r="AW222" s="973">
        <f t="shared" si="295"/>
        <v>3.7309486194433799</v>
      </c>
    </row>
    <row r="223" spans="1:49">
      <c r="A223" s="127">
        <f>'Input data'!A147</f>
        <v>2047</v>
      </c>
      <c r="B223" s="105">
        <f>'Input data'!B147</f>
        <v>74.373096484110363</v>
      </c>
      <c r="C223" s="417">
        <f>'Recycling - Case 3'!E127</f>
        <v>1</v>
      </c>
      <c r="D223" s="525">
        <f>'Recycling - Case 3'!F127</f>
        <v>0.37</v>
      </c>
      <c r="E223" s="235">
        <f t="shared" si="188"/>
        <v>1157580989.8906419</v>
      </c>
      <c r="F223" s="236">
        <v>0</v>
      </c>
      <c r="G223" s="237">
        <f t="shared" si="189"/>
        <v>1157580989.8906419</v>
      </c>
      <c r="H223" s="118">
        <f t="shared" si="255"/>
        <v>0.19230769230769232</v>
      </c>
      <c r="I223" s="118">
        <f t="shared" si="256"/>
        <v>0</v>
      </c>
      <c r="J223" s="118">
        <f t="shared" si="257"/>
        <v>0.19230769230769232</v>
      </c>
      <c r="K223" s="118">
        <f t="shared" si="258"/>
        <v>0.53846153846153855</v>
      </c>
      <c r="L223" s="118">
        <f t="shared" si="259"/>
        <v>7.6923076923076927E-2</v>
      </c>
      <c r="M223" s="205">
        <f t="shared" si="260"/>
        <v>0</v>
      </c>
      <c r="N223" s="117">
        <f t="shared" si="261"/>
        <v>0</v>
      </c>
      <c r="O223" s="118">
        <f t="shared" si="262"/>
        <v>0.7</v>
      </c>
      <c r="P223" s="118">
        <f t="shared" si="263"/>
        <v>0.15</v>
      </c>
      <c r="Q223" s="118">
        <f t="shared" si="264"/>
        <v>0.15</v>
      </c>
      <c r="R223" s="118">
        <f t="shared" si="265"/>
        <v>0</v>
      </c>
      <c r="S223" s="205">
        <f t="shared" si="266"/>
        <v>0</v>
      </c>
      <c r="T223" s="117">
        <f t="shared" si="267"/>
        <v>0.42500000000000004</v>
      </c>
      <c r="U223" s="118">
        <f t="shared" si="268"/>
        <v>0</v>
      </c>
      <c r="V223" s="118">
        <f t="shared" si="269"/>
        <v>0.21250000000000002</v>
      </c>
      <c r="W223" s="118">
        <f t="shared" si="270"/>
        <v>0.3</v>
      </c>
      <c r="X223" s="118">
        <f t="shared" si="271"/>
        <v>6.25E-2</v>
      </c>
      <c r="Y223" s="205">
        <f t="shared" si="272"/>
        <v>0</v>
      </c>
      <c r="Z223" s="236">
        <f t="shared" si="273"/>
        <v>26045572.272539444</v>
      </c>
      <c r="AA223" s="236">
        <f t="shared" si="274"/>
        <v>0</v>
      </c>
      <c r="AB223" s="236">
        <f t="shared" si="275"/>
        <v>26045572.272539444</v>
      </c>
      <c r="AC223" s="236">
        <f t="shared" si="276"/>
        <v>14585520.472622091</v>
      </c>
      <c r="AD223" s="236">
        <f t="shared" si="277"/>
        <v>2083645.7818031558</v>
      </c>
      <c r="AE223" s="236">
        <f t="shared" si="278"/>
        <v>0</v>
      </c>
      <c r="AF223" s="242">
        <f t="shared" si="279"/>
        <v>68760310.799504131</v>
      </c>
      <c r="AG223" s="235">
        <f t="shared" si="280"/>
        <v>0</v>
      </c>
      <c r="AH223" s="236">
        <f t="shared" si="281"/>
        <v>0</v>
      </c>
      <c r="AI223" s="236">
        <f t="shared" si="282"/>
        <v>6250937.345409466</v>
      </c>
      <c r="AJ223" s="236">
        <f t="shared" si="283"/>
        <v>1250187.4690818931</v>
      </c>
      <c r="AK223" s="236">
        <f t="shared" si="284"/>
        <v>0</v>
      </c>
      <c r="AL223" s="236">
        <f t="shared" si="285"/>
        <v>0</v>
      </c>
      <c r="AM223" s="971">
        <f t="shared" si="286"/>
        <v>7501124.8144913595</v>
      </c>
      <c r="AN223" s="235">
        <f t="shared" si="287"/>
        <v>72319872.343417853</v>
      </c>
      <c r="AO223" s="236">
        <f t="shared" si="288"/>
        <v>0</v>
      </c>
      <c r="AP223" s="236">
        <f t="shared" si="289"/>
        <v>36159936.171708927</v>
      </c>
      <c r="AQ223" s="236">
        <f t="shared" si="290"/>
        <v>51049321.654177308</v>
      </c>
      <c r="AR223" s="236">
        <f t="shared" si="291"/>
        <v>2127055.0689240545</v>
      </c>
      <c r="AS223" s="236">
        <f t="shared" si="292"/>
        <v>0</v>
      </c>
      <c r="AT223" s="242">
        <f t="shared" si="293"/>
        <v>161656185.23822814</v>
      </c>
      <c r="AU223" s="254">
        <v>0</v>
      </c>
      <c r="AV223" s="246">
        <f t="shared" si="294"/>
        <v>237.91762085222362</v>
      </c>
      <c r="AW223" s="973">
        <f t="shared" si="295"/>
        <v>3.74999451512174</v>
      </c>
    </row>
    <row r="224" spans="1:49">
      <c r="A224" s="127">
        <f>'Input data'!A148</f>
        <v>2048</v>
      </c>
      <c r="B224" s="105">
        <f>'Input data'!B148</f>
        <v>74.752759240528661</v>
      </c>
      <c r="C224" s="417">
        <f>'Recycling - Case 3'!E128</f>
        <v>1</v>
      </c>
      <c r="D224" s="525">
        <f>'Recycling - Case 3'!F128</f>
        <v>0.37</v>
      </c>
      <c r="E224" s="235">
        <f t="shared" si="188"/>
        <v>1163490255.6086991</v>
      </c>
      <c r="F224" s="236">
        <v>0</v>
      </c>
      <c r="G224" s="237">
        <f t="shared" si="189"/>
        <v>1163490255.6086991</v>
      </c>
      <c r="H224" s="118">
        <f t="shared" si="255"/>
        <v>0.19230769230769232</v>
      </c>
      <c r="I224" s="118">
        <f t="shared" si="256"/>
        <v>0</v>
      </c>
      <c r="J224" s="118">
        <f t="shared" si="257"/>
        <v>0.19230769230769232</v>
      </c>
      <c r="K224" s="118">
        <f t="shared" si="258"/>
        <v>0.53846153846153855</v>
      </c>
      <c r="L224" s="118">
        <f t="shared" si="259"/>
        <v>7.6923076923076927E-2</v>
      </c>
      <c r="M224" s="205">
        <f t="shared" si="260"/>
        <v>0</v>
      </c>
      <c r="N224" s="117">
        <f t="shared" si="261"/>
        <v>0</v>
      </c>
      <c r="O224" s="118">
        <f t="shared" si="262"/>
        <v>0.7</v>
      </c>
      <c r="P224" s="118">
        <f t="shared" si="263"/>
        <v>0.15</v>
      </c>
      <c r="Q224" s="118">
        <f t="shared" si="264"/>
        <v>0.15</v>
      </c>
      <c r="R224" s="118">
        <f t="shared" si="265"/>
        <v>0</v>
      </c>
      <c r="S224" s="205">
        <f t="shared" si="266"/>
        <v>0</v>
      </c>
      <c r="T224" s="117">
        <f t="shared" si="267"/>
        <v>0.42500000000000004</v>
      </c>
      <c r="U224" s="118">
        <f t="shared" si="268"/>
        <v>0</v>
      </c>
      <c r="V224" s="118">
        <f t="shared" si="269"/>
        <v>0.21250000000000002</v>
      </c>
      <c r="W224" s="118">
        <f t="shared" si="270"/>
        <v>0.3</v>
      </c>
      <c r="X224" s="118">
        <f t="shared" si="271"/>
        <v>6.25E-2</v>
      </c>
      <c r="Y224" s="205">
        <f t="shared" si="272"/>
        <v>0</v>
      </c>
      <c r="Z224" s="236">
        <f t="shared" si="273"/>
        <v>26178530.751195729</v>
      </c>
      <c r="AA224" s="236">
        <f t="shared" si="274"/>
        <v>0</v>
      </c>
      <c r="AB224" s="236">
        <f t="shared" si="275"/>
        <v>26178530.751195729</v>
      </c>
      <c r="AC224" s="236">
        <f t="shared" si="276"/>
        <v>14659977.220669612</v>
      </c>
      <c r="AD224" s="236">
        <f t="shared" si="277"/>
        <v>2094282.4600956584</v>
      </c>
      <c r="AE224" s="236">
        <f t="shared" si="278"/>
        <v>0</v>
      </c>
      <c r="AF224" s="242">
        <f t="shared" si="279"/>
        <v>69111321.183156729</v>
      </c>
      <c r="AG224" s="235">
        <f t="shared" si="280"/>
        <v>0</v>
      </c>
      <c r="AH224" s="236">
        <f t="shared" si="281"/>
        <v>0</v>
      </c>
      <c r="AI224" s="236">
        <f t="shared" si="282"/>
        <v>6282847.3802869748</v>
      </c>
      <c r="AJ224" s="236">
        <f t="shared" si="283"/>
        <v>1256569.4760573949</v>
      </c>
      <c r="AK224" s="236">
        <f t="shared" si="284"/>
        <v>0</v>
      </c>
      <c r="AL224" s="236">
        <f t="shared" si="285"/>
        <v>0</v>
      </c>
      <c r="AM224" s="971">
        <f t="shared" si="286"/>
        <v>7539416.8563443702</v>
      </c>
      <c r="AN224" s="235">
        <f t="shared" si="287"/>
        <v>72689053.719153479</v>
      </c>
      <c r="AO224" s="236">
        <f t="shared" si="288"/>
        <v>0</v>
      </c>
      <c r="AP224" s="236">
        <f t="shared" si="289"/>
        <v>36344526.859576739</v>
      </c>
      <c r="AQ224" s="236">
        <f t="shared" si="290"/>
        <v>51309920.272343628</v>
      </c>
      <c r="AR224" s="236">
        <f t="shared" si="291"/>
        <v>2137913.3446809845</v>
      </c>
      <c r="AS224" s="236">
        <f t="shared" si="292"/>
        <v>0</v>
      </c>
      <c r="AT224" s="242">
        <f t="shared" si="293"/>
        <v>162481414.19575486</v>
      </c>
      <c r="AU224" s="254">
        <v>0</v>
      </c>
      <c r="AV224" s="246">
        <f t="shared" si="294"/>
        <v>239.13215223525594</v>
      </c>
      <c r="AW224" s="973">
        <f t="shared" si="295"/>
        <v>3.769137637049826</v>
      </c>
    </row>
    <row r="225" spans="1:49">
      <c r="A225" s="127">
        <f>'Input data'!A149</f>
        <v>2049</v>
      </c>
      <c r="B225" s="105">
        <f>'Input data'!B149</f>
        <v>75.134360114565098</v>
      </c>
      <c r="C225" s="417">
        <f>'Recycling - Case 3'!E129</f>
        <v>1</v>
      </c>
      <c r="D225" s="525">
        <f>'Recycling - Case 3'!F129</f>
        <v>0.37</v>
      </c>
      <c r="E225" s="235">
        <f t="shared" si="188"/>
        <v>1169429687.1826501</v>
      </c>
      <c r="F225" s="236">
        <v>0</v>
      </c>
      <c r="G225" s="237">
        <f t="shared" si="189"/>
        <v>1169429687.1826501</v>
      </c>
      <c r="H225" s="118">
        <f t="shared" si="255"/>
        <v>0.19230769230769232</v>
      </c>
      <c r="I225" s="118">
        <f t="shared" si="256"/>
        <v>0</v>
      </c>
      <c r="J225" s="118">
        <f t="shared" si="257"/>
        <v>0.19230769230769232</v>
      </c>
      <c r="K225" s="118">
        <f t="shared" si="258"/>
        <v>0.53846153846153855</v>
      </c>
      <c r="L225" s="118">
        <f t="shared" si="259"/>
        <v>7.6923076923076927E-2</v>
      </c>
      <c r="M225" s="205">
        <f t="shared" si="260"/>
        <v>0</v>
      </c>
      <c r="N225" s="117">
        <f t="shared" si="261"/>
        <v>0</v>
      </c>
      <c r="O225" s="118">
        <f t="shared" si="262"/>
        <v>0.7</v>
      </c>
      <c r="P225" s="118">
        <f t="shared" si="263"/>
        <v>0.15</v>
      </c>
      <c r="Q225" s="118">
        <f t="shared" si="264"/>
        <v>0.15</v>
      </c>
      <c r="R225" s="118">
        <f t="shared" si="265"/>
        <v>0</v>
      </c>
      <c r="S225" s="205">
        <f t="shared" si="266"/>
        <v>0</v>
      </c>
      <c r="T225" s="117">
        <f t="shared" si="267"/>
        <v>0.42500000000000004</v>
      </c>
      <c r="U225" s="118">
        <f t="shared" si="268"/>
        <v>0</v>
      </c>
      <c r="V225" s="118">
        <f t="shared" si="269"/>
        <v>0.21250000000000002</v>
      </c>
      <c r="W225" s="118">
        <f t="shared" si="270"/>
        <v>0.3</v>
      </c>
      <c r="X225" s="118">
        <f t="shared" si="271"/>
        <v>6.25E-2</v>
      </c>
      <c r="Y225" s="205">
        <f t="shared" si="272"/>
        <v>0</v>
      </c>
      <c r="Z225" s="236">
        <f t="shared" si="273"/>
        <v>26312167.961609632</v>
      </c>
      <c r="AA225" s="236">
        <f t="shared" si="274"/>
        <v>0</v>
      </c>
      <c r="AB225" s="236">
        <f t="shared" si="275"/>
        <v>26312167.961609632</v>
      </c>
      <c r="AC225" s="236">
        <f t="shared" si="276"/>
        <v>14734814.058501394</v>
      </c>
      <c r="AD225" s="236">
        <f t="shared" si="277"/>
        <v>2104973.4369287705</v>
      </c>
      <c r="AE225" s="236">
        <f t="shared" si="278"/>
        <v>0</v>
      </c>
      <c r="AF225" s="242">
        <f t="shared" si="279"/>
        <v>69464123.41864942</v>
      </c>
      <c r="AG225" s="235">
        <f t="shared" si="280"/>
        <v>0</v>
      </c>
      <c r="AH225" s="236">
        <f t="shared" si="281"/>
        <v>0</v>
      </c>
      <c r="AI225" s="236">
        <f t="shared" si="282"/>
        <v>6314920.3107863097</v>
      </c>
      <c r="AJ225" s="236">
        <f t="shared" si="283"/>
        <v>1262984.0621572619</v>
      </c>
      <c r="AK225" s="236">
        <f t="shared" si="284"/>
        <v>0</v>
      </c>
      <c r="AL225" s="236">
        <f t="shared" si="285"/>
        <v>0</v>
      </c>
      <c r="AM225" s="971">
        <f t="shared" si="286"/>
        <v>7577904.3729435718</v>
      </c>
      <c r="AN225" s="235">
        <f t="shared" si="287"/>
        <v>73060119.706736073</v>
      </c>
      <c r="AO225" s="236">
        <f t="shared" si="288"/>
        <v>0</v>
      </c>
      <c r="AP225" s="236">
        <f t="shared" si="289"/>
        <v>36530059.853368036</v>
      </c>
      <c r="AQ225" s="236">
        <f t="shared" si="290"/>
        <v>51571849.204754859</v>
      </c>
      <c r="AR225" s="236">
        <f t="shared" si="291"/>
        <v>2148827.0501981191</v>
      </c>
      <c r="AS225" s="236">
        <f t="shared" si="292"/>
        <v>0</v>
      </c>
      <c r="AT225" s="242">
        <f t="shared" si="293"/>
        <v>163310855.81505707</v>
      </c>
      <c r="AU225" s="254">
        <v>0</v>
      </c>
      <c r="AV225" s="246">
        <f t="shared" si="294"/>
        <v>240.35288360665007</v>
      </c>
      <c r="AW225" s="973">
        <f t="shared" si="295"/>
        <v>3.7883784815520856</v>
      </c>
    </row>
    <row r="226" spans="1:49" ht="15.75" thickBot="1">
      <c r="A226" s="172">
        <f>'Input data'!A150</f>
        <v>2050</v>
      </c>
      <c r="B226" s="962">
        <f>'Input data'!B150</f>
        <v>75.517908999999989</v>
      </c>
      <c r="C226" s="651">
        <f>'Recycling - Case 3'!E130</f>
        <v>1</v>
      </c>
      <c r="D226" s="652">
        <f>'Recycling - Case 3'!F130</f>
        <v>0.37</v>
      </c>
      <c r="E226" s="238">
        <f t="shared" si="188"/>
        <v>1175399438.6043625</v>
      </c>
      <c r="F226" s="239">
        <v>0</v>
      </c>
      <c r="G226" s="240">
        <f t="shared" si="189"/>
        <v>1175399438.6043625</v>
      </c>
      <c r="H226" s="121">
        <f t="shared" si="255"/>
        <v>0.19230769230769232</v>
      </c>
      <c r="I226" s="121">
        <f t="shared" si="256"/>
        <v>0</v>
      </c>
      <c r="J226" s="121">
        <f t="shared" si="257"/>
        <v>0.19230769230769232</v>
      </c>
      <c r="K226" s="121">
        <f t="shared" si="258"/>
        <v>0.53846153846153855</v>
      </c>
      <c r="L226" s="121">
        <f t="shared" si="259"/>
        <v>7.6923076923076927E-2</v>
      </c>
      <c r="M226" s="206">
        <f t="shared" si="260"/>
        <v>0</v>
      </c>
      <c r="N226" s="120">
        <f t="shared" si="261"/>
        <v>0</v>
      </c>
      <c r="O226" s="121">
        <f t="shared" si="262"/>
        <v>0.7</v>
      </c>
      <c r="P226" s="121">
        <f t="shared" si="263"/>
        <v>0.15</v>
      </c>
      <c r="Q226" s="121">
        <f t="shared" si="264"/>
        <v>0.15</v>
      </c>
      <c r="R226" s="121">
        <f t="shared" si="265"/>
        <v>0</v>
      </c>
      <c r="S226" s="206">
        <f t="shared" si="266"/>
        <v>0</v>
      </c>
      <c r="T226" s="120">
        <f t="shared" si="267"/>
        <v>0.42500000000000004</v>
      </c>
      <c r="U226" s="121">
        <f t="shared" si="268"/>
        <v>0</v>
      </c>
      <c r="V226" s="121">
        <f t="shared" si="269"/>
        <v>0.21250000000000002</v>
      </c>
      <c r="W226" s="121">
        <f t="shared" si="270"/>
        <v>0.3</v>
      </c>
      <c r="X226" s="121">
        <f t="shared" si="271"/>
        <v>6.25E-2</v>
      </c>
      <c r="Y226" s="206">
        <f t="shared" si="272"/>
        <v>0</v>
      </c>
      <c r="Z226" s="239">
        <f t="shared" si="273"/>
        <v>26446487.368598159</v>
      </c>
      <c r="AA226" s="239">
        <f t="shared" si="274"/>
        <v>0</v>
      </c>
      <c r="AB226" s="239">
        <f t="shared" si="275"/>
        <v>26446487.368598159</v>
      </c>
      <c r="AC226" s="239">
        <f t="shared" si="276"/>
        <v>14810032.926414972</v>
      </c>
      <c r="AD226" s="239">
        <f t="shared" si="277"/>
        <v>2115718.9894878524</v>
      </c>
      <c r="AE226" s="239">
        <f t="shared" si="278"/>
        <v>0</v>
      </c>
      <c r="AF226" s="243">
        <f t="shared" si="279"/>
        <v>69818726.653099149</v>
      </c>
      <c r="AG226" s="238">
        <f t="shared" si="280"/>
        <v>0</v>
      </c>
      <c r="AH226" s="239">
        <f t="shared" si="281"/>
        <v>0</v>
      </c>
      <c r="AI226" s="239">
        <f t="shared" si="282"/>
        <v>6347156.9684635568</v>
      </c>
      <c r="AJ226" s="239">
        <f t="shared" si="283"/>
        <v>1269431.3936927111</v>
      </c>
      <c r="AK226" s="239">
        <f t="shared" si="284"/>
        <v>0</v>
      </c>
      <c r="AL226" s="239">
        <f t="shared" si="285"/>
        <v>0</v>
      </c>
      <c r="AM226" s="972">
        <f t="shared" si="286"/>
        <v>7616588.3621562682</v>
      </c>
      <c r="AN226" s="238">
        <f t="shared" si="287"/>
        <v>73433079.926807553</v>
      </c>
      <c r="AO226" s="239">
        <f t="shared" si="288"/>
        <v>0</v>
      </c>
      <c r="AP226" s="239">
        <f t="shared" si="289"/>
        <v>36716539.963403776</v>
      </c>
      <c r="AQ226" s="239">
        <f t="shared" si="290"/>
        <v>51835115.242452383</v>
      </c>
      <c r="AR226" s="239">
        <f t="shared" si="291"/>
        <v>2159796.4684355161</v>
      </c>
      <c r="AS226" s="239">
        <f t="shared" si="292"/>
        <v>0</v>
      </c>
      <c r="AT226" s="243">
        <f t="shared" si="293"/>
        <v>164144531.60109925</v>
      </c>
      <c r="AU226" s="254">
        <v>0</v>
      </c>
      <c r="AV226" s="249">
        <f t="shared" si="294"/>
        <v>241.57984661635467</v>
      </c>
      <c r="AW226" s="974">
        <f t="shared" si="295"/>
        <v>3.8077175474866229</v>
      </c>
    </row>
    <row r="227" spans="1:49">
      <c r="C227" s="114"/>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5546875" defaultRowHeight="15"/>
  <cols>
    <col min="1" max="1" width="39.28515625" style="10" customWidth="1"/>
    <col min="2" max="2" width="23.28515625" style="10" customWidth="1"/>
    <col min="3" max="3" width="16.5703125" style="10" customWidth="1"/>
    <col min="4" max="4" width="14.7109375" style="10" customWidth="1"/>
    <col min="5" max="5" width="16.42578125" style="10" customWidth="1"/>
    <col min="6" max="6" width="17" style="10" customWidth="1"/>
    <col min="7" max="7" width="13.85546875" style="10" customWidth="1"/>
    <col min="8" max="8" width="16.5703125" style="10" customWidth="1"/>
    <col min="9" max="9" width="20.28515625" style="10" customWidth="1"/>
    <col min="10" max="10" width="15.140625" style="10" customWidth="1"/>
    <col min="11" max="11" width="8.85546875" style="10"/>
    <col min="12" max="12" width="20.85546875" style="10" customWidth="1"/>
    <col min="13" max="13" width="8.85546875" style="10"/>
    <col min="14" max="14" width="11" style="10" customWidth="1"/>
    <col min="15" max="15" width="10.7109375" style="10" bestFit="1" customWidth="1"/>
    <col min="16" max="16384" width="8.85546875" style="10"/>
  </cols>
  <sheetData>
    <row r="1" spans="1:23">
      <c r="A1" s="9" t="s">
        <v>126</v>
      </c>
      <c r="B1" s="15"/>
      <c r="C1" s="15"/>
      <c r="D1" s="15"/>
      <c r="E1" s="15"/>
      <c r="F1" s="15"/>
      <c r="G1" s="15"/>
      <c r="H1" s="15"/>
      <c r="I1" s="15"/>
      <c r="J1" s="15"/>
    </row>
    <row r="2" spans="1:23" ht="14.45" customHeight="1"/>
    <row r="3" spans="1:23">
      <c r="A3" s="10" t="s">
        <v>159</v>
      </c>
      <c r="B3" s="37"/>
      <c r="C3" s="37"/>
      <c r="D3" s="37"/>
      <c r="E3" s="37"/>
      <c r="F3" s="37"/>
      <c r="G3" s="37"/>
      <c r="L3" s="52" t="s">
        <v>127</v>
      </c>
      <c r="M3" s="53"/>
      <c r="N3" s="53"/>
      <c r="O3" s="53"/>
    </row>
    <row r="4" spans="1:23" ht="15.75" thickBot="1">
      <c r="A4" s="15"/>
      <c r="B4" s="15"/>
      <c r="C4" s="15"/>
      <c r="D4" s="15"/>
      <c r="E4" s="15"/>
      <c r="F4" s="15"/>
      <c r="G4" s="15"/>
      <c r="L4" s="53"/>
      <c r="M4" s="53"/>
      <c r="N4" s="53"/>
      <c r="O4" s="53"/>
    </row>
    <row r="5" spans="1:23" ht="15" customHeight="1" thickBot="1">
      <c r="A5" s="2016"/>
      <c r="B5" s="2017"/>
      <c r="C5" s="2022" t="s">
        <v>53</v>
      </c>
      <c r="D5" s="2023"/>
      <c r="E5" s="2023"/>
      <c r="F5" s="2024"/>
      <c r="G5" s="2022" t="s">
        <v>54</v>
      </c>
      <c r="H5" s="2023"/>
      <c r="I5" s="2023"/>
      <c r="J5" s="2024"/>
      <c r="L5" s="53"/>
      <c r="M5" s="54" t="s">
        <v>128</v>
      </c>
      <c r="N5" s="54" t="s">
        <v>129</v>
      </c>
      <c r="O5" s="55" t="s">
        <v>130</v>
      </c>
      <c r="Q5" s="2015" t="s">
        <v>144</v>
      </c>
      <c r="R5" s="2015"/>
      <c r="S5" s="2015"/>
      <c r="T5" s="2015"/>
      <c r="U5" s="2015"/>
      <c r="V5" s="56"/>
      <c r="W5" s="56"/>
    </row>
    <row r="6" spans="1:23" ht="15.75" thickBot="1">
      <c r="A6" s="2018"/>
      <c r="B6" s="2019"/>
      <c r="C6" s="2025" t="s">
        <v>55</v>
      </c>
      <c r="D6" s="2026"/>
      <c r="E6" s="2025" t="s">
        <v>56</v>
      </c>
      <c r="F6" s="2026"/>
      <c r="G6" s="2025" t="s">
        <v>55</v>
      </c>
      <c r="H6" s="2026"/>
      <c r="I6" s="2027" t="s">
        <v>57</v>
      </c>
      <c r="J6" s="2028"/>
      <c r="L6" s="54" t="s">
        <v>131</v>
      </c>
      <c r="M6" s="73" t="s">
        <v>132</v>
      </c>
      <c r="N6" s="74"/>
      <c r="O6" s="75" t="s">
        <v>133</v>
      </c>
      <c r="Q6" s="2015"/>
      <c r="R6" s="2015"/>
      <c r="S6" s="2015"/>
      <c r="T6" s="2015"/>
      <c r="U6" s="2015"/>
      <c r="V6" s="38"/>
      <c r="W6" s="38"/>
    </row>
    <row r="7" spans="1:23" ht="15.75" thickBot="1">
      <c r="A7" s="2020" t="s">
        <v>58</v>
      </c>
      <c r="B7" s="2021"/>
      <c r="C7" s="67" t="s">
        <v>59</v>
      </c>
      <c r="D7" s="68" t="s">
        <v>60</v>
      </c>
      <c r="E7" s="67" t="s">
        <v>59</v>
      </c>
      <c r="F7" s="68" t="s">
        <v>60</v>
      </c>
      <c r="G7" s="67" t="s">
        <v>59</v>
      </c>
      <c r="H7" s="68" t="s">
        <v>60</v>
      </c>
      <c r="I7" s="67" t="s">
        <v>59</v>
      </c>
      <c r="J7" s="68" t="s">
        <v>60</v>
      </c>
      <c r="L7" s="54" t="s">
        <v>134</v>
      </c>
      <c r="M7" s="76" t="s">
        <v>132</v>
      </c>
      <c r="N7" s="77"/>
      <c r="O7" s="78" t="s">
        <v>135</v>
      </c>
      <c r="Q7" s="2015"/>
      <c r="R7" s="2015"/>
      <c r="S7" s="2015"/>
      <c r="T7" s="2015"/>
      <c r="U7" s="2015"/>
      <c r="V7" s="38"/>
      <c r="W7" s="38"/>
    </row>
    <row r="8" spans="1:23" ht="15.75" thickBot="1">
      <c r="A8" s="2029" t="s">
        <v>61</v>
      </c>
      <c r="B8" s="72" t="s">
        <v>62</v>
      </c>
      <c r="C8" s="90">
        <v>0.04</v>
      </c>
      <c r="D8" s="91" t="s">
        <v>63</v>
      </c>
      <c r="E8" s="94">
        <v>0.06</v>
      </c>
      <c r="F8" s="95" t="s">
        <v>64</v>
      </c>
      <c r="G8" s="94">
        <v>4.4999999999999998E-2</v>
      </c>
      <c r="H8" s="95" t="s">
        <v>65</v>
      </c>
      <c r="I8" s="94">
        <v>7.0000000000000007E-2</v>
      </c>
      <c r="J8" s="95" t="s">
        <v>66</v>
      </c>
      <c r="L8" s="54" t="s">
        <v>136</v>
      </c>
      <c r="M8" s="76" t="s">
        <v>137</v>
      </c>
      <c r="N8" s="77" t="s">
        <v>138</v>
      </c>
      <c r="O8" s="78"/>
      <c r="Q8" s="2015"/>
      <c r="R8" s="2015"/>
      <c r="S8" s="2015"/>
      <c r="T8" s="2015"/>
      <c r="U8" s="2015"/>
      <c r="V8" s="38"/>
      <c r="W8" s="38"/>
    </row>
    <row r="9" spans="1:23" ht="30.75" thickBot="1">
      <c r="A9" s="2030"/>
      <c r="B9" s="71" t="s">
        <v>67</v>
      </c>
      <c r="C9" s="92">
        <v>0.02</v>
      </c>
      <c r="D9" s="64" t="s">
        <v>68</v>
      </c>
      <c r="E9" s="96">
        <v>0.03</v>
      </c>
      <c r="F9" s="64" t="s">
        <v>69</v>
      </c>
      <c r="G9" s="96">
        <v>2.5000000000000001E-2</v>
      </c>
      <c r="H9" s="64" t="s">
        <v>69</v>
      </c>
      <c r="I9" s="96">
        <v>3.5000000000000003E-2</v>
      </c>
      <c r="J9" s="64" t="s">
        <v>63</v>
      </c>
      <c r="L9" s="54" t="s">
        <v>139</v>
      </c>
      <c r="M9" s="79" t="s">
        <v>137</v>
      </c>
      <c r="N9" s="80" t="s">
        <v>140</v>
      </c>
      <c r="O9" s="81"/>
      <c r="Q9" s="2015"/>
      <c r="R9" s="2015"/>
      <c r="S9" s="2015"/>
      <c r="T9" s="2015"/>
      <c r="U9" s="2015"/>
      <c r="V9" s="38"/>
      <c r="W9" s="38"/>
    </row>
    <row r="10" spans="1:23">
      <c r="A10" s="65" t="s">
        <v>70</v>
      </c>
      <c r="B10" s="71" t="s">
        <v>71</v>
      </c>
      <c r="C10" s="92">
        <v>0.05</v>
      </c>
      <c r="D10" s="64" t="s">
        <v>65</v>
      </c>
      <c r="E10" s="97">
        <v>0.1</v>
      </c>
      <c r="F10" s="64" t="s">
        <v>72</v>
      </c>
      <c r="G10" s="97">
        <v>6.5000000000000002E-2</v>
      </c>
      <c r="H10" s="64" t="s">
        <v>73</v>
      </c>
      <c r="I10" s="97">
        <v>0.17</v>
      </c>
      <c r="J10" s="64" t="s">
        <v>74</v>
      </c>
      <c r="L10" s="53" t="s">
        <v>141</v>
      </c>
      <c r="M10" s="53"/>
      <c r="N10" s="53"/>
      <c r="O10" s="53"/>
    </row>
    <row r="11" spans="1:23" ht="30.75" thickBot="1">
      <c r="A11" s="82" t="s">
        <v>75</v>
      </c>
      <c r="B11" s="83" t="s">
        <v>76</v>
      </c>
      <c r="C11" s="93">
        <v>0.06</v>
      </c>
      <c r="D11" s="66" t="s">
        <v>73</v>
      </c>
      <c r="E11" s="98">
        <v>0.185</v>
      </c>
      <c r="F11" s="66" t="s">
        <v>77</v>
      </c>
      <c r="G11" s="98">
        <v>8.5000000000000006E-2</v>
      </c>
      <c r="H11" s="66" t="s">
        <v>78</v>
      </c>
      <c r="I11" s="98">
        <v>0.4</v>
      </c>
      <c r="J11" s="66" t="s">
        <v>79</v>
      </c>
      <c r="L11" s="53" t="s">
        <v>142</v>
      </c>
      <c r="M11" s="53"/>
      <c r="N11" s="53"/>
      <c r="O11" s="53"/>
    </row>
    <row r="12" spans="1:23" ht="15.75" thickBot="1">
      <c r="A12" s="84" t="s">
        <v>80</v>
      </c>
      <c r="B12" s="85" t="s">
        <v>81</v>
      </c>
      <c r="C12" s="86">
        <v>0.05</v>
      </c>
      <c r="D12" s="87" t="s">
        <v>65</v>
      </c>
      <c r="E12" s="88">
        <v>0.09</v>
      </c>
      <c r="F12" s="87" t="s">
        <v>82</v>
      </c>
      <c r="G12" s="88">
        <v>6.5000000000000002E-2</v>
      </c>
      <c r="H12" s="87" t="s">
        <v>73</v>
      </c>
      <c r="I12" s="88">
        <v>0.17</v>
      </c>
      <c r="J12" s="89" t="s">
        <v>74</v>
      </c>
      <c r="L12" s="53" t="s">
        <v>143</v>
      </c>
      <c r="M12" s="53"/>
      <c r="N12" s="53"/>
      <c r="O12" s="53"/>
    </row>
    <row r="13" spans="1:23">
      <c r="H13" s="7"/>
      <c r="I13" s="7"/>
      <c r="J13" s="7"/>
    </row>
    <row r="14" spans="1:23">
      <c r="A14" s="52" t="s">
        <v>145</v>
      </c>
      <c r="B14" s="53"/>
      <c r="C14" s="53"/>
      <c r="H14" s="7"/>
      <c r="I14" s="7"/>
      <c r="J14" s="7"/>
    </row>
    <row r="15" spans="1:23">
      <c r="A15" s="53"/>
      <c r="B15" s="53"/>
      <c r="C15" s="53"/>
      <c r="H15" s="7"/>
      <c r="I15" s="7"/>
      <c r="J15" s="7"/>
    </row>
    <row r="16" spans="1:23">
      <c r="A16" s="53" t="s">
        <v>146</v>
      </c>
      <c r="B16" s="53"/>
      <c r="C16" s="53"/>
      <c r="H16" s="7"/>
      <c r="M16" s="53"/>
      <c r="N16" s="15"/>
      <c r="O16" s="53"/>
    </row>
    <row r="17" spans="1:15">
      <c r="A17" s="53"/>
      <c r="B17" s="53"/>
      <c r="C17" s="53"/>
      <c r="H17" s="7"/>
      <c r="M17" s="53"/>
      <c r="N17" s="57"/>
      <c r="O17" s="58"/>
    </row>
    <row r="18" spans="1:15">
      <c r="A18" s="59" t="s">
        <v>147</v>
      </c>
      <c r="B18" s="53"/>
      <c r="C18" s="53"/>
      <c r="D18" s="53"/>
      <c r="E18" s="53"/>
      <c r="F18" s="53"/>
      <c r="G18" s="53"/>
      <c r="H18" s="7"/>
      <c r="M18" s="53"/>
      <c r="N18" s="60"/>
      <c r="O18" s="58"/>
    </row>
    <row r="19" spans="1:15" ht="15.75" thickBot="1">
      <c r="A19" s="53"/>
      <c r="B19" s="53"/>
      <c r="C19" s="53"/>
      <c r="D19" s="53"/>
      <c r="E19" s="53"/>
      <c r="F19" s="53"/>
      <c r="G19" s="53"/>
      <c r="H19" s="7"/>
      <c r="M19" s="53"/>
      <c r="N19" s="61"/>
      <c r="O19" s="58"/>
    </row>
    <row r="20" spans="1:15" ht="17.25">
      <c r="A20" s="62" t="s">
        <v>148</v>
      </c>
      <c r="B20" s="2031" t="s">
        <v>160</v>
      </c>
      <c r="C20" s="2032"/>
      <c r="D20" s="53"/>
      <c r="E20" s="53"/>
      <c r="F20" s="53"/>
      <c r="G20" s="53"/>
      <c r="H20" s="7"/>
      <c r="M20" s="53"/>
      <c r="N20" s="57"/>
      <c r="O20" s="58"/>
    </row>
    <row r="21" spans="1:15">
      <c r="A21" s="70">
        <v>35</v>
      </c>
      <c r="B21" s="2009">
        <f>LN(2)/A21</f>
        <v>1.980420515885558E-2</v>
      </c>
      <c r="C21" s="2010"/>
      <c r="D21" s="53"/>
      <c r="E21" s="53"/>
      <c r="F21" s="53"/>
      <c r="G21" s="53"/>
      <c r="H21" s="7"/>
      <c r="M21" s="53"/>
      <c r="N21" s="57"/>
      <c r="O21" s="58"/>
    </row>
    <row r="22" spans="1:15" ht="17.25">
      <c r="A22" s="63" t="s">
        <v>161</v>
      </c>
      <c r="B22" s="2011" t="s">
        <v>149</v>
      </c>
      <c r="C22" s="2012"/>
      <c r="D22" s="53"/>
      <c r="E22" s="53"/>
      <c r="F22" s="53"/>
      <c r="G22" s="53"/>
      <c r="H22" s="7"/>
      <c r="M22" s="53"/>
      <c r="N22" s="15"/>
      <c r="O22" s="53"/>
    </row>
    <row r="23" spans="1:15" ht="15.75" thickBot="1">
      <c r="A23" s="69">
        <v>0.05</v>
      </c>
      <c r="B23" s="2013">
        <f>LN(2)/A23</f>
        <v>13.862943611198904</v>
      </c>
      <c r="C23" s="2014"/>
      <c r="D23" s="53"/>
      <c r="E23" s="53"/>
      <c r="F23" s="53"/>
      <c r="G23" s="53"/>
      <c r="H23" s="7"/>
      <c r="M23" s="53"/>
      <c r="N23" s="53"/>
      <c r="O23" s="53"/>
    </row>
    <row r="24" spans="1:15">
      <c r="D24" s="53"/>
      <c r="E24" s="53"/>
      <c r="F24" s="53"/>
      <c r="G24" s="53"/>
      <c r="M24" s="53"/>
      <c r="N24" s="53"/>
      <c r="O24" s="53"/>
    </row>
    <row r="25" spans="1:15">
      <c r="A25" s="7"/>
      <c r="B25" s="7"/>
      <c r="C25" s="7"/>
      <c r="D25" s="7"/>
      <c r="E25" s="7"/>
      <c r="F25" s="7"/>
      <c r="G25" s="7"/>
    </row>
    <row r="26" spans="1:15" ht="15.75" thickBot="1">
      <c r="A26" s="16" t="s">
        <v>101</v>
      </c>
      <c r="B26" s="7"/>
      <c r="C26" s="7"/>
      <c r="D26" s="7"/>
      <c r="E26" s="7"/>
      <c r="F26" s="7"/>
      <c r="G26" s="7"/>
    </row>
    <row r="27" spans="1:15" ht="15.75" thickBot="1">
      <c r="A27" s="41"/>
      <c r="B27" s="47" t="s">
        <v>59</v>
      </c>
      <c r="C27" s="48" t="s">
        <v>60</v>
      </c>
      <c r="D27" s="7"/>
      <c r="E27" s="7"/>
      <c r="F27" s="7"/>
      <c r="G27" s="7"/>
    </row>
    <row r="28" spans="1:15">
      <c r="A28" s="42" t="s">
        <v>83</v>
      </c>
      <c r="B28" s="17">
        <v>0.15</v>
      </c>
      <c r="C28" s="18" t="s">
        <v>84</v>
      </c>
      <c r="D28" s="7"/>
      <c r="E28" s="7"/>
      <c r="F28" s="7"/>
      <c r="G28" s="7"/>
    </row>
    <row r="29" spans="1:15">
      <c r="A29" s="43" t="s">
        <v>85</v>
      </c>
      <c r="B29" s="19">
        <v>0.2</v>
      </c>
      <c r="C29" s="20" t="s">
        <v>86</v>
      </c>
      <c r="D29" s="7"/>
      <c r="E29" s="7"/>
      <c r="F29" s="7"/>
      <c r="G29" s="7"/>
    </row>
    <row r="30" spans="1:15">
      <c r="A30" s="43" t="s">
        <v>87</v>
      </c>
      <c r="B30" s="19">
        <v>0.4</v>
      </c>
      <c r="C30" s="20" t="s">
        <v>88</v>
      </c>
      <c r="D30" s="7"/>
      <c r="E30" s="7"/>
      <c r="F30" s="7"/>
      <c r="G30" s="7"/>
    </row>
    <row r="31" spans="1:15">
      <c r="A31" s="43" t="s">
        <v>89</v>
      </c>
      <c r="B31" s="19">
        <v>0.43</v>
      </c>
      <c r="C31" s="20" t="s">
        <v>90</v>
      </c>
      <c r="D31" s="7"/>
      <c r="E31" s="7"/>
      <c r="F31" s="7"/>
      <c r="G31" s="7"/>
    </row>
    <row r="32" spans="1:15">
      <c r="A32" s="43" t="s">
        <v>91</v>
      </c>
      <c r="B32" s="19">
        <v>0.24</v>
      </c>
      <c r="C32" s="20" t="s">
        <v>92</v>
      </c>
      <c r="D32" s="7"/>
      <c r="E32" s="7"/>
      <c r="F32" s="7"/>
      <c r="G32" s="7"/>
    </row>
    <row r="33" spans="1:15">
      <c r="A33" s="44" t="s">
        <v>93</v>
      </c>
      <c r="B33" s="21">
        <v>0.24</v>
      </c>
      <c r="C33" s="22" t="s">
        <v>94</v>
      </c>
      <c r="D33" s="7"/>
      <c r="E33" s="7"/>
      <c r="F33" s="7"/>
      <c r="G33" s="7"/>
    </row>
    <row r="34" spans="1:15">
      <c r="A34" s="44" t="s">
        <v>95</v>
      </c>
      <c r="B34" s="21">
        <v>0.39</v>
      </c>
      <c r="C34" s="22" t="s">
        <v>96</v>
      </c>
      <c r="D34" s="7"/>
      <c r="E34" s="7"/>
      <c r="F34" s="7"/>
      <c r="G34" s="7"/>
    </row>
    <row r="35" spans="1:15" ht="15.75" thickBot="1">
      <c r="A35" s="44" t="s">
        <v>247</v>
      </c>
      <c r="B35" s="21">
        <v>0</v>
      </c>
      <c r="C35" s="103"/>
      <c r="D35" s="7"/>
      <c r="E35" s="7"/>
      <c r="F35" s="7"/>
      <c r="G35" s="7"/>
    </row>
    <row r="36" spans="1:15">
      <c r="A36" s="45" t="s">
        <v>97</v>
      </c>
      <c r="B36" s="23">
        <v>0.18</v>
      </c>
      <c r="C36" s="24" t="s">
        <v>98</v>
      </c>
      <c r="D36" s="7"/>
      <c r="E36" s="7"/>
      <c r="F36" s="7"/>
      <c r="G36" s="7"/>
    </row>
    <row r="37" spans="1:15" ht="15.75" thickBot="1">
      <c r="A37" s="46" t="s">
        <v>99</v>
      </c>
      <c r="B37" s="25">
        <v>0.15</v>
      </c>
      <c r="C37" s="26" t="s">
        <v>100</v>
      </c>
      <c r="D37" s="7"/>
      <c r="E37" s="7"/>
      <c r="F37" s="7"/>
      <c r="G37" s="7"/>
    </row>
    <row r="38" spans="1:15">
      <c r="A38" s="16"/>
      <c r="B38" s="34"/>
      <c r="C38" s="35"/>
      <c r="D38" s="7"/>
      <c r="E38" s="7"/>
      <c r="F38" s="7"/>
      <c r="G38" s="7"/>
    </row>
    <row r="39" spans="1:15">
      <c r="E39" s="198"/>
      <c r="F39" s="198"/>
      <c r="G39" s="198"/>
      <c r="H39" s="198"/>
      <c r="I39" s="198"/>
      <c r="J39" s="198"/>
      <c r="K39" s="198"/>
      <c r="L39" s="198"/>
      <c r="M39" s="198"/>
      <c r="N39" s="198"/>
      <c r="O39" s="198"/>
    </row>
    <row r="40" spans="1:15">
      <c r="A40" s="27" t="s">
        <v>102</v>
      </c>
      <c r="E40" s="1413"/>
      <c r="F40" s="99"/>
      <c r="G40" s="99"/>
      <c r="H40" s="99"/>
      <c r="I40" s="99"/>
      <c r="J40" s="99"/>
      <c r="K40" s="99"/>
      <c r="L40" s="99"/>
      <c r="M40" s="198"/>
      <c r="N40" s="198"/>
      <c r="O40" s="198"/>
    </row>
    <row r="41" spans="1:15">
      <c r="A41" s="27"/>
      <c r="B41" s="286"/>
      <c r="C41" s="286"/>
      <c r="D41" s="286"/>
      <c r="E41" s="286"/>
      <c r="F41" s="286"/>
      <c r="G41" s="286"/>
      <c r="H41" s="286"/>
      <c r="I41" s="286"/>
      <c r="J41" s="286"/>
    </row>
    <row r="42" spans="1:15">
      <c r="B42" s="1411"/>
      <c r="C42" s="1411"/>
      <c r="D42" s="1411"/>
      <c r="E42" s="1411"/>
      <c r="F42" s="1411"/>
      <c r="G42" s="1411"/>
      <c r="H42" s="1411"/>
      <c r="I42" s="1411"/>
      <c r="J42" s="1412"/>
    </row>
    <row r="43" spans="1:15" ht="30">
      <c r="A43" s="40" t="s">
        <v>103</v>
      </c>
      <c r="B43" s="1410" t="s">
        <v>83</v>
      </c>
      <c r="C43" s="1410" t="s">
        <v>85</v>
      </c>
      <c r="D43" s="1410" t="s">
        <v>87</v>
      </c>
      <c r="E43" s="1410" t="s">
        <v>89</v>
      </c>
      <c r="F43" s="1410" t="s">
        <v>91</v>
      </c>
      <c r="G43" s="1410" t="s">
        <v>93</v>
      </c>
      <c r="H43" s="1410" t="s">
        <v>107</v>
      </c>
      <c r="I43" s="1410" t="s">
        <v>104</v>
      </c>
      <c r="J43" s="1410" t="s">
        <v>105</v>
      </c>
      <c r="K43" s="40" t="s">
        <v>106</v>
      </c>
      <c r="L43" s="40" t="s">
        <v>107</v>
      </c>
    </row>
    <row r="44" spans="1:15">
      <c r="A44" s="49" t="s">
        <v>111</v>
      </c>
      <c r="B44" s="11">
        <v>0.4</v>
      </c>
      <c r="C44" s="11">
        <v>0.4</v>
      </c>
      <c r="D44" s="11">
        <v>0.9</v>
      </c>
      <c r="E44" s="11">
        <v>0.85</v>
      </c>
      <c r="F44" s="11">
        <v>0.8</v>
      </c>
      <c r="G44" s="11">
        <v>0.4</v>
      </c>
      <c r="H44" s="11">
        <v>0.9</v>
      </c>
      <c r="I44" s="11">
        <v>1</v>
      </c>
      <c r="J44" s="11">
        <v>1</v>
      </c>
      <c r="K44" s="11">
        <v>1</v>
      </c>
      <c r="L44" s="11">
        <v>0.9</v>
      </c>
    </row>
    <row r="45" spans="1:15">
      <c r="A45" s="49" t="s">
        <v>150</v>
      </c>
      <c r="B45" s="28">
        <v>0.15</v>
      </c>
      <c r="C45" s="29">
        <v>0.2</v>
      </c>
      <c r="D45" s="29">
        <v>0.4</v>
      </c>
      <c r="E45" s="28">
        <v>0.43</v>
      </c>
      <c r="F45" s="28">
        <v>0.24</v>
      </c>
      <c r="G45" s="28">
        <v>0.24</v>
      </c>
      <c r="H45" s="12">
        <v>0</v>
      </c>
      <c r="I45" s="12" t="s">
        <v>108</v>
      </c>
      <c r="J45" s="12" t="s">
        <v>108</v>
      </c>
      <c r="K45" s="12" t="s">
        <v>108</v>
      </c>
      <c r="L45" s="12" t="s">
        <v>108</v>
      </c>
    </row>
    <row r="46" spans="1:15">
      <c r="A46" s="49" t="s">
        <v>151</v>
      </c>
      <c r="B46" s="12">
        <v>0.38</v>
      </c>
      <c r="C46" s="12">
        <v>0.49</v>
      </c>
      <c r="D46" s="12">
        <v>0.44</v>
      </c>
      <c r="E46" s="11">
        <v>0.5</v>
      </c>
      <c r="F46" s="11">
        <v>0.3</v>
      </c>
      <c r="G46" s="11">
        <v>0.6</v>
      </c>
      <c r="H46" s="12" t="s">
        <v>108</v>
      </c>
      <c r="I46" s="12" t="s">
        <v>108</v>
      </c>
      <c r="J46" s="12" t="s">
        <v>108</v>
      </c>
      <c r="K46" s="12" t="s">
        <v>108</v>
      </c>
      <c r="L46" s="12" t="s">
        <v>108</v>
      </c>
    </row>
    <row r="47" spans="1:15">
      <c r="A47" s="49" t="s">
        <v>109</v>
      </c>
      <c r="B47" s="12">
        <v>0.38</v>
      </c>
      <c r="C47" s="12">
        <v>0.49</v>
      </c>
      <c r="D47" s="12">
        <v>0.46</v>
      </c>
      <c r="E47" s="11">
        <v>0.5</v>
      </c>
      <c r="F47" s="11">
        <v>0.5</v>
      </c>
      <c r="G47" s="11">
        <v>0.7</v>
      </c>
      <c r="H47" s="12">
        <v>0.03</v>
      </c>
      <c r="I47" s="12">
        <v>0.75</v>
      </c>
      <c r="J47" s="11">
        <v>0</v>
      </c>
      <c r="K47" s="11">
        <v>0</v>
      </c>
      <c r="L47" s="12">
        <v>0.03</v>
      </c>
    </row>
    <row r="48" spans="1:15">
      <c r="A48" s="49" t="s">
        <v>110</v>
      </c>
      <c r="B48" s="1408">
        <v>0</v>
      </c>
      <c r="C48" s="1408">
        <v>0</v>
      </c>
      <c r="D48" s="1408">
        <v>0.01</v>
      </c>
      <c r="E48" s="1408">
        <v>0</v>
      </c>
      <c r="F48" s="1408">
        <v>0.2</v>
      </c>
      <c r="G48" s="1408">
        <v>0.1</v>
      </c>
      <c r="H48" s="1408">
        <v>1</v>
      </c>
      <c r="I48" s="11">
        <v>1</v>
      </c>
      <c r="J48" s="11">
        <v>0</v>
      </c>
      <c r="K48" s="11">
        <v>0</v>
      </c>
      <c r="L48" s="11">
        <v>1</v>
      </c>
    </row>
    <row r="49" spans="1:20">
      <c r="A49" s="16"/>
      <c r="B49" s="1409"/>
      <c r="C49" s="1409"/>
      <c r="D49" s="1409"/>
      <c r="E49" s="1409"/>
      <c r="F49" s="1409"/>
      <c r="G49" s="1409"/>
      <c r="H49" s="1409"/>
    </row>
    <row r="50" spans="1:20">
      <c r="B50" s="286"/>
      <c r="C50" s="286"/>
      <c r="D50" s="286"/>
      <c r="E50" s="286"/>
      <c r="F50" s="286"/>
      <c r="G50" s="286"/>
      <c r="H50" s="286"/>
      <c r="I50" s="420"/>
      <c r="J50" s="420"/>
      <c r="K50" s="420"/>
      <c r="L50" s="420"/>
      <c r="M50" s="420"/>
      <c r="N50" s="420"/>
      <c r="O50" s="420"/>
      <c r="P50" s="420"/>
      <c r="Q50" s="420"/>
      <c r="R50" s="420"/>
      <c r="S50" s="420"/>
      <c r="T50" s="198"/>
    </row>
    <row r="51" spans="1:20">
      <c r="A51" s="27" t="s">
        <v>112</v>
      </c>
      <c r="G51" s="198"/>
      <c r="H51" s="336"/>
      <c r="I51" s="34"/>
      <c r="J51" s="421"/>
      <c r="K51" s="421"/>
      <c r="L51" s="34"/>
      <c r="M51" s="34"/>
      <c r="N51" s="34"/>
      <c r="O51" s="34"/>
      <c r="P51" s="203"/>
      <c r="Q51" s="203"/>
      <c r="R51" s="203"/>
      <c r="S51" s="203"/>
      <c r="T51" s="198"/>
    </row>
    <row r="52" spans="1:20">
      <c r="A52" s="27"/>
      <c r="G52" s="198"/>
      <c r="H52" s="336"/>
      <c r="I52" s="203"/>
      <c r="J52" s="203"/>
      <c r="K52" s="203"/>
      <c r="L52" s="420"/>
      <c r="M52" s="420"/>
      <c r="N52" s="420"/>
      <c r="O52" s="203"/>
      <c r="P52" s="203"/>
      <c r="Q52" s="203"/>
      <c r="R52" s="203"/>
      <c r="S52" s="203"/>
      <c r="T52" s="198"/>
    </row>
    <row r="53" spans="1:20">
      <c r="A53" s="50" t="s">
        <v>113</v>
      </c>
      <c r="B53" s="51" t="s">
        <v>120</v>
      </c>
      <c r="C53" s="51" t="s">
        <v>123</v>
      </c>
      <c r="D53" s="51" t="s">
        <v>124</v>
      </c>
      <c r="E53" s="51" t="s">
        <v>125</v>
      </c>
      <c r="G53" s="198"/>
      <c r="H53" s="336"/>
      <c r="I53" s="203"/>
      <c r="J53" s="203"/>
      <c r="K53" s="203"/>
      <c r="L53" s="420"/>
      <c r="M53" s="420"/>
      <c r="N53" s="420"/>
      <c r="O53" s="203"/>
      <c r="P53" s="203"/>
      <c r="Q53" s="420"/>
      <c r="R53" s="420"/>
      <c r="S53" s="203"/>
      <c r="T53" s="198"/>
    </row>
    <row r="54" spans="1:20" ht="30">
      <c r="A54" s="39" t="s">
        <v>114</v>
      </c>
      <c r="B54" s="31">
        <v>0.15</v>
      </c>
      <c r="C54" s="32" t="s">
        <v>108</v>
      </c>
      <c r="D54" s="31">
        <v>0.15</v>
      </c>
      <c r="E54" s="33">
        <v>0.6</v>
      </c>
      <c r="G54" s="198"/>
      <c r="H54" s="336"/>
      <c r="I54" s="420"/>
      <c r="J54" s="420"/>
      <c r="K54" s="420"/>
      <c r="L54" s="420"/>
      <c r="M54" s="420"/>
      <c r="N54" s="420"/>
      <c r="O54" s="420"/>
      <c r="P54" s="420"/>
      <c r="Q54" s="420"/>
      <c r="R54" s="420"/>
      <c r="S54" s="420"/>
      <c r="T54" s="198"/>
    </row>
    <row r="55" spans="1:20">
      <c r="A55" s="39" t="s">
        <v>115</v>
      </c>
      <c r="B55" s="31">
        <v>0.4</v>
      </c>
      <c r="C55" s="32">
        <v>0.16</v>
      </c>
      <c r="D55" s="31">
        <v>0.4</v>
      </c>
      <c r="E55" s="31">
        <v>0.2</v>
      </c>
      <c r="G55" s="198"/>
      <c r="H55" s="198"/>
      <c r="I55" s="198"/>
      <c r="J55" s="198"/>
      <c r="K55" s="198"/>
      <c r="L55" s="198"/>
      <c r="M55" s="198"/>
      <c r="N55" s="198"/>
      <c r="O55" s="198"/>
      <c r="P55" s="198"/>
      <c r="Q55" s="198"/>
      <c r="R55" s="198"/>
      <c r="S55" s="198"/>
      <c r="T55" s="198"/>
    </row>
    <row r="56" spans="1:20">
      <c r="A56" s="39" t="s">
        <v>116</v>
      </c>
      <c r="B56" s="31">
        <v>0.43</v>
      </c>
      <c r="C56" s="32" t="s">
        <v>108</v>
      </c>
      <c r="D56" s="31">
        <v>0.43</v>
      </c>
      <c r="E56" s="31">
        <v>0.15</v>
      </c>
      <c r="G56" s="198"/>
      <c r="H56" s="198"/>
      <c r="I56" s="198"/>
      <c r="J56" s="198"/>
      <c r="K56" s="198"/>
      <c r="L56" s="198"/>
      <c r="M56" s="198"/>
      <c r="N56" s="198"/>
      <c r="O56" s="198"/>
      <c r="P56" s="198"/>
      <c r="Q56" s="198"/>
      <c r="R56" s="198"/>
      <c r="S56" s="198"/>
      <c r="T56" s="198"/>
    </row>
    <row r="57" spans="1:20">
      <c r="A57" s="39" t="s">
        <v>117</v>
      </c>
      <c r="B57" s="31">
        <v>0.4</v>
      </c>
      <c r="C57" s="32">
        <v>0.01</v>
      </c>
      <c r="D57" s="31">
        <v>0.41</v>
      </c>
      <c r="E57" s="31">
        <v>0.1</v>
      </c>
    </row>
    <row r="58" spans="1:20">
      <c r="A58" s="39" t="s">
        <v>118</v>
      </c>
      <c r="B58" s="31" t="s">
        <v>108</v>
      </c>
      <c r="C58" s="32">
        <v>0.8</v>
      </c>
      <c r="D58" s="31">
        <v>0.8</v>
      </c>
      <c r="E58" s="31">
        <v>0</v>
      </c>
    </row>
    <row r="59" spans="1:20">
      <c r="A59" s="39" t="s">
        <v>95</v>
      </c>
      <c r="B59" s="31" t="s">
        <v>121</v>
      </c>
      <c r="C59" s="32">
        <v>0.17</v>
      </c>
      <c r="D59" s="31">
        <v>0.56000000000000005</v>
      </c>
      <c r="E59" s="31">
        <v>0.16</v>
      </c>
      <c r="F59" s="13" t="s">
        <v>122</v>
      </c>
    </row>
    <row r="60" spans="1:20">
      <c r="A60" s="39" t="s">
        <v>119</v>
      </c>
      <c r="B60" s="31">
        <v>0.04</v>
      </c>
      <c r="C60" s="32">
        <v>0.2</v>
      </c>
      <c r="D60" s="31">
        <v>0.24</v>
      </c>
      <c r="E60" s="31">
        <v>0</v>
      </c>
    </row>
    <row r="61" spans="1:20">
      <c r="A61" s="39" t="s">
        <v>9</v>
      </c>
      <c r="B61" s="31">
        <v>0.01</v>
      </c>
      <c r="C61" s="32">
        <v>0.03</v>
      </c>
      <c r="D61" s="31">
        <v>0.04</v>
      </c>
      <c r="E61" s="31">
        <v>0.1</v>
      </c>
    </row>
    <row r="62" spans="1:20">
      <c r="A62" s="50" t="s">
        <v>152</v>
      </c>
      <c r="E62" s="14"/>
    </row>
    <row r="63" spans="1:20">
      <c r="A63" s="39" t="s">
        <v>153</v>
      </c>
      <c r="B63" s="12" t="s">
        <v>155</v>
      </c>
      <c r="C63" s="12" t="s">
        <v>157</v>
      </c>
      <c r="D63" s="12" t="s">
        <v>155</v>
      </c>
      <c r="E63" s="30" t="s">
        <v>158</v>
      </c>
      <c r="F63" s="13" t="s">
        <v>156</v>
      </c>
    </row>
    <row r="64" spans="1:20">
      <c r="A64" s="39" t="s">
        <v>154</v>
      </c>
      <c r="B64" s="12">
        <v>0.15</v>
      </c>
      <c r="C64" s="33">
        <v>0.25</v>
      </c>
      <c r="D64" s="36">
        <v>0.4</v>
      </c>
      <c r="E64" s="36">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5"/>
  <cols>
    <col min="2" max="2" width="15.7109375" customWidth="1"/>
    <col min="3" max="3" width="17.425781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AM41"/>
  <sheetViews>
    <sheetView tabSelected="1" topLeftCell="A11" workbookViewId="0">
      <selection activeCell="D42" sqref="D42"/>
    </sheetView>
  </sheetViews>
  <sheetFormatPr defaultRowHeight="15"/>
  <sheetData>
    <row r="6" spans="1:39">
      <c r="A6" t="s">
        <v>218</v>
      </c>
    </row>
    <row r="7" spans="1:39">
      <c r="A7" s="1167" t="s">
        <v>687</v>
      </c>
      <c r="B7" s="1167" t="s">
        <v>688</v>
      </c>
      <c r="C7" s="1167" t="s">
        <v>689</v>
      </c>
      <c r="D7" s="1167" t="s">
        <v>690</v>
      </c>
      <c r="E7" s="1167" t="s">
        <v>691</v>
      </c>
      <c r="F7" s="1167" t="s">
        <v>692</v>
      </c>
      <c r="G7" s="1167" t="s">
        <v>693</v>
      </c>
      <c r="H7" s="1167" t="s">
        <v>694</v>
      </c>
      <c r="I7" s="1167" t="s">
        <v>695</v>
      </c>
      <c r="J7" s="1167" t="s">
        <v>696</v>
      </c>
      <c r="K7" s="1167" t="s">
        <v>697</v>
      </c>
      <c r="L7" s="1167" t="s">
        <v>698</v>
      </c>
      <c r="M7" s="1167" t="s">
        <v>699</v>
      </c>
      <c r="N7" s="1167" t="s">
        <v>700</v>
      </c>
      <c r="O7" s="1167" t="s">
        <v>701</v>
      </c>
      <c r="P7" s="1167" t="s">
        <v>702</v>
      </c>
      <c r="Q7" s="1167" t="s">
        <v>703</v>
      </c>
      <c r="R7" s="1167" t="s">
        <v>704</v>
      </c>
      <c r="S7" s="1167" t="s">
        <v>705</v>
      </c>
      <c r="T7" s="1167" t="s">
        <v>706</v>
      </c>
      <c r="U7" s="1167" t="s">
        <v>707</v>
      </c>
      <c r="V7" s="1167" t="s">
        <v>708</v>
      </c>
      <c r="W7" s="1167" t="s">
        <v>709</v>
      </c>
      <c r="X7" s="1167" t="s">
        <v>710</v>
      </c>
      <c r="Y7" s="1167" t="s">
        <v>711</v>
      </c>
      <c r="Z7" s="1167" t="s">
        <v>712</v>
      </c>
      <c r="AA7" s="1167" t="s">
        <v>713</v>
      </c>
      <c r="AB7" s="1167" t="s">
        <v>714</v>
      </c>
      <c r="AC7" s="1167" t="s">
        <v>715</v>
      </c>
      <c r="AD7" s="1167" t="s">
        <v>716</v>
      </c>
      <c r="AE7" s="1167" t="s">
        <v>717</v>
      </c>
      <c r="AF7" s="1167" t="s">
        <v>718</v>
      </c>
      <c r="AG7" s="1167" t="s">
        <v>719</v>
      </c>
      <c r="AH7" s="1167" t="s">
        <v>720</v>
      </c>
      <c r="AI7" s="1167" t="s">
        <v>721</v>
      </c>
      <c r="AJ7" s="1167" t="s">
        <v>722</v>
      </c>
      <c r="AK7" s="1167" t="s">
        <v>723</v>
      </c>
      <c r="AL7" s="1167" t="s">
        <v>724</v>
      </c>
      <c r="AM7" s="1167" t="s">
        <v>725</v>
      </c>
    </row>
    <row r="8" spans="1:39">
      <c r="A8">
        <v>52325.432882070083</v>
      </c>
      <c r="B8">
        <v>53104.386458423345</v>
      </c>
      <c r="C8">
        <v>53912.365691429273</v>
      </c>
      <c r="D8">
        <v>54750.491457321114</v>
      </c>
      <c r="E8">
        <v>55619.940469824825</v>
      </c>
      <c r="F8">
        <v>56521.948041648095</v>
      </c>
      <c r="G8">
        <v>57436.000617299658</v>
      </c>
      <c r="H8">
        <v>58364.834921819442</v>
      </c>
      <c r="I8">
        <v>59308.69</v>
      </c>
      <c r="J8">
        <v>59991.580449204266</v>
      </c>
      <c r="K8">
        <v>60682.333816399376</v>
      </c>
      <c r="L8">
        <v>61381.040636574369</v>
      </c>
      <c r="M8">
        <v>62087.792487153696</v>
      </c>
      <c r="N8">
        <v>62802.682000000023</v>
      </c>
      <c r="O8">
        <v>63421.065342005146</v>
      </c>
      <c r="P8">
        <v>64045.537563425794</v>
      </c>
      <c r="Q8">
        <v>64676.158618096451</v>
      </c>
      <c r="R8">
        <v>65312.989050183925</v>
      </c>
      <c r="S8">
        <v>65956.09</v>
      </c>
      <c r="T8">
        <v>66518.97719068767</v>
      </c>
      <c r="U8">
        <v>67086.668213583107</v>
      </c>
      <c r="V8">
        <v>67659.20406589545</v>
      </c>
      <c r="W8">
        <v>68236.62609471516</v>
      </c>
      <c r="X8">
        <v>68818.97600000001</v>
      </c>
      <c r="Y8">
        <v>69322.810489383541</v>
      </c>
      <c r="Z8">
        <v>69830.333629884059</v>
      </c>
      <c r="AA8">
        <v>70341.572426693441</v>
      </c>
      <c r="AB8">
        <v>70856.554082712813</v>
      </c>
      <c r="AC8">
        <v>71375.305999999997</v>
      </c>
      <c r="AD8">
        <v>71818.612994947311</v>
      </c>
      <c r="AE8">
        <v>72264.673338395412</v>
      </c>
      <c r="AF8">
        <v>72713.504131197798</v>
      </c>
      <c r="AG8">
        <v>73165.122580420139</v>
      </c>
      <c r="AH8">
        <v>73619.545999999973</v>
      </c>
      <c r="AI8">
        <v>73995.362001779533</v>
      </c>
      <c r="AJ8">
        <v>74373.096484110356</v>
      </c>
      <c r="AK8">
        <v>74752.759240528656</v>
      </c>
      <c r="AL8">
        <v>75134.360114565105</v>
      </c>
      <c r="AM8">
        <v>75517.908999999985</v>
      </c>
    </row>
    <row r="14" spans="1:39">
      <c r="A14" t="s">
        <v>390</v>
      </c>
    </row>
    <row r="15" spans="1:39">
      <c r="A15" s="1167" t="s">
        <v>687</v>
      </c>
      <c r="B15" s="1167" t="s">
        <v>688</v>
      </c>
      <c r="C15" s="1167" t="s">
        <v>689</v>
      </c>
      <c r="D15" s="1167" t="s">
        <v>690</v>
      </c>
      <c r="E15" s="1167" t="s">
        <v>691</v>
      </c>
      <c r="F15" s="1167" t="s">
        <v>692</v>
      </c>
      <c r="G15" s="1167" t="s">
        <v>693</v>
      </c>
      <c r="H15" s="1167" t="s">
        <v>694</v>
      </c>
      <c r="I15" s="1167" t="s">
        <v>695</v>
      </c>
      <c r="J15" s="1167" t="s">
        <v>696</v>
      </c>
      <c r="K15" s="1167" t="s">
        <v>697</v>
      </c>
      <c r="L15" s="1167" t="s">
        <v>698</v>
      </c>
      <c r="M15" s="1167" t="s">
        <v>699</v>
      </c>
      <c r="N15" s="1167" t="s">
        <v>700</v>
      </c>
      <c r="O15" s="1167" t="s">
        <v>701</v>
      </c>
      <c r="P15" s="1167" t="s">
        <v>702</v>
      </c>
      <c r="Q15" s="1167" t="s">
        <v>703</v>
      </c>
      <c r="R15" s="1167" t="s">
        <v>704</v>
      </c>
      <c r="S15" s="1167" t="s">
        <v>705</v>
      </c>
      <c r="T15" s="1167" t="s">
        <v>706</v>
      </c>
      <c r="U15" s="1167" t="s">
        <v>707</v>
      </c>
      <c r="V15" s="1167" t="s">
        <v>708</v>
      </c>
      <c r="W15" s="1167" t="s">
        <v>709</v>
      </c>
      <c r="X15" s="1167"/>
      <c r="Y15" s="1167"/>
      <c r="Z15" s="1167"/>
      <c r="AA15" s="1167"/>
      <c r="AB15" s="1167"/>
      <c r="AC15" s="1167"/>
      <c r="AD15" s="1167"/>
      <c r="AE15" s="1167"/>
      <c r="AF15" s="1167"/>
      <c r="AG15" s="1167"/>
      <c r="AH15" s="1167"/>
      <c r="AI15" s="1167"/>
      <c r="AJ15" s="1167"/>
      <c r="AK15" s="1167"/>
      <c r="AL15" s="1167"/>
      <c r="AM15" s="1167"/>
    </row>
    <row r="16" spans="1:39">
      <c r="A16">
        <v>2893.5650000000564</v>
      </c>
      <c r="B16">
        <v>2961.4325615696321</v>
      </c>
      <c r="C16">
        <v>3012.6472972705333</v>
      </c>
      <c r="D16">
        <v>3039.8973040590672</v>
      </c>
      <c r="E16">
        <v>3067.3857984189563</v>
      </c>
      <c r="F16">
        <v>3107.1496601967842</v>
      </c>
      <c r="G16">
        <v>3150.6223338999603</v>
      </c>
      <c r="H16">
        <v>3168.3184457469288</v>
      </c>
      <c r="I16">
        <v>2944.9182124750064</v>
      </c>
      <c r="J16">
        <v>3018.4380966643439</v>
      </c>
      <c r="K16">
        <v>3086.0582602351519</v>
      </c>
      <c r="L16">
        <v>3153.9083559128044</v>
      </c>
      <c r="M16">
        <v>3232.6126442228219</v>
      </c>
      <c r="N16">
        <v>3311.8439930677405</v>
      </c>
      <c r="O16">
        <v>3393.1756913606432</v>
      </c>
      <c r="P16">
        <v>3472.5774012476563</v>
      </c>
      <c r="Q16">
        <v>3555.7273448150845</v>
      </c>
      <c r="R16">
        <v>3635.303730869829</v>
      </c>
      <c r="S16">
        <v>3717.2759118719223</v>
      </c>
      <c r="T16">
        <v>3813.477009093895</v>
      </c>
      <c r="U16">
        <v>3916.9054384503629</v>
      </c>
      <c r="V16">
        <v>4023.8304695138613</v>
      </c>
      <c r="W16">
        <v>4047.8499716455863</v>
      </c>
    </row>
    <row r="23" spans="1:39">
      <c r="A23" t="s">
        <v>685</v>
      </c>
    </row>
    <row r="24" spans="1:39">
      <c r="A24" s="1167" t="s">
        <v>687</v>
      </c>
      <c r="B24" s="1167" t="s">
        <v>688</v>
      </c>
      <c r="C24" s="1167" t="s">
        <v>689</v>
      </c>
      <c r="D24" s="1167" t="s">
        <v>690</v>
      </c>
      <c r="E24" s="1167" t="s">
        <v>691</v>
      </c>
      <c r="F24" s="1167" t="s">
        <v>692</v>
      </c>
      <c r="G24" s="1167" t="s">
        <v>693</v>
      </c>
      <c r="H24" s="1167" t="s">
        <v>694</v>
      </c>
      <c r="I24" s="1167" t="s">
        <v>695</v>
      </c>
      <c r="J24" s="1167" t="s">
        <v>696</v>
      </c>
      <c r="K24" s="1167" t="s">
        <v>697</v>
      </c>
      <c r="L24" s="1167" t="s">
        <v>698</v>
      </c>
      <c r="M24" s="1167" t="s">
        <v>699</v>
      </c>
      <c r="N24" s="1167" t="s">
        <v>700</v>
      </c>
      <c r="O24" s="1167" t="s">
        <v>701</v>
      </c>
      <c r="P24" s="1167" t="s">
        <v>702</v>
      </c>
      <c r="Q24" s="1167" t="s">
        <v>703</v>
      </c>
      <c r="R24" s="1167" t="s">
        <v>704</v>
      </c>
      <c r="S24" s="1167" t="s">
        <v>705</v>
      </c>
      <c r="T24" s="1167" t="s">
        <v>706</v>
      </c>
      <c r="U24" s="1167" t="s">
        <v>707</v>
      </c>
      <c r="V24" s="1167" t="s">
        <v>708</v>
      </c>
      <c r="W24" s="1167" t="s">
        <v>709</v>
      </c>
      <c r="X24" s="1167" t="s">
        <v>710</v>
      </c>
      <c r="Y24" s="1167" t="s">
        <v>711</v>
      </c>
      <c r="Z24" s="1167" t="s">
        <v>712</v>
      </c>
      <c r="AA24" s="1167" t="s">
        <v>713</v>
      </c>
      <c r="AB24" s="1167" t="s">
        <v>714</v>
      </c>
      <c r="AC24" s="1167" t="s">
        <v>715</v>
      </c>
      <c r="AD24" s="1167" t="s">
        <v>716</v>
      </c>
      <c r="AE24" s="1167" t="s">
        <v>717</v>
      </c>
      <c r="AF24" s="1167" t="s">
        <v>718</v>
      </c>
      <c r="AG24" s="1167" t="s">
        <v>719</v>
      </c>
      <c r="AH24" s="1167" t="s">
        <v>720</v>
      </c>
      <c r="AI24" s="1167" t="s">
        <v>721</v>
      </c>
      <c r="AJ24" s="1167" t="s">
        <v>722</v>
      </c>
      <c r="AK24" s="1167" t="s">
        <v>723</v>
      </c>
      <c r="AL24" s="1167" t="s">
        <v>724</v>
      </c>
      <c r="AM24" s="1167" t="s">
        <v>725</v>
      </c>
    </row>
    <row r="25" spans="1:39">
      <c r="A25">
        <v>3140.5910958195268</v>
      </c>
      <c r="B25">
        <v>3080.3406179677459</v>
      </c>
      <c r="C25">
        <v>3020.0901401159654</v>
      </c>
      <c r="D25">
        <v>2959.8396622641844</v>
      </c>
      <c r="E25">
        <v>2939.5780675992014</v>
      </c>
      <c r="F25">
        <v>2894.1184893000745</v>
      </c>
      <c r="G25">
        <v>2914.3094211223683</v>
      </c>
      <c r="H25">
        <v>2802.5302450581435</v>
      </c>
      <c r="I25">
        <v>2634.9201113746994</v>
      </c>
      <c r="J25">
        <v>2655.3944486431797</v>
      </c>
      <c r="K25">
        <v>2649.1956968536192</v>
      </c>
      <c r="L25">
        <v>2637.9430680766081</v>
      </c>
      <c r="M25">
        <v>2681.8084691099421</v>
      </c>
      <c r="N25">
        <v>2709.2684606873313</v>
      </c>
      <c r="O25">
        <v>2690.619997240276</v>
      </c>
      <c r="P25">
        <v>2642.118987678431</v>
      </c>
      <c r="Q25">
        <v>2590.9158406142274</v>
      </c>
      <c r="R25">
        <v>2490.5379336364122</v>
      </c>
      <c r="S25">
        <v>2406.9816202413535</v>
      </c>
      <c r="T25">
        <v>2325.4818167320564</v>
      </c>
      <c r="U25">
        <v>2294.6039839757477</v>
      </c>
      <c r="V25">
        <v>2245.0915804079359</v>
      </c>
      <c r="W25">
        <v>2214.1941810064168</v>
      </c>
      <c r="X25">
        <v>2210.23100877962</v>
      </c>
      <c r="Y25">
        <v>1883.5066254593028</v>
      </c>
      <c r="Z25">
        <v>1592.0613539312537</v>
      </c>
      <c r="AA25">
        <v>1486.1499635439707</v>
      </c>
      <c r="AB25">
        <v>1380.2385731566872</v>
      </c>
      <c r="AC25">
        <v>1274.3271827694034</v>
      </c>
      <c r="AD25">
        <v>1181.2390873312504</v>
      </c>
      <c r="AE25">
        <v>1088.1509918930974</v>
      </c>
      <c r="AF25">
        <v>995.06289645494394</v>
      </c>
      <c r="AG25">
        <v>901.97480101679093</v>
      </c>
      <c r="AH25">
        <v>808.8867055786377</v>
      </c>
      <c r="AI25">
        <v>647.12784446286014</v>
      </c>
      <c r="AJ25">
        <v>485.36898334708229</v>
      </c>
      <c r="AK25">
        <v>323.61012223130456</v>
      </c>
      <c r="AL25">
        <v>161.85126111552688</v>
      </c>
      <c r="AM25">
        <v>9.239999974919999E-2</v>
      </c>
    </row>
    <row r="40" spans="1:5">
      <c r="A40" s="1167" t="s">
        <v>819</v>
      </c>
      <c r="B40" s="1167" t="s">
        <v>820</v>
      </c>
      <c r="C40" s="1167" t="s">
        <v>821</v>
      </c>
      <c r="D40" s="1167" t="s">
        <v>822</v>
      </c>
      <c r="E40" s="1167" t="s">
        <v>826</v>
      </c>
    </row>
    <row r="41" spans="1:5">
      <c r="A41">
        <v>-1</v>
      </c>
      <c r="B41">
        <v>-1</v>
      </c>
      <c r="C41">
        <v>-1</v>
      </c>
      <c r="D41">
        <v>3</v>
      </c>
      <c r="E41">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B2" sqref="B2"/>
    </sheetView>
  </sheetViews>
  <sheetFormatPr defaultRowHeight="15"/>
  <cols>
    <col min="1" max="1" width="37.7109375" bestFit="1" customWidth="1"/>
  </cols>
  <sheetData>
    <row r="1" spans="1:45">
      <c r="A1" t="s">
        <v>671</v>
      </c>
      <c r="B1" s="1166">
        <f>Drivers!D41</f>
        <v>3</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15788.037491602758</v>
      </c>
      <c r="AR3">
        <v>16842.875377232984</v>
      </c>
      <c r="AS3" s="1703">
        <f ca="1">AQ3/AR3</f>
        <v>0.93737186424498031</v>
      </c>
    </row>
    <row r="4" spans="1:45">
      <c r="H4">
        <v>3</v>
      </c>
      <c r="I4">
        <f>I3-I2+I3</f>
        <v>137</v>
      </c>
      <c r="J4" t="str">
        <f t="shared" si="0"/>
        <v>W4BCH4</v>
      </c>
      <c r="K4" t="s">
        <v>678</v>
      </c>
      <c r="L4" t="s">
        <v>188</v>
      </c>
      <c r="M4">
        <v>2</v>
      </c>
      <c r="N4">
        <v>2</v>
      </c>
      <c r="AM4" s="10" t="s">
        <v>674</v>
      </c>
      <c r="AN4" t="s">
        <v>679</v>
      </c>
      <c r="AO4" t="s">
        <v>190</v>
      </c>
      <c r="AP4">
        <v>1</v>
      </c>
      <c r="AQ4">
        <f ca="1">AP4*AA16</f>
        <v>10.253959437125518</v>
      </c>
    </row>
    <row r="5" spans="1:45">
      <c r="J5" t="str">
        <f t="shared" si="0"/>
        <v>W4C2CH4</v>
      </c>
      <c r="K5" t="s">
        <v>679</v>
      </c>
      <c r="L5" t="s">
        <v>188</v>
      </c>
      <c r="M5">
        <v>6</v>
      </c>
      <c r="N5">
        <v>1</v>
      </c>
      <c r="AM5" s="10" t="s">
        <v>673</v>
      </c>
      <c r="AN5" t="s">
        <v>677</v>
      </c>
      <c r="AO5" t="s">
        <v>188</v>
      </c>
      <c r="AP5">
        <v>21</v>
      </c>
      <c r="AQ5">
        <f t="shared" ref="AQ5:AQ11" ca="1" si="1">AP5*AA17</f>
        <v>9361.7969880178971</v>
      </c>
    </row>
    <row r="6" spans="1:45">
      <c r="J6" t="str">
        <f t="shared" si="0"/>
        <v>W4D1CH4</v>
      </c>
      <c r="K6" t="s">
        <v>680</v>
      </c>
      <c r="L6" t="s">
        <v>188</v>
      </c>
      <c r="M6">
        <v>8</v>
      </c>
      <c r="N6">
        <v>1</v>
      </c>
      <c r="AM6" s="10" t="s">
        <v>676</v>
      </c>
      <c r="AN6" t="s">
        <v>678</v>
      </c>
      <c r="AO6" t="s">
        <v>188</v>
      </c>
      <c r="AP6">
        <v>21</v>
      </c>
      <c r="AQ6">
        <f t="shared" ca="1" si="1"/>
        <v>362.35470426697481</v>
      </c>
    </row>
    <row r="7" spans="1:45">
      <c r="J7" t="str">
        <f t="shared" si="0"/>
        <v>W4BN2O</v>
      </c>
      <c r="K7" t="s">
        <v>678</v>
      </c>
      <c r="L7" t="s">
        <v>191</v>
      </c>
      <c r="M7">
        <v>4</v>
      </c>
      <c r="N7">
        <v>1</v>
      </c>
      <c r="AM7" s="10" t="s">
        <v>674</v>
      </c>
      <c r="AN7" t="s">
        <v>679</v>
      </c>
      <c r="AO7" t="s">
        <v>188</v>
      </c>
      <c r="AP7">
        <v>21</v>
      </c>
      <c r="AQ7">
        <f t="shared" ca="1" si="1"/>
        <v>72.453011857886565</v>
      </c>
    </row>
    <row r="8" spans="1:45">
      <c r="J8" t="str">
        <f t="shared" si="0"/>
        <v>W4C2N2O</v>
      </c>
      <c r="K8" t="s">
        <v>679</v>
      </c>
      <c r="L8" t="s">
        <v>191</v>
      </c>
      <c r="M8">
        <v>7</v>
      </c>
      <c r="N8">
        <v>1</v>
      </c>
      <c r="AM8" s="10" t="s">
        <v>675</v>
      </c>
      <c r="AN8" t="s">
        <v>680</v>
      </c>
      <c r="AO8" t="s">
        <v>188</v>
      </c>
      <c r="AP8">
        <v>21</v>
      </c>
      <c r="AQ8">
        <f t="shared" ca="1" si="1"/>
        <v>4623.1527808041728</v>
      </c>
    </row>
    <row r="9" spans="1:45">
      <c r="J9" t="str">
        <f t="shared" si="0"/>
        <v>W4D1N2O</v>
      </c>
      <c r="K9" t="s">
        <v>680</v>
      </c>
      <c r="L9" t="s">
        <v>191</v>
      </c>
      <c r="M9">
        <v>9</v>
      </c>
      <c r="N9">
        <v>1</v>
      </c>
      <c r="AM9" s="10" t="s">
        <v>676</v>
      </c>
      <c r="AN9" t="s">
        <v>678</v>
      </c>
      <c r="AO9" t="s">
        <v>191</v>
      </c>
      <c r="AP9">
        <v>310</v>
      </c>
      <c r="AQ9">
        <f t="shared" ca="1" si="1"/>
        <v>267.45228172086235</v>
      </c>
    </row>
    <row r="10" spans="1:45">
      <c r="AM10" s="10" t="s">
        <v>674</v>
      </c>
      <c r="AN10" t="s">
        <v>679</v>
      </c>
      <c r="AO10" t="s">
        <v>191</v>
      </c>
      <c r="AP10">
        <v>310</v>
      </c>
      <c r="AQ10">
        <f t="shared" ca="1" si="1"/>
        <v>14.889864084061417</v>
      </c>
    </row>
    <row r="11" spans="1:45">
      <c r="AM11" s="10" t="s">
        <v>675</v>
      </c>
      <c r="AN11" t="s">
        <v>680</v>
      </c>
      <c r="AO11" t="s">
        <v>191</v>
      </c>
      <c r="AP11">
        <v>310</v>
      </c>
      <c r="AQ11">
        <f t="shared" ca="1" si="1"/>
        <v>1075.6839014137802</v>
      </c>
    </row>
    <row r="15" spans="1:45">
      <c r="B15" s="1167"/>
      <c r="C15" s="1167"/>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s="10" t="s">
        <v>674</v>
      </c>
      <c r="B16" t="s">
        <v>679</v>
      </c>
      <c r="C16" t="s">
        <v>190</v>
      </c>
      <c r="D16" s="1165">
        <f ca="1">SUM(OFFSET('Output data (results)'!$B$10,D$15-2000,INDEX($M$2:$M$9,MATCH($B16&amp;$C16,$J$2:$J$9,0)),1,INDEX($N$2:$N$9,MATCH($B16&amp;$C16,$J$2:$J$9,0))))</f>
        <v>32.155652457135474</v>
      </c>
      <c r="E16" s="1165">
        <f ca="1">SUM(OFFSET('Output data (results)'!$B$10,E$15-2000,INDEX($M$2:$M$9,MATCH($B16&amp;$C16,$J$2:$J$9,0)),1,INDEX($N$2:$N$9,MATCH($B16&amp;$C16,$J$2:$J$9,0))))</f>
        <v>32.638684941922989</v>
      </c>
      <c r="F16" s="1165">
        <f ca="1">SUM(OFFSET('Output data (results)'!$B$10,F$15-2000,INDEX($M$2:$M$9,MATCH($B16&amp;$C16,$J$2:$J$9,0)),1,INDEX($N$2:$N$9,MATCH($B16&amp;$C16,$J$2:$J$9,0))))</f>
        <v>33.044764937208711</v>
      </c>
      <c r="G16" s="1165">
        <f ca="1">SUM(OFFSET('Output data (results)'!$B$10,G$15-2000,INDEX($M$2:$M$9,MATCH($B16&amp;$C16,$J$2:$J$9,0)),1,INDEX($N$2:$N$9,MATCH($B16&amp;$C16,$J$2:$J$9,0))))</f>
        <v>33.370161666347876</v>
      </c>
      <c r="H16" s="1165">
        <f ca="1">SUM(OFFSET('Output data (results)'!$B$10,H$15-2000,INDEX($M$2:$M$9,MATCH($B16&amp;$C16,$J$2:$J$9,0)),1,INDEX($N$2:$N$9,MATCH($B16&amp;$C16,$J$2:$J$9,0))))</f>
        <v>33.610848152350449</v>
      </c>
      <c r="I16" s="1165">
        <f ca="1">SUM(OFFSET('Output data (results)'!$B$10,I$15-2000,INDEX($M$2:$M$9,MATCH($B16&amp;$C16,$J$2:$J$9,0)),1,INDEX($N$2:$N$9,MATCH($B16&amp;$C16,$J$2:$J$9,0))))</f>
        <v>33.762481189099681</v>
      </c>
      <c r="J16" s="561">
        <f ca="1">SUM(OFFSET('Output data (results)'!$B$10,J$15-2000+INDEX($I$2:$I$4,MATCH($B$1,$H$2:$H$4,0)),INDEX($M$2:$M$9,MATCH($B16&amp;$C16,$J$2:$J$9,0)),1,INDEX($N$2:$N$9,MATCH($B16&amp;$C16,$J$2:$J$9,0))))</f>
        <v>32.917048058163878</v>
      </c>
      <c r="K16" s="561">
        <f ca="1">SUM(OFFSET('Output data (results)'!$B$10,K$15-2000+INDEX($I$2:$I$4,MATCH($B$1,$H$2:$H$4,0)),INDEX($M$2:$M$9,MATCH($B16&amp;$C16,$J$2:$J$9,0)),1,INDEX($N$2:$N$9,MATCH($B16&amp;$C16,$J$2:$J$9,0))))</f>
        <v>32.340305277661429</v>
      </c>
      <c r="L16" s="561">
        <f ca="1">SUM(OFFSET('Output data (results)'!$B$10,L$15-2000+INDEX($I$2:$I$4,MATCH($B$1,$H$2:$H$4,0)),INDEX($M$2:$M$9,MATCH($B16&amp;$C16,$J$2:$J$9,0)),1,INDEX($N$2:$N$9,MATCH($B16&amp;$C16,$J$2:$J$9,0))))</f>
        <v>31.469339877453482</v>
      </c>
      <c r="M16" s="561">
        <f ca="1">SUM(OFFSET('Output data (results)'!$B$10,M$15-2000+INDEX($I$2:$I$4,MATCH($B$1,$H$2:$H$4,0)),INDEX($M$2:$M$9,MATCH($B16&amp;$C16,$J$2:$J$9,0)),1,INDEX($N$2:$N$9,MATCH($B16&amp;$C16,$J$2:$J$9,0))))</f>
        <v>28.931012243244801</v>
      </c>
      <c r="N16" s="561">
        <f ca="1">SUM(OFFSET('Output data (results)'!$B$10,N$15-2000+INDEX($I$2:$I$4,MATCH($B$1,$H$2:$H$4,0)),INDEX($M$2:$M$9,MATCH($B16&amp;$C16,$J$2:$J$9,0)),1,INDEX($N$2:$N$9,MATCH($B16&amp;$C16,$J$2:$J$9,0))))</f>
        <v>24.077995052126731</v>
      </c>
      <c r="O16" s="561">
        <f ca="1">SUM(OFFSET('Output data (results)'!$B$10,O$15-2000+INDEX($I$2:$I$4,MATCH($B$1,$H$2:$H$4,0)),INDEX($M$2:$M$9,MATCH($B16&amp;$C16,$J$2:$J$9,0)),1,INDEX($N$2:$N$9,MATCH($B16&amp;$C16,$J$2:$J$9,0))))</f>
        <v>22.834713354191649</v>
      </c>
      <c r="P16" s="561">
        <f ca="1">SUM(OFFSET('Output data (results)'!$B$10,P$15-2000+INDEX($I$2:$I$4,MATCH($B$1,$H$2:$H$4,0)),INDEX($M$2:$M$9,MATCH($B16&amp;$C16,$J$2:$J$9,0)),1,INDEX($N$2:$N$9,MATCH($B16&amp;$C16,$J$2:$J$9,0))))</f>
        <v>21.570135720604139</v>
      </c>
      <c r="Q16" s="561">
        <f ca="1">SUM(OFFSET('Output data (results)'!$B$10,Q$15-2000+INDEX($I$2:$I$4,MATCH($B$1,$H$2:$H$4,0)),INDEX($M$2:$M$9,MATCH($B16&amp;$C16,$J$2:$J$9,0)),1,INDEX($N$2:$N$9,MATCH($B16&amp;$C16,$J$2:$J$9,0))))</f>
        <v>20.283486456074922</v>
      </c>
      <c r="R16" s="561">
        <f ca="1">SUM(OFFSET('Output data (results)'!$B$10,R$15-2000+INDEX($I$2:$I$4,MATCH($B$1,$H$2:$H$4,0)),INDEX($M$2:$M$9,MATCH($B16&amp;$C16,$J$2:$J$9,0)),1,INDEX($N$2:$N$9,MATCH($B16&amp;$C16,$J$2:$J$9,0))))</f>
        <v>18.985188117273655</v>
      </c>
      <c r="S16" s="561">
        <f ca="1">SUM(OFFSET('Output data (results)'!$B$10,S$15-2000+INDEX($I$2:$I$4,MATCH($B$1,$H$2:$H$4,0)),INDEX($M$2:$M$9,MATCH($B16&amp;$C16,$J$2:$J$9,0)),1,INDEX($N$2:$N$9,MATCH($B16&amp;$C16,$J$2:$J$9,0))))</f>
        <v>17.661577035208051</v>
      </c>
      <c r="T16" s="561">
        <f ca="1">SUM(OFFSET('Output data (results)'!$B$10,T$15-2000+INDEX($I$2:$I$4,MATCH($B$1,$H$2:$H$4,0)),INDEX($M$2:$M$9,MATCH($B16&amp;$C16,$J$2:$J$9,0)),1,INDEX($N$2:$N$9,MATCH($B16&amp;$C16,$J$2:$J$9,0))))</f>
        <v>16.311739327952854</v>
      </c>
      <c r="U16" s="561">
        <f ca="1">SUM(OFFSET('Output data (results)'!$B$10,U$15-2000+INDEX($I$2:$I$4,MATCH($B$1,$H$2:$H$4,0)),INDEX($M$2:$M$9,MATCH($B16&amp;$C16,$J$2:$J$9,0)),1,INDEX($N$2:$N$9,MATCH($B16&amp;$C16,$J$2:$J$9,0))))</f>
        <v>14.93472003386634</v>
      </c>
      <c r="V16" s="561">
        <f ca="1">SUM(OFFSET('Output data (results)'!$B$10,V$15-2000+INDEX($I$2:$I$4,MATCH($B$1,$H$2:$H$4,0)),INDEX($M$2:$M$9,MATCH($B16&amp;$C16,$J$2:$J$9,0)),1,INDEX($N$2:$N$9,MATCH($B16&amp;$C16,$J$2:$J$9,0))))</f>
        <v>13.529520713203713</v>
      </c>
      <c r="W16" s="561">
        <f ca="1">SUM(OFFSET('Output data (results)'!$B$10,W$15-2000+INDEX($I$2:$I$4,MATCH($B$1,$H$2:$H$4,0)),INDEX($M$2:$M$9,MATCH($B16&amp;$C16,$J$2:$J$9,0)),1,INDEX($N$2:$N$9,MATCH($B16&amp;$C16,$J$2:$J$9,0))))</f>
        <v>11.932120220532866</v>
      </c>
      <c r="X16" s="561">
        <f ca="1">SUM(OFFSET('Output data (results)'!$B$10,X$15-2000+INDEX($I$2:$I$4,MATCH($B$1,$H$2:$H$4,0)),INDEX($M$2:$M$9,MATCH($B16&amp;$C16,$J$2:$J$9,0)),1,INDEX($N$2:$N$9,MATCH($B16&amp;$C16,$J$2:$J$9,0))))</f>
        <v>10.344645425665796</v>
      </c>
      <c r="Y16" s="561">
        <f ca="1">SUM(OFFSET('Output data (results)'!$B$10,Y$15-2000+INDEX($I$2:$I$4,MATCH($B$1,$H$2:$H$4,0)),INDEX($M$2:$M$9,MATCH($B16&amp;$C16,$J$2:$J$9,0)),1,INDEX($N$2:$N$9,MATCH($B16&amp;$C16,$J$2:$J$9,0))))</f>
        <v>10.313981067569168</v>
      </c>
      <c r="Z16" s="561">
        <f ca="1">SUM(OFFSET('Output data (results)'!$B$10,Z$15-2000+INDEX($I$2:$I$4,MATCH($B$1,$H$2:$H$4,0)),INDEX($M$2:$M$9,MATCH($B16&amp;$C16,$J$2:$J$9,0)),1,INDEX($N$2:$N$9,MATCH($B16&amp;$C16,$J$2:$J$9,0))))</f>
        <v>10.283755160967955</v>
      </c>
      <c r="AA16" s="561">
        <f ca="1">SUM(OFFSET('Output data (results)'!$B$10,AA$15-2000+INDEX($I$2:$I$4,MATCH($B$1,$H$2:$H$4,0)),INDEX($M$2:$M$9,MATCH($B16&amp;$C16,$J$2:$J$9,0)),1,INDEX($N$2:$N$9,MATCH($B16&amp;$C16,$J$2:$J$9,0))))</f>
        <v>10.253959437125518</v>
      </c>
      <c r="AB16" s="561">
        <f ca="1">SUM(OFFSET('Output data (results)'!$B$10,AB$15-2000+INDEX($I$2:$I$4,MATCH($B$1,$H$2:$H$4,0)),INDEX($M$2:$M$9,MATCH($B16&amp;$C16,$J$2:$J$9,0)),1,INDEX($N$2:$N$9,MATCH($B16&amp;$C16,$J$2:$J$9,0))))</f>
        <v>10.228720631598184</v>
      </c>
      <c r="AC16" s="561">
        <f ca="1">SUM(OFFSET('Output data (results)'!$B$10,AC$15-2000+INDEX($I$2:$I$4,MATCH($B$1,$H$2:$H$4,0)),INDEX($M$2:$M$9,MATCH($B16&amp;$C16,$J$2:$J$9,0)),1,INDEX($N$2:$N$9,MATCH($B16&amp;$C16,$J$2:$J$9,0))))</f>
        <v>10.203787853753196</v>
      </c>
      <c r="AD16" s="561">
        <f ca="1">SUM(OFFSET('Output data (results)'!$B$10,AD$15-2000+INDEX($I$2:$I$4,MATCH($B$1,$H$2:$H$4,0)),INDEX($M$2:$M$9,MATCH($B16&amp;$C16,$J$2:$J$9,0)),1,INDEX($N$2:$N$9,MATCH($B16&amp;$C16,$J$2:$J$9,0))))</f>
        <v>10.179156222495859</v>
      </c>
      <c r="AE16" s="561">
        <f ca="1">SUM(OFFSET('Output data (results)'!$B$10,AE$15-2000+INDEX($I$2:$I$4,MATCH($B$1,$H$2:$H$4,0)),INDEX($M$2:$M$9,MATCH($B16&amp;$C16,$J$2:$J$9,0)),1,INDEX($N$2:$N$9,MATCH($B16&amp;$C16,$J$2:$J$9,0))))</f>
        <v>10.154820958102038</v>
      </c>
      <c r="AF16" s="561">
        <f ca="1">SUM(OFFSET('Output data (results)'!$B$10,AF$15-2000+INDEX($I$2:$I$4,MATCH($B$1,$H$2:$H$4,0)),INDEX($M$2:$M$9,MATCH($B16&amp;$C16,$J$2:$J$9,0)),1,INDEX($N$2:$N$9,MATCH($B16&amp;$C16,$J$2:$J$9,0))))</f>
        <v>10.130777379596603</v>
      </c>
      <c r="AG16" s="561">
        <f ca="1">SUM(OFFSET('Output data (results)'!$B$10,AG$15-2000+INDEX($I$2:$I$4,MATCH($B$1,$H$2:$H$4,0)),INDEX($M$2:$M$9,MATCH($B16&amp;$C16,$J$2:$J$9,0)),1,INDEX($N$2:$N$9,MATCH($B16&amp;$C16,$J$2:$J$9,0))))</f>
        <v>10.110594115867604</v>
      </c>
      <c r="AH16" s="561">
        <f ca="1">SUM(OFFSET('Output data (results)'!$B$10,AH$15-2000+INDEX($I$2:$I$4,MATCH($B$1,$H$2:$H$4,0)),INDEX($M$2:$M$9,MATCH($B16&amp;$C16,$J$2:$J$9,0)),1,INDEX($N$2:$N$9,MATCH($B16&amp;$C16,$J$2:$J$9,0))))</f>
        <v>10.090614955764785</v>
      </c>
      <c r="AI16" s="561">
        <f ca="1">SUM(OFFSET('Output data (results)'!$B$10,AI$15-2000+INDEX($I$2:$I$4,MATCH($B$1,$H$2:$H$4,0)),INDEX($M$2:$M$9,MATCH($B16&amp;$C16,$J$2:$J$9,0)),1,INDEX($N$2:$N$9,MATCH($B16&amp;$C16,$J$2:$J$9,0))))</f>
        <v>10.070837196069071</v>
      </c>
      <c r="AJ16" s="561">
        <f ca="1">SUM(OFFSET('Output data (results)'!$B$10,AJ$15-2000+INDEX($I$2:$I$4,MATCH($B$1,$H$2:$H$4,0)),INDEX($M$2:$M$9,MATCH($B16&amp;$C16,$J$2:$J$9,0)),1,INDEX($N$2:$N$9,MATCH($B16&amp;$C16,$J$2:$J$9,0))))</f>
        <v>10.05125818014367</v>
      </c>
      <c r="AK16" s="561">
        <f ca="1">SUM(OFFSET('Output data (results)'!$B$10,AK$15-2000+INDEX($I$2:$I$4,MATCH($B$1,$H$2:$H$4,0)),INDEX($M$2:$M$9,MATCH($B16&amp;$C16,$J$2:$J$9,0)),1,INDEX($N$2:$N$9,MATCH($B16&amp;$C16,$J$2:$J$9,0))))</f>
        <v>10.031875296933659</v>
      </c>
      <c r="AL16" s="561">
        <f ca="1">SUM(OFFSET('Output data (results)'!$B$10,AL$15-2000+INDEX($I$2:$I$4,MATCH($B$1,$H$2:$H$4,0)),INDEX($M$2:$M$9,MATCH($B16&amp;$C16,$J$2:$J$9,0)),1,INDEX($N$2:$N$9,MATCH($B16&amp;$C16,$J$2:$J$9,0))))</f>
        <v>10.016080649685344</v>
      </c>
      <c r="AM16" s="561">
        <f ca="1">SUM(OFFSET('Output data (results)'!$B$10,AM$15-2000+INDEX($I$2:$I$4,MATCH($B$1,$H$2:$H$4,0)),INDEX($M$2:$M$9,MATCH($B16&amp;$C16,$J$2:$J$9,0)),1,INDEX($N$2:$N$9,MATCH($B16&amp;$C16,$J$2:$J$9,0))))</f>
        <v>10.000415502259907</v>
      </c>
      <c r="AN16" s="561">
        <f ca="1">SUM(OFFSET('Output data (results)'!$B$10,AN$15-2000+INDEX($I$2:$I$4,MATCH($B$1,$H$2:$H$4,0)),INDEX($M$2:$M$9,MATCH($B16&amp;$C16,$J$2:$J$9,0)),1,INDEX($N$2:$N$9,MATCH($B16&amp;$C16,$J$2:$J$9,0))))</f>
        <v>9.984878469104487</v>
      </c>
      <c r="AO16" s="561">
        <f ca="1">SUM(OFFSET('Output data (results)'!$B$10,AO$15-2000+INDEX($I$2:$I$4,MATCH($B$1,$H$2:$H$4,0)),INDEX($M$2:$M$9,MATCH($B16&amp;$C16,$J$2:$J$9,0)),1,INDEX($N$2:$N$9,MATCH($B16&amp;$C16,$J$2:$J$9,0))))</f>
        <v>9.9694681839421868</v>
      </c>
      <c r="AP16" s="561">
        <f ca="1">SUM(OFFSET('Output data (results)'!$B$10,AP$15-2000+INDEX($I$2:$I$4,MATCH($B$1,$H$2:$H$4,0)),INDEX($M$2:$M$9,MATCH($B16&amp;$C16,$J$2:$J$9,0)),1,INDEX($N$2:$N$9,MATCH($B16&amp;$C16,$J$2:$J$9,0))))</f>
        <v>9.9541832994375596</v>
      </c>
    </row>
    <row r="17" spans="1:42">
      <c r="A17" s="10" t="s">
        <v>673</v>
      </c>
      <c r="B17" t="s">
        <v>677</v>
      </c>
      <c r="C17" t="s">
        <v>188</v>
      </c>
      <c r="D17" s="1165">
        <f ca="1">SUM(OFFSET('Output data (results)'!$B$10,D$15-2000,INDEX($M$2:$M$9,MATCH($B17&amp;$C17,$J$2:$J$9,0)),1,INDEX($N$2:$N$9,MATCH($B17&amp;$C17,$J$2:$J$9,0))))</f>
        <v>908.64270893217713</v>
      </c>
      <c r="E17" s="1165">
        <f ca="1">SUM(OFFSET('Output data (results)'!$B$10,E$15-2000,INDEX($M$2:$M$9,MATCH($B17&amp;$C17,$J$2:$J$9,0)),1,INDEX($N$2:$N$9,MATCH($B17&amp;$C17,$J$2:$J$9,0))))</f>
        <v>897.55726745449613</v>
      </c>
      <c r="F17" s="1165">
        <f ca="1">SUM(OFFSET('Output data (results)'!$B$10,F$15-2000,INDEX($M$2:$M$9,MATCH($B17&amp;$C17,$J$2:$J$9,0)),1,INDEX($N$2:$N$9,MATCH($B17&amp;$C17,$J$2:$J$9,0))))</f>
        <v>884.9696624303657</v>
      </c>
      <c r="G17" s="1165">
        <f ca="1">SUM(OFFSET('Output data (results)'!$B$10,G$15-2000,INDEX($M$2:$M$9,MATCH($B17&amp;$C17,$J$2:$J$9,0)),1,INDEX($N$2:$N$9,MATCH($B17&amp;$C17,$J$2:$J$9,0))))</f>
        <v>870.97649921658456</v>
      </c>
      <c r="H17" s="1165">
        <f ca="1">SUM(OFFSET('Output data (results)'!$B$10,H$15-2000,INDEX($M$2:$M$9,MATCH($B17&amp;$C17,$J$2:$J$9,0)),1,INDEX($N$2:$N$9,MATCH($B17&amp;$C17,$J$2:$J$9,0))))</f>
        <v>855.6551899425998</v>
      </c>
      <c r="I17" s="1165">
        <f ca="1">SUM(OFFSET('Output data (results)'!$B$10,I$15-2000,INDEX($M$2:$M$9,MATCH($B17&amp;$C17,$J$2:$J$9,0)),1,INDEX($N$2:$N$9,MATCH($B17&amp;$C17,$J$2:$J$9,0))))</f>
        <v>839.13604235931598</v>
      </c>
      <c r="J17" s="561">
        <f ca="1">SUM(OFFSET('Output data (results)'!$B$10,J$15-2000+INDEX($I$2:$I$4,MATCH($B$1,$H$2:$H$4,0)),INDEX($M$2:$M$9,MATCH($B17&amp;$C17,$J$2:$J$9,0)),1,INDEX($N$2:$N$9,MATCH($B17&amp;$C17,$J$2:$J$9,0))))</f>
        <v>821.57255218782393</v>
      </c>
      <c r="K17" s="561">
        <f ca="1">SUM(OFFSET('Output data (results)'!$B$10,K$15-2000+INDEX($I$2:$I$4,MATCH($B$1,$H$2:$H$4,0)),INDEX($M$2:$M$9,MATCH($B17&amp;$C17,$J$2:$J$9,0)),1,INDEX($N$2:$N$9,MATCH($B17&amp;$C17,$J$2:$J$9,0))))</f>
        <v>802.90951961094413</v>
      </c>
      <c r="L17" s="561">
        <f ca="1">SUM(OFFSET('Output data (results)'!$B$10,L$15-2000+INDEX($I$2:$I$4,MATCH($B$1,$H$2:$H$4,0)),INDEX($M$2:$M$9,MATCH($B17&amp;$C17,$J$2:$J$9,0)),1,INDEX($N$2:$N$9,MATCH($B17&amp;$C17,$J$2:$J$9,0))))</f>
        <v>784.21643579258023</v>
      </c>
      <c r="M17" s="561">
        <f ca="1">SUM(OFFSET('Output data (results)'!$B$10,M$15-2000+INDEX($I$2:$I$4,MATCH($B$1,$H$2:$H$4,0)),INDEX($M$2:$M$9,MATCH($B17&amp;$C17,$J$2:$J$9,0)),1,INDEX($N$2:$N$9,MATCH($B17&amp;$C17,$J$2:$J$9,0))))</f>
        <v>764.05533221825021</v>
      </c>
      <c r="N17" s="561">
        <f ca="1">SUM(OFFSET('Output data (results)'!$B$10,N$15-2000+INDEX($I$2:$I$4,MATCH($B$1,$H$2:$H$4,0)),INDEX($M$2:$M$9,MATCH($B17&amp;$C17,$J$2:$J$9,0)),1,INDEX($N$2:$N$9,MATCH($B17&amp;$C17,$J$2:$J$9,0))))</f>
        <v>738.75842154790462</v>
      </c>
      <c r="O17" s="561">
        <f ca="1">SUM(OFFSET('Output data (results)'!$B$10,O$15-2000+INDEX($I$2:$I$4,MATCH($B$1,$H$2:$H$4,0)),INDEX($M$2:$M$9,MATCH($B17&amp;$C17,$J$2:$J$9,0)),1,INDEX($N$2:$N$9,MATCH($B17&amp;$C17,$J$2:$J$9,0))))</f>
        <v>710.9840484940903</v>
      </c>
      <c r="P17" s="561">
        <f ca="1">SUM(OFFSET('Output data (results)'!$B$10,P$15-2000+INDEX($I$2:$I$4,MATCH($B$1,$H$2:$H$4,0)),INDEX($M$2:$M$9,MATCH($B17&amp;$C17,$J$2:$J$9,0)),1,INDEX($N$2:$N$9,MATCH($B17&amp;$C17,$J$2:$J$9,0))))</f>
        <v>684.34297788237109</v>
      </c>
      <c r="Q17" s="561">
        <f ca="1">SUM(OFFSET('Output data (results)'!$B$10,Q$15-2000+INDEX($I$2:$I$4,MATCH($B$1,$H$2:$H$4,0)),INDEX($M$2:$M$9,MATCH($B17&amp;$C17,$J$2:$J$9,0)),1,INDEX($N$2:$N$9,MATCH($B17&amp;$C17,$J$2:$J$9,0))))</f>
        <v>658.75386921083987</v>
      </c>
      <c r="R17" s="561">
        <f ca="1">SUM(OFFSET('Output data (results)'!$B$10,R$15-2000+INDEX($I$2:$I$4,MATCH($B$1,$H$2:$H$4,0)),INDEX($M$2:$M$9,MATCH($B17&amp;$C17,$J$2:$J$9,0)),1,INDEX($N$2:$N$9,MATCH($B17&amp;$C17,$J$2:$J$9,0))))</f>
        <v>634.13887528209909</v>
      </c>
      <c r="S17" s="561">
        <f ca="1">SUM(OFFSET('Output data (results)'!$B$10,S$15-2000+INDEX($I$2:$I$4,MATCH($B$1,$H$2:$H$4,0)),INDEX($M$2:$M$9,MATCH($B17&amp;$C17,$J$2:$J$9,0)),1,INDEX($N$2:$N$9,MATCH($B17&amp;$C17,$J$2:$J$9,0))))</f>
        <v>610.4196574778847</v>
      </c>
      <c r="T17" s="561">
        <f ca="1">SUM(OFFSET('Output data (results)'!$B$10,T$15-2000+INDEX($I$2:$I$4,MATCH($B$1,$H$2:$H$4,0)),INDEX($M$2:$M$9,MATCH($B17&amp;$C17,$J$2:$J$9,0)),1,INDEX($N$2:$N$9,MATCH($B17&amp;$C17,$J$2:$J$9,0))))</f>
        <v>587.52530919694709</v>
      </c>
      <c r="U17" s="561">
        <f ca="1">SUM(OFFSET('Output data (results)'!$B$10,U$15-2000+INDEX($I$2:$I$4,MATCH($B$1,$H$2:$H$4,0)),INDEX($M$2:$M$9,MATCH($B17&amp;$C17,$J$2:$J$9,0)),1,INDEX($N$2:$N$9,MATCH($B17&amp;$C17,$J$2:$J$9,0))))</f>
        <v>565.38787970633109</v>
      </c>
      <c r="V17" s="561">
        <f ca="1">SUM(OFFSET('Output data (results)'!$B$10,V$15-2000+INDEX($I$2:$I$4,MATCH($B$1,$H$2:$H$4,0)),INDEX($M$2:$M$9,MATCH($B17&amp;$C17,$J$2:$J$9,0)),1,INDEX($N$2:$N$9,MATCH($B17&amp;$C17,$J$2:$J$9,0))))</f>
        <v>543.94221140451737</v>
      </c>
      <c r="W17" s="561">
        <f ca="1">SUM(OFFSET('Output data (results)'!$B$10,W$15-2000+INDEX($I$2:$I$4,MATCH($B$1,$H$2:$H$4,0)),INDEX($M$2:$M$9,MATCH($B17&amp;$C17,$J$2:$J$9,0)),1,INDEX($N$2:$N$9,MATCH($B17&amp;$C17,$J$2:$J$9,0))))</f>
        <v>523.12578383704806</v>
      </c>
      <c r="X17" s="561">
        <f ca="1">SUM(OFFSET('Output data (results)'!$B$10,X$15-2000+INDEX($I$2:$I$4,MATCH($B$1,$H$2:$H$4,0)),INDEX($M$2:$M$9,MATCH($B17&amp;$C17,$J$2:$J$9,0)),1,INDEX($N$2:$N$9,MATCH($B17&amp;$C17,$J$2:$J$9,0))))</f>
        <v>502.75299423644202</v>
      </c>
      <c r="Y17" s="561">
        <f ca="1">SUM(OFFSET('Output data (results)'!$B$10,Y$15-2000+INDEX($I$2:$I$4,MATCH($B$1,$H$2:$H$4,0)),INDEX($M$2:$M$9,MATCH($B17&amp;$C17,$J$2:$J$9,0)),1,INDEX($N$2:$N$9,MATCH($B17&amp;$C17,$J$2:$J$9,0))))</f>
        <v>482.79990441960274</v>
      </c>
      <c r="Z17" s="561">
        <f ca="1">SUM(OFFSET('Output data (results)'!$B$10,Z$15-2000+INDEX($I$2:$I$4,MATCH($B$1,$H$2:$H$4,0)),INDEX($M$2:$M$9,MATCH($B17&amp;$C17,$J$2:$J$9,0)),1,INDEX($N$2:$N$9,MATCH($B17&amp;$C17,$J$2:$J$9,0))))</f>
        <v>463.8315281686439</v>
      </c>
      <c r="AA17" s="561">
        <f ca="1">SUM(OFFSET('Output data (results)'!$B$10,AA$15-2000+INDEX($I$2:$I$4,MATCH($B$1,$H$2:$H$4,0)),INDEX($M$2:$M$9,MATCH($B17&amp;$C17,$J$2:$J$9,0)),1,INDEX($N$2:$N$9,MATCH($B17&amp;$C17,$J$2:$J$9,0))))</f>
        <v>445.79985657228082</v>
      </c>
      <c r="AB17" s="561">
        <f ca="1">SUM(OFFSET('Output data (results)'!$B$10,AB$15-2000+INDEX($I$2:$I$4,MATCH($B$1,$H$2:$H$4,0)),INDEX($M$2:$M$9,MATCH($B17&amp;$C17,$J$2:$J$9,0)),1,INDEX($N$2:$N$9,MATCH($B17&amp;$C17,$J$2:$J$9,0))))</f>
        <v>425.16321087893499</v>
      </c>
      <c r="AC17" s="561">
        <f ca="1">SUM(OFFSET('Output data (results)'!$B$10,AC$15-2000+INDEX($I$2:$I$4,MATCH($B$1,$H$2:$H$4,0)),INDEX($M$2:$M$9,MATCH($B17&amp;$C17,$J$2:$J$9,0)),1,INDEX($N$2:$N$9,MATCH($B17&amp;$C17,$J$2:$J$9,0))))</f>
        <v>405.54272671366186</v>
      </c>
      <c r="AD17" s="561">
        <f ca="1">SUM(OFFSET('Output data (results)'!$B$10,AD$15-2000+INDEX($I$2:$I$4,MATCH($B$1,$H$2:$H$4,0)),INDEX($M$2:$M$9,MATCH($B17&amp;$C17,$J$2:$J$9,0)),1,INDEX($N$2:$N$9,MATCH($B17&amp;$C17,$J$2:$J$9,0))))</f>
        <v>386.88887645574005</v>
      </c>
      <c r="AE17" s="561">
        <f ca="1">SUM(OFFSET('Output data (results)'!$B$10,AE$15-2000+INDEX($I$2:$I$4,MATCH($B$1,$H$2:$H$4,0)),INDEX($M$2:$M$9,MATCH($B17&amp;$C17,$J$2:$J$9,0)),1,INDEX($N$2:$N$9,MATCH($B17&amp;$C17,$J$2:$J$9,0))))</f>
        <v>369.1545452605219</v>
      </c>
      <c r="AF17" s="561">
        <f ca="1">SUM(OFFSET('Output data (results)'!$B$10,AF$15-2000+INDEX($I$2:$I$4,MATCH($B$1,$H$2:$H$4,0)),INDEX($M$2:$M$9,MATCH($B17&amp;$C17,$J$2:$J$9,0)),1,INDEX($N$2:$N$9,MATCH($B17&amp;$C17,$J$2:$J$9,0))))</f>
        <v>352.9176062776292</v>
      </c>
      <c r="AG17" s="561">
        <f ca="1">SUM(OFFSET('Output data (results)'!$B$10,AG$15-2000+INDEX($I$2:$I$4,MATCH($B$1,$H$2:$H$4,0)),INDEX($M$2:$M$9,MATCH($B17&amp;$C17,$J$2:$J$9,0)),1,INDEX($N$2:$N$9,MATCH($B17&amp;$C17,$J$2:$J$9,0))))</f>
        <v>340.35567831451084</v>
      </c>
      <c r="AH17" s="561">
        <f ca="1">SUM(OFFSET('Output data (results)'!$B$10,AH$15-2000+INDEX($I$2:$I$4,MATCH($B$1,$H$2:$H$4,0)),INDEX($M$2:$M$9,MATCH($B17&amp;$C17,$J$2:$J$9,0)),1,INDEX($N$2:$N$9,MATCH($B17&amp;$C17,$J$2:$J$9,0))))</f>
        <v>328.41448662995958</v>
      </c>
      <c r="AI17" s="561">
        <f ca="1">SUM(OFFSET('Output data (results)'!$B$10,AI$15-2000+INDEX($I$2:$I$4,MATCH($B$1,$H$2:$H$4,0)),INDEX($M$2:$M$9,MATCH($B17&amp;$C17,$J$2:$J$9,0)),1,INDEX($N$2:$N$9,MATCH($B17&amp;$C17,$J$2:$J$9,0))))</f>
        <v>317.06379292578623</v>
      </c>
      <c r="AJ17" s="561">
        <f ca="1">SUM(OFFSET('Output data (results)'!$B$10,AJ$15-2000+INDEX($I$2:$I$4,MATCH($B$1,$H$2:$H$4,0)),INDEX($M$2:$M$9,MATCH($B17&amp;$C17,$J$2:$J$9,0)),1,INDEX($N$2:$N$9,MATCH($B17&amp;$C17,$J$2:$J$9,0))))</f>
        <v>306.27483099501768</v>
      </c>
      <c r="AK17" s="561">
        <f ca="1">SUM(OFFSET('Output data (results)'!$B$10,AK$15-2000+INDEX($I$2:$I$4,MATCH($B$1,$H$2:$H$4,0)),INDEX($M$2:$M$9,MATCH($B17&amp;$C17,$J$2:$J$9,0)),1,INDEX($N$2:$N$9,MATCH($B17&amp;$C17,$J$2:$J$9,0))))</f>
        <v>296.0202351188891</v>
      </c>
      <c r="AL17" s="561">
        <f ca="1">SUM(OFFSET('Output data (results)'!$B$10,AL$15-2000+INDEX($I$2:$I$4,MATCH($B$1,$H$2:$H$4,0)),INDEX($M$2:$M$9,MATCH($B17&amp;$C17,$J$2:$J$9,0)),1,INDEX($N$2:$N$9,MATCH($B17&amp;$C17,$J$2:$J$9,0))))</f>
        <v>286.27397194443449</v>
      </c>
      <c r="AM17" s="561">
        <f ca="1">SUM(OFFSET('Output data (results)'!$B$10,AM$15-2000+INDEX($I$2:$I$4,MATCH($B$1,$H$2:$H$4,0)),INDEX($M$2:$M$9,MATCH($B17&amp;$C17,$J$2:$J$9,0)),1,INDEX($N$2:$N$9,MATCH($B17&amp;$C17,$J$2:$J$9,0))))</f>
        <v>277.00954801437149</v>
      </c>
      <c r="AN17" s="561">
        <f ca="1">SUM(OFFSET('Output data (results)'!$B$10,AN$15-2000+INDEX($I$2:$I$4,MATCH($B$1,$H$2:$H$4,0)),INDEX($M$2:$M$9,MATCH($B17&amp;$C17,$J$2:$J$9,0)),1,INDEX($N$2:$N$9,MATCH($B17&amp;$C17,$J$2:$J$9,0))))</f>
        <v>268.20350112259644</v>
      </c>
      <c r="AO17" s="561">
        <f ca="1">SUM(OFFSET('Output data (results)'!$B$10,AO$15-2000+INDEX($I$2:$I$4,MATCH($B$1,$H$2:$H$4,0)),INDEX($M$2:$M$9,MATCH($B17&amp;$C17,$J$2:$J$9,0)),1,INDEX($N$2:$N$9,MATCH($B17&amp;$C17,$J$2:$J$9,0))))</f>
        <v>259.83351077817503</v>
      </c>
      <c r="AP17" s="561">
        <f ca="1">SUM(OFFSET('Output data (results)'!$B$10,AP$15-2000+INDEX($I$2:$I$4,MATCH($B$1,$H$2:$H$4,0)),INDEX($M$2:$M$9,MATCH($B17&amp;$C17,$J$2:$J$9,0)),1,INDEX($N$2:$N$9,MATCH($B17&amp;$C17,$J$2:$J$9,0))))</f>
        <v>251.87834269260674</v>
      </c>
    </row>
    <row r="18" spans="1:42">
      <c r="A18" s="10" t="s">
        <v>676</v>
      </c>
      <c r="B18" t="s">
        <v>678</v>
      </c>
      <c r="C18" t="s">
        <v>188</v>
      </c>
      <c r="D18" s="1165">
        <f ca="1">SUM(OFFSET('Output data (results)'!$B$10,D$15-2000,INDEX($M$2:$M$9,MATCH($B18&amp;$C18,$J$2:$J$9,0)),1,INDEX($N$2:$N$9,MATCH($B18&amp;$C18,$J$2:$J$9,0))))</f>
        <v>13.719332147215157</v>
      </c>
      <c r="E18" s="1165">
        <f ca="1">SUM(OFFSET('Output data (results)'!$B$10,E$15-2000,INDEX($M$2:$M$9,MATCH($B18&amp;$C18,$J$2:$J$9,0)),1,INDEX($N$2:$N$9,MATCH($B18&amp;$C18,$J$2:$J$9,0))))</f>
        <v>14.986779780472251</v>
      </c>
      <c r="F18" s="1165">
        <f ca="1">SUM(OFFSET('Output data (results)'!$B$10,F$15-2000,INDEX($M$2:$M$9,MATCH($B18&amp;$C18,$J$2:$J$9,0)),1,INDEX($N$2:$N$9,MATCH($B18&amp;$C18,$J$2:$J$9,0))))</f>
        <v>16.153531372688128</v>
      </c>
      <c r="G18" s="1165">
        <f ca="1">SUM(OFFSET('Output data (results)'!$B$10,G$15-2000,INDEX($M$2:$M$9,MATCH($B18&amp;$C18,$J$2:$J$9,0)),1,INDEX($N$2:$N$9,MATCH($B18&amp;$C18,$J$2:$J$9,0))))</f>
        <v>17.202024243376105</v>
      </c>
      <c r="H18" s="1165">
        <f ca="1">SUM(OFFSET('Output data (results)'!$B$10,H$15-2000,INDEX($M$2:$M$9,MATCH($B18&amp;$C18,$J$2:$J$9,0)),1,INDEX($N$2:$N$9,MATCH($B18&amp;$C18,$J$2:$J$9,0))))</f>
        <v>18.17770023174527</v>
      </c>
      <c r="I18" s="1165">
        <f ca="1">SUM(OFFSET('Output data (results)'!$B$10,I$15-2000,INDEX($M$2:$M$9,MATCH($B18&amp;$C18,$J$2:$J$9,0)),1,INDEX($N$2:$N$9,MATCH($B18&amp;$C18,$J$2:$J$9,0))))</f>
        <v>19.101301929478819</v>
      </c>
      <c r="J18" s="561">
        <f ca="1">SUM(OFFSET('Output data (results)'!$B$10,J$15-2000+INDEX($I$2:$I$4,MATCH($B$1,$H$2:$H$4,0)),INDEX($M$2:$M$9,MATCH($B18&amp;$C18,$J$2:$J$9,0)),1,INDEX($N$2:$N$9,MATCH($B18&amp;$C18,$J$2:$J$9,0))))</f>
        <v>19.311179079594044</v>
      </c>
      <c r="K18" s="561">
        <f ca="1">SUM(OFFSET('Output data (results)'!$B$10,K$15-2000+INDEX($I$2:$I$4,MATCH($B$1,$H$2:$H$4,0)),INDEX($M$2:$M$9,MATCH($B18&amp;$C18,$J$2:$J$9,0)),1,INDEX($N$2:$N$9,MATCH($B18&amp;$C18,$J$2:$J$9,0))))</f>
        <v>19.043111030572149</v>
      </c>
      <c r="L18" s="561">
        <f ca="1">SUM(OFFSET('Output data (results)'!$B$10,L$15-2000+INDEX($I$2:$I$4,MATCH($B$1,$H$2:$H$4,0)),INDEX($M$2:$M$9,MATCH($B18&amp;$C18,$J$2:$J$9,0)),1,INDEX($N$2:$N$9,MATCH($B18&amp;$C18,$J$2:$J$9,0))))</f>
        <v>19.295623668257392</v>
      </c>
      <c r="M18" s="561">
        <f ca="1">SUM(OFFSET('Output data (results)'!$B$10,M$15-2000+INDEX($I$2:$I$4,MATCH($B$1,$H$2:$H$4,0)),INDEX($M$2:$M$9,MATCH($B18&amp;$C18,$J$2:$J$9,0)),1,INDEX($N$2:$N$9,MATCH($B18&amp;$C18,$J$2:$J$9,0))))</f>
        <v>21.64448043828305</v>
      </c>
      <c r="N18" s="561">
        <f ca="1">SUM(OFFSET('Output data (results)'!$B$10,N$15-2000+INDEX($I$2:$I$4,MATCH($B$1,$H$2:$H$4,0)),INDEX($M$2:$M$9,MATCH($B18&amp;$C18,$J$2:$J$9,0)),1,INDEX($N$2:$N$9,MATCH($B18&amp;$C18,$J$2:$J$9,0))))</f>
        <v>21.295179163948919</v>
      </c>
      <c r="O18" s="561">
        <f ca="1">SUM(OFFSET('Output data (results)'!$B$10,O$15-2000+INDEX($I$2:$I$4,MATCH($B$1,$H$2:$H$4,0)),INDEX($M$2:$M$9,MATCH($B18&amp;$C18,$J$2:$J$9,0)),1,INDEX($N$2:$N$9,MATCH($B18&amp;$C18,$J$2:$J$9,0))))</f>
        <v>21.384006877236668</v>
      </c>
      <c r="P18" s="561">
        <f ca="1">SUM(OFFSET('Output data (results)'!$B$10,P$15-2000+INDEX($I$2:$I$4,MATCH($B$1,$H$2:$H$4,0)),INDEX($M$2:$M$9,MATCH($B18&amp;$C18,$J$2:$J$9,0)),1,INDEX($N$2:$N$9,MATCH($B18&amp;$C18,$J$2:$J$9,0))))</f>
        <v>21.487044638446804</v>
      </c>
      <c r="Q18" s="561">
        <f ca="1">SUM(OFFSET('Output data (results)'!$B$10,Q$15-2000+INDEX($I$2:$I$4,MATCH($B$1,$H$2:$H$4,0)),INDEX($M$2:$M$9,MATCH($B18&amp;$C18,$J$2:$J$9,0)),1,INDEX($N$2:$N$9,MATCH($B18&amp;$C18,$J$2:$J$9,0))))</f>
        <v>21.590772414632035</v>
      </c>
      <c r="R18" s="561">
        <f ca="1">SUM(OFFSET('Output data (results)'!$B$10,R$15-2000+INDEX($I$2:$I$4,MATCH($B$1,$H$2:$H$4,0)),INDEX($M$2:$M$9,MATCH($B18&amp;$C18,$J$2:$J$9,0)),1,INDEX($N$2:$N$9,MATCH($B18&amp;$C18,$J$2:$J$9,0))))</f>
        <v>21.697249917795634</v>
      </c>
      <c r="S18" s="561">
        <f ca="1">SUM(OFFSET('Output data (results)'!$B$10,S$15-2000+INDEX($I$2:$I$4,MATCH($B$1,$H$2:$H$4,0)),INDEX($M$2:$M$9,MATCH($B18&amp;$C18,$J$2:$J$9,0)),1,INDEX($N$2:$N$9,MATCH($B18&amp;$C18,$J$2:$J$9,0))))</f>
        <v>21.801200726559546</v>
      </c>
      <c r="T18" s="561">
        <f ca="1">SUM(OFFSET('Output data (results)'!$B$10,T$15-2000+INDEX($I$2:$I$4,MATCH($B$1,$H$2:$H$4,0)),INDEX($M$2:$M$9,MATCH($B18&amp;$C18,$J$2:$J$9,0)),1,INDEX($N$2:$N$9,MATCH($B18&amp;$C18,$J$2:$J$9,0))))</f>
        <v>21.910058632702967</v>
      </c>
      <c r="U18" s="561">
        <f ca="1">SUM(OFFSET('Output data (results)'!$B$10,U$15-2000+INDEX($I$2:$I$4,MATCH($B$1,$H$2:$H$4,0)),INDEX($M$2:$M$9,MATCH($B18&amp;$C18,$J$2:$J$9,0)),1,INDEX($N$2:$N$9,MATCH($B18&amp;$C18,$J$2:$J$9,0))))</f>
        <v>22.014238123304249</v>
      </c>
      <c r="V18" s="561">
        <f ca="1">SUM(OFFSET('Output data (results)'!$B$10,V$15-2000+INDEX($I$2:$I$4,MATCH($B$1,$H$2:$H$4,0)),INDEX($M$2:$M$9,MATCH($B18&amp;$C18,$J$2:$J$9,0)),1,INDEX($N$2:$N$9,MATCH($B18&amp;$C18,$J$2:$J$9,0))))</f>
        <v>22.121554131025427</v>
      </c>
      <c r="W18" s="561">
        <f ca="1">SUM(OFFSET('Output data (results)'!$B$10,W$15-2000+INDEX($I$2:$I$4,MATCH($B$1,$H$2:$H$4,0)),INDEX($M$2:$M$9,MATCH($B18&amp;$C18,$J$2:$J$9,0)),1,INDEX($N$2:$N$9,MATCH($B18&amp;$C18,$J$2:$J$9,0))))</f>
        <v>22.247498293618776</v>
      </c>
      <c r="X18" s="561">
        <f ca="1">SUM(OFFSET('Output data (results)'!$B$10,X$15-2000+INDEX($I$2:$I$4,MATCH($B$1,$H$2:$H$4,0)),INDEX($M$2:$M$9,MATCH($B18&amp;$C18,$J$2:$J$9,0)),1,INDEX($N$2:$N$9,MATCH($B18&amp;$C18,$J$2:$J$9,0))))</f>
        <v>22.382904305606235</v>
      </c>
      <c r="Y18" s="561">
        <f ca="1">SUM(OFFSET('Output data (results)'!$B$10,Y$15-2000+INDEX($I$2:$I$4,MATCH($B$1,$H$2:$H$4,0)),INDEX($M$2:$M$9,MATCH($B18&amp;$C18,$J$2:$J$9,0)),1,INDEX($N$2:$N$9,MATCH($B18&amp;$C18,$J$2:$J$9,0))))</f>
        <v>22.522887984446065</v>
      </c>
      <c r="Z18" s="561">
        <f ca="1">SUM(OFFSET('Output data (results)'!$B$10,Z$15-2000+INDEX($I$2:$I$4,MATCH($B$1,$H$2:$H$4,0)),INDEX($M$2:$M$9,MATCH($B18&amp;$C18,$J$2:$J$9,0)),1,INDEX($N$2:$N$9,MATCH($B18&amp;$C18,$J$2:$J$9,0))))</f>
        <v>22.554333738904656</v>
      </c>
      <c r="AA18" s="561">
        <f ca="1">SUM(OFFSET('Output data (results)'!$B$10,AA$15-2000+INDEX($I$2:$I$4,MATCH($B$1,$H$2:$H$4,0)),INDEX($M$2:$M$9,MATCH($B18&amp;$C18,$J$2:$J$9,0)),1,INDEX($N$2:$N$9,MATCH($B18&amp;$C18,$J$2:$J$9,0))))</f>
        <v>17.25498591747499</v>
      </c>
      <c r="AB18" s="561">
        <f ca="1">SUM(OFFSET('Output data (results)'!$B$10,AB$15-2000+INDEX($I$2:$I$4,MATCH($B$1,$H$2:$H$4,0)),INDEX($M$2:$M$9,MATCH($B18&amp;$C18,$J$2:$J$9,0)),1,INDEX($N$2:$N$9,MATCH($B18&amp;$C18,$J$2:$J$9,0))))</f>
        <v>17.25498591747499</v>
      </c>
      <c r="AC18" s="561">
        <f ca="1">SUM(OFFSET('Output data (results)'!$B$10,AC$15-2000+INDEX($I$2:$I$4,MATCH($B$1,$H$2:$H$4,0)),INDEX($M$2:$M$9,MATCH($B18&amp;$C18,$J$2:$J$9,0)),1,INDEX($N$2:$N$9,MATCH($B18&amp;$C18,$J$2:$J$9,0))))</f>
        <v>17.25498591747499</v>
      </c>
      <c r="AD18" s="561">
        <f ca="1">SUM(OFFSET('Output data (results)'!$B$10,AD$15-2000+INDEX($I$2:$I$4,MATCH($B$1,$H$2:$H$4,0)),INDEX($M$2:$M$9,MATCH($B18&amp;$C18,$J$2:$J$9,0)),1,INDEX($N$2:$N$9,MATCH($B18&amp;$C18,$J$2:$J$9,0))))</f>
        <v>17.25498591747499</v>
      </c>
      <c r="AE18" s="561">
        <f ca="1">SUM(OFFSET('Output data (results)'!$B$10,AE$15-2000+INDEX($I$2:$I$4,MATCH($B$1,$H$2:$H$4,0)),INDEX($M$2:$M$9,MATCH($B18&amp;$C18,$J$2:$J$9,0)),1,INDEX($N$2:$N$9,MATCH($B18&amp;$C18,$J$2:$J$9,0))))</f>
        <v>17.25498591747499</v>
      </c>
      <c r="AF18" s="561">
        <f ca="1">SUM(OFFSET('Output data (results)'!$B$10,AF$15-2000+INDEX($I$2:$I$4,MATCH($B$1,$H$2:$H$4,0)),INDEX($M$2:$M$9,MATCH($B18&amp;$C18,$J$2:$J$9,0)),1,INDEX($N$2:$N$9,MATCH($B18&amp;$C18,$J$2:$J$9,0))))</f>
        <v>17.25498591747499</v>
      </c>
      <c r="AG18" s="561">
        <f ca="1">SUM(OFFSET('Output data (results)'!$B$10,AG$15-2000+INDEX($I$2:$I$4,MATCH($B$1,$H$2:$H$4,0)),INDEX($M$2:$M$9,MATCH($B18&amp;$C18,$J$2:$J$9,0)),1,INDEX($N$2:$N$9,MATCH($B18&amp;$C18,$J$2:$J$9,0))))</f>
        <v>17.25498591747499</v>
      </c>
      <c r="AH18" s="561">
        <f ca="1">SUM(OFFSET('Output data (results)'!$B$10,AH$15-2000+INDEX($I$2:$I$4,MATCH($B$1,$H$2:$H$4,0)),INDEX($M$2:$M$9,MATCH($B18&amp;$C18,$J$2:$J$9,0)),1,INDEX($N$2:$N$9,MATCH($B18&amp;$C18,$J$2:$J$9,0))))</f>
        <v>17.25498591747499</v>
      </c>
      <c r="AI18" s="561">
        <f ca="1">SUM(OFFSET('Output data (results)'!$B$10,AI$15-2000+INDEX($I$2:$I$4,MATCH($B$1,$H$2:$H$4,0)),INDEX($M$2:$M$9,MATCH($B18&amp;$C18,$J$2:$J$9,0)),1,INDEX($N$2:$N$9,MATCH($B18&amp;$C18,$J$2:$J$9,0))))</f>
        <v>17.25498591747499</v>
      </c>
      <c r="AJ18" s="561">
        <f ca="1">SUM(OFFSET('Output data (results)'!$B$10,AJ$15-2000+INDEX($I$2:$I$4,MATCH($B$1,$H$2:$H$4,0)),INDEX($M$2:$M$9,MATCH($B18&amp;$C18,$J$2:$J$9,0)),1,INDEX($N$2:$N$9,MATCH($B18&amp;$C18,$J$2:$J$9,0))))</f>
        <v>17.25498591747499</v>
      </c>
      <c r="AK18" s="561">
        <f ca="1">SUM(OFFSET('Output data (results)'!$B$10,AK$15-2000+INDEX($I$2:$I$4,MATCH($B$1,$H$2:$H$4,0)),INDEX($M$2:$M$9,MATCH($B18&amp;$C18,$J$2:$J$9,0)),1,INDEX($N$2:$N$9,MATCH($B18&amp;$C18,$J$2:$J$9,0))))</f>
        <v>17.25498591747499</v>
      </c>
      <c r="AL18" s="561">
        <f ca="1">SUM(OFFSET('Output data (results)'!$B$10,AL$15-2000+INDEX($I$2:$I$4,MATCH($B$1,$H$2:$H$4,0)),INDEX($M$2:$M$9,MATCH($B18&amp;$C18,$J$2:$J$9,0)),1,INDEX($N$2:$N$9,MATCH($B18&amp;$C18,$J$2:$J$9,0))))</f>
        <v>17.25498591747499</v>
      </c>
      <c r="AM18" s="561">
        <f ca="1">SUM(OFFSET('Output data (results)'!$B$10,AM$15-2000+INDEX($I$2:$I$4,MATCH($B$1,$H$2:$H$4,0)),INDEX($M$2:$M$9,MATCH($B18&amp;$C18,$J$2:$J$9,0)),1,INDEX($N$2:$N$9,MATCH($B18&amp;$C18,$J$2:$J$9,0))))</f>
        <v>17.25498591747499</v>
      </c>
      <c r="AN18" s="561">
        <f ca="1">SUM(OFFSET('Output data (results)'!$B$10,AN$15-2000+INDEX($I$2:$I$4,MATCH($B$1,$H$2:$H$4,0)),INDEX($M$2:$M$9,MATCH($B18&amp;$C18,$J$2:$J$9,0)),1,INDEX($N$2:$N$9,MATCH($B18&amp;$C18,$J$2:$J$9,0))))</f>
        <v>17.25498591747499</v>
      </c>
      <c r="AO18" s="561">
        <f ca="1">SUM(OFFSET('Output data (results)'!$B$10,AO$15-2000+INDEX($I$2:$I$4,MATCH($B$1,$H$2:$H$4,0)),INDEX($M$2:$M$9,MATCH($B18&amp;$C18,$J$2:$J$9,0)),1,INDEX($N$2:$N$9,MATCH($B18&amp;$C18,$J$2:$J$9,0))))</f>
        <v>17.25498591747499</v>
      </c>
      <c r="AP18" s="561">
        <f ca="1">SUM(OFFSET('Output data (results)'!$B$10,AP$15-2000+INDEX($I$2:$I$4,MATCH($B$1,$H$2:$H$4,0)),INDEX($M$2:$M$9,MATCH($B18&amp;$C18,$J$2:$J$9,0)),1,INDEX($N$2:$N$9,MATCH($B18&amp;$C18,$J$2:$J$9,0))))</f>
        <v>17.25498591747499</v>
      </c>
    </row>
    <row r="19" spans="1:42">
      <c r="A19" s="10" t="s">
        <v>674</v>
      </c>
      <c r="B19" t="s">
        <v>679</v>
      </c>
      <c r="C19" t="s">
        <v>188</v>
      </c>
      <c r="D19" s="1165">
        <f ca="1">SUM(OFFSET('Output data (results)'!$B$10,D$15-2000,INDEX($M$2:$M$9,MATCH($B19&amp;$C19,$J$2:$J$9,0)),1,INDEX($N$2:$N$9,MATCH($B19&amp;$C19,$J$2:$J$9,0))))</f>
        <v>10.819392594545473</v>
      </c>
      <c r="E19" s="1165">
        <f ca="1">SUM(OFFSET('Output data (results)'!$B$10,E$15-2000,INDEX($M$2:$M$9,MATCH($B19&amp;$C19,$J$2:$J$9,0)),1,INDEX($N$2:$N$9,MATCH($B19&amp;$C19,$J$2:$J$9,0))))</f>
        <v>10.981918237456981</v>
      </c>
      <c r="F19" s="1165">
        <f ca="1">SUM(OFFSET('Output data (results)'!$B$10,F$15-2000,INDEX($M$2:$M$9,MATCH($B19&amp;$C19,$J$2:$J$9,0)),1,INDEX($N$2:$N$9,MATCH($B19&amp;$C19,$J$2:$J$9,0))))</f>
        <v>11.118551723580275</v>
      </c>
      <c r="G19" s="1165">
        <f ca="1">SUM(OFFSET('Output data (results)'!$B$10,G$15-2000,INDEX($M$2:$M$9,MATCH($B19&amp;$C19,$J$2:$J$9,0)),1,INDEX($N$2:$N$9,MATCH($B19&amp;$C19,$J$2:$J$9,0))))</f>
        <v>11.228037760793502</v>
      </c>
      <c r="H19" s="1165">
        <f ca="1">SUM(OFFSET('Output data (results)'!$B$10,H$15-2000,INDEX($M$2:$M$9,MATCH($B19&amp;$C19,$J$2:$J$9,0)),1,INDEX($N$2:$N$9,MATCH($B19&amp;$C19,$J$2:$J$9,0))))</f>
        <v>11.309021394626923</v>
      </c>
      <c r="I19" s="1165">
        <f ca="1">SUM(OFFSET('Output data (results)'!$B$10,I$15-2000,INDEX($M$2:$M$9,MATCH($B19&amp;$C19,$J$2:$J$9,0)),1,INDEX($N$2:$N$9,MATCH($B19&amp;$C19,$J$2:$J$9,0))))</f>
        <v>11.360041269191125</v>
      </c>
      <c r="J19" s="561">
        <f ca="1">SUM(OFFSET('Output data (results)'!$B$10,J$15-2000+INDEX($I$2:$I$4,MATCH($B$1,$H$2:$H$4,0)),INDEX($M$2:$M$9,MATCH($B19&amp;$C19,$J$2:$J$9,0)),1,INDEX($N$2:$N$9,MATCH($B19&amp;$C19,$J$2:$J$9,0))))</f>
        <v>11.075578903881524</v>
      </c>
      <c r="K19" s="561">
        <f ca="1">SUM(OFFSET('Output data (results)'!$B$10,K$15-2000+INDEX($I$2:$I$4,MATCH($B$1,$H$2:$H$4,0)),INDEX($M$2:$M$9,MATCH($B19&amp;$C19,$J$2:$J$9,0)),1,INDEX($N$2:$N$9,MATCH($B19&amp;$C19,$J$2:$J$9,0))))</f>
        <v>10.881522615437561</v>
      </c>
      <c r="L19" s="561">
        <f ca="1">SUM(OFFSET('Output data (results)'!$B$10,L$15-2000+INDEX($I$2:$I$4,MATCH($B$1,$H$2:$H$4,0)),INDEX($M$2:$M$9,MATCH($B19&amp;$C19,$J$2:$J$9,0)),1,INDEX($N$2:$N$9,MATCH($B19&amp;$C19,$J$2:$J$9,0))))</f>
        <v>10.588469423197822</v>
      </c>
      <c r="M19" s="561">
        <f ca="1">SUM(OFFSET('Output data (results)'!$B$10,M$15-2000+INDEX($I$2:$I$4,MATCH($B$1,$H$2:$H$4,0)),INDEX($M$2:$M$9,MATCH($B19&amp;$C19,$J$2:$J$9,0)),1,INDEX($N$2:$N$9,MATCH($B19&amp;$C19,$J$2:$J$9,0))))</f>
        <v>9.7343998861328558</v>
      </c>
      <c r="N19" s="561">
        <f ca="1">SUM(OFFSET('Output data (results)'!$B$10,N$15-2000+INDEX($I$2:$I$4,MATCH($B$1,$H$2:$H$4,0)),INDEX($M$2:$M$9,MATCH($B19&amp;$C19,$J$2:$J$9,0)),1,INDEX($N$2:$N$9,MATCH($B19&amp;$C19,$J$2:$J$9,0))))</f>
        <v>8.1015081782510823</v>
      </c>
      <c r="O19" s="561">
        <f ca="1">SUM(OFFSET('Output data (results)'!$B$10,O$15-2000+INDEX($I$2:$I$4,MATCH($B$1,$H$2:$H$4,0)),INDEX($M$2:$M$9,MATCH($B19&amp;$C19,$J$2:$J$9,0)),1,INDEX($N$2:$N$9,MATCH($B19&amp;$C19,$J$2:$J$9,0))))</f>
        <v>7.6831819504283345</v>
      </c>
      <c r="P19" s="561">
        <f ca="1">SUM(OFFSET('Output data (results)'!$B$10,P$15-2000+INDEX($I$2:$I$4,MATCH($B$1,$H$2:$H$4,0)),INDEX($M$2:$M$9,MATCH($B19&amp;$C19,$J$2:$J$9,0)),1,INDEX($N$2:$N$9,MATCH($B19&amp;$C19,$J$2:$J$9,0))))</f>
        <v>7.2576902922415494</v>
      </c>
      <c r="Q19" s="561">
        <f ca="1">SUM(OFFSET('Output data (results)'!$B$10,Q$15-2000+INDEX($I$2:$I$4,MATCH($B$1,$H$2:$H$4,0)),INDEX($M$2:$M$9,MATCH($B19&amp;$C19,$J$2:$J$9,0)),1,INDEX($N$2:$N$9,MATCH($B19&amp;$C19,$J$2:$J$9,0))))</f>
        <v>6.8247722059740834</v>
      </c>
      <c r="R19" s="561">
        <f ca="1">SUM(OFFSET('Output data (results)'!$B$10,R$15-2000+INDEX($I$2:$I$4,MATCH($B$1,$H$2:$H$4,0)),INDEX($M$2:$M$9,MATCH($B19&amp;$C19,$J$2:$J$9,0)),1,INDEX($N$2:$N$9,MATCH($B19&amp;$C19,$J$2:$J$9,0))))</f>
        <v>6.3879345628548228</v>
      </c>
      <c r="S19" s="561">
        <f ca="1">SUM(OFFSET('Output data (results)'!$B$10,S$15-2000+INDEX($I$2:$I$4,MATCH($B$1,$H$2:$H$4,0)),INDEX($M$2:$M$9,MATCH($B19&amp;$C19,$J$2:$J$9,0)),1,INDEX($N$2:$N$9,MATCH($B19&amp;$C19,$J$2:$J$9,0))))</f>
        <v>5.9425799565861794</v>
      </c>
      <c r="T19" s="561">
        <f ca="1">SUM(OFFSET('Output data (results)'!$B$10,T$15-2000+INDEX($I$2:$I$4,MATCH($B$1,$H$2:$H$4,0)),INDEX($M$2:$M$9,MATCH($B19&amp;$C19,$J$2:$J$9,0)),1,INDEX($N$2:$N$9,MATCH($B19&amp;$C19,$J$2:$J$9,0))))</f>
        <v>5.48840089387914</v>
      </c>
      <c r="U19" s="561">
        <f ca="1">SUM(OFFSET('Output data (results)'!$B$10,U$15-2000+INDEX($I$2:$I$4,MATCH($B$1,$H$2:$H$4,0)),INDEX($M$2:$M$9,MATCH($B19&amp;$C19,$J$2:$J$9,0)),1,INDEX($N$2:$N$9,MATCH($B19&amp;$C19,$J$2:$J$9,0))))</f>
        <v>5.0250760593777697</v>
      </c>
      <c r="V19" s="561">
        <f ca="1">SUM(OFFSET('Output data (results)'!$B$10,V$15-2000+INDEX($I$2:$I$4,MATCH($B$1,$H$2:$H$4,0)),INDEX($M$2:$M$9,MATCH($B19&amp;$C19,$J$2:$J$9,0)),1,INDEX($N$2:$N$9,MATCH($B19&amp;$C19,$J$2:$J$9,0))))</f>
        <v>4.5522695086755505</v>
      </c>
      <c r="W19" s="561">
        <f ca="1">SUM(OFFSET('Output data (results)'!$B$10,W$15-2000+INDEX($I$2:$I$4,MATCH($B$1,$H$2:$H$4,0)),INDEX($M$2:$M$9,MATCH($B19&amp;$C19,$J$2:$J$9,0)),1,INDEX($N$2:$N$9,MATCH($B19&amp;$C19,$J$2:$J$9,0))))</f>
        <v>4.014793147903057</v>
      </c>
      <c r="X19" s="561">
        <f ca="1">SUM(OFFSET('Output data (results)'!$B$10,X$15-2000+INDEX($I$2:$I$4,MATCH($B$1,$H$2:$H$4,0)),INDEX($M$2:$M$9,MATCH($B19&amp;$C19,$J$2:$J$9,0)),1,INDEX($N$2:$N$9,MATCH($B19&amp;$C19,$J$2:$J$9,0))))</f>
        <v>3.4806564805625984</v>
      </c>
      <c r="Y19" s="561">
        <f ca="1">SUM(OFFSET('Output data (results)'!$B$10,Y$15-2000+INDEX($I$2:$I$4,MATCH($B$1,$H$2:$H$4,0)),INDEX($M$2:$M$9,MATCH($B19&amp;$C19,$J$2:$J$9,0)),1,INDEX($N$2:$N$9,MATCH($B19&amp;$C19,$J$2:$J$9,0))))</f>
        <v>3.4703388628638314</v>
      </c>
      <c r="Z19" s="561">
        <f ca="1">SUM(OFFSET('Output data (results)'!$B$10,Z$15-2000+INDEX($I$2:$I$4,MATCH($B$1,$H$2:$H$4,0)),INDEX($M$2:$M$9,MATCH($B19&amp;$C19,$J$2:$J$9,0)),1,INDEX($N$2:$N$9,MATCH($B19&amp;$C19,$J$2:$J$9,0))))</f>
        <v>3.4601687706699158</v>
      </c>
      <c r="AA19" s="561">
        <f ca="1">SUM(OFFSET('Output data (results)'!$B$10,AA$15-2000+INDEX($I$2:$I$4,MATCH($B$1,$H$2:$H$4,0)),INDEX($M$2:$M$9,MATCH($B19&amp;$C19,$J$2:$J$9,0)),1,INDEX($N$2:$N$9,MATCH($B19&amp;$C19,$J$2:$J$9,0))))</f>
        <v>3.450143421804122</v>
      </c>
      <c r="AB19" s="561">
        <f ca="1">SUM(OFFSET('Output data (results)'!$B$10,AB$15-2000+INDEX($I$2:$I$4,MATCH($B$1,$H$2:$H$4,0)),INDEX($M$2:$M$9,MATCH($B19&amp;$C19,$J$2:$J$9,0)),1,INDEX($N$2:$N$9,MATCH($B19&amp;$C19,$J$2:$J$9,0))))</f>
        <v>3.4416513364396093</v>
      </c>
      <c r="AC19" s="561">
        <f ca="1">SUM(OFFSET('Output data (results)'!$B$10,AC$15-2000+INDEX($I$2:$I$4,MATCH($B$1,$H$2:$H$4,0)),INDEX($M$2:$M$9,MATCH($B19&amp;$C19,$J$2:$J$9,0)),1,INDEX($N$2:$N$9,MATCH($B19&amp;$C19,$J$2:$J$9,0))))</f>
        <v>3.4332622200210539</v>
      </c>
      <c r="AD19" s="561">
        <f ca="1">SUM(OFFSET('Output data (results)'!$B$10,AD$15-2000+INDEX($I$2:$I$4,MATCH($B$1,$H$2:$H$4,0)),INDEX($M$2:$M$9,MATCH($B19&amp;$C19,$J$2:$J$9,0)),1,INDEX($N$2:$N$9,MATCH($B19&amp;$C19,$J$2:$J$9,0))))</f>
        <v>3.4249744302095286</v>
      </c>
      <c r="AE19" s="561">
        <f ca="1">SUM(OFFSET('Output data (results)'!$B$10,AE$15-2000+INDEX($I$2:$I$4,MATCH($B$1,$H$2:$H$4,0)),INDEX($M$2:$M$9,MATCH($B19&amp;$C19,$J$2:$J$9,0)),1,INDEX($N$2:$N$9,MATCH($B19&amp;$C19,$J$2:$J$9,0))))</f>
        <v>3.4167863587741936</v>
      </c>
      <c r="AF19" s="561">
        <f ca="1">SUM(OFFSET('Output data (results)'!$B$10,AF$15-2000+INDEX($I$2:$I$4,MATCH($B$1,$H$2:$H$4,0)),INDEX($M$2:$M$9,MATCH($B19&amp;$C19,$J$2:$J$9,0)),1,INDEX($N$2:$N$9,MATCH($B19&amp;$C19,$J$2:$J$9,0))))</f>
        <v>3.4086964307102301</v>
      </c>
      <c r="AG19" s="561">
        <f ca="1">SUM(OFFSET('Output data (results)'!$B$10,AG$15-2000+INDEX($I$2:$I$4,MATCH($B$1,$H$2:$H$4,0)),INDEX($M$2:$M$9,MATCH($B19&amp;$C19,$J$2:$J$9,0)),1,INDEX($N$2:$N$9,MATCH($B19&amp;$C19,$J$2:$J$9,0))))</f>
        <v>3.4019053803835608</v>
      </c>
      <c r="AH19" s="561">
        <f ca="1">SUM(OFFSET('Output data (results)'!$B$10,AH$15-2000+INDEX($I$2:$I$4,MATCH($B$1,$H$2:$H$4,0)),INDEX($M$2:$M$9,MATCH($B19&amp;$C19,$J$2:$J$9,0)),1,INDEX($N$2:$N$9,MATCH($B19&amp;$C19,$J$2:$J$9,0))))</f>
        <v>3.3951830046783922</v>
      </c>
      <c r="AI19" s="561">
        <f ca="1">SUM(OFFSET('Output data (results)'!$B$10,AI$15-2000+INDEX($I$2:$I$4,MATCH($B$1,$H$2:$H$4,0)),INDEX($M$2:$M$9,MATCH($B19&amp;$C19,$J$2:$J$9,0)),1,INDEX($N$2:$N$9,MATCH($B19&amp;$C19,$J$2:$J$9,0))))</f>
        <v>3.3885283940442661</v>
      </c>
      <c r="AJ19" s="561">
        <f ca="1">SUM(OFFSET('Output data (results)'!$B$10,AJ$15-2000+INDEX($I$2:$I$4,MATCH($B$1,$H$2:$H$4,0)),INDEX($M$2:$M$9,MATCH($B19&amp;$C19,$J$2:$J$9,0)),1,INDEX($N$2:$N$9,MATCH($B19&amp;$C19,$J$2:$J$9,0))))</f>
        <v>3.3819406546042359</v>
      </c>
      <c r="AK19" s="561">
        <f ca="1">SUM(OFFSET('Output data (results)'!$B$10,AK$15-2000+INDEX($I$2:$I$4,MATCH($B$1,$H$2:$H$4,0)),INDEX($M$2:$M$9,MATCH($B19&amp;$C19,$J$2:$J$9,0)),1,INDEX($N$2:$N$9,MATCH($B19&amp;$C19,$J$2:$J$9,0))))</f>
        <v>3.3754189078182595</v>
      </c>
      <c r="AL19" s="561">
        <f ca="1">SUM(OFFSET('Output data (results)'!$B$10,AL$15-2000+INDEX($I$2:$I$4,MATCH($B$1,$H$2:$H$4,0)),INDEX($M$2:$M$9,MATCH($B19&amp;$C19,$J$2:$J$9,0)),1,INDEX($N$2:$N$9,MATCH($B19&amp;$C19,$J$2:$J$9,0))))</f>
        <v>3.3701044925782111</v>
      </c>
      <c r="AM19" s="561">
        <f ca="1">SUM(OFFSET('Output data (results)'!$B$10,AM$15-2000+INDEX($I$2:$I$4,MATCH($B$1,$H$2:$H$4,0)),INDEX($M$2:$M$9,MATCH($B19&amp;$C19,$J$2:$J$9,0)),1,INDEX($N$2:$N$9,MATCH($B19&amp;$C19,$J$2:$J$9,0))))</f>
        <v>3.3648336500638756</v>
      </c>
      <c r="AN19" s="561">
        <f ca="1">SUM(OFFSET('Output data (results)'!$B$10,AN$15-2000+INDEX($I$2:$I$4,MATCH($B$1,$H$2:$H$4,0)),INDEX($M$2:$M$9,MATCH($B19&amp;$C19,$J$2:$J$9,0)),1,INDEX($N$2:$N$9,MATCH($B19&amp;$C19,$J$2:$J$9,0))))</f>
        <v>3.3596059140791361</v>
      </c>
      <c r="AO19" s="561">
        <f ca="1">SUM(OFFSET('Output data (results)'!$B$10,AO$15-2000+INDEX($I$2:$I$4,MATCH($B$1,$H$2:$H$4,0)),INDEX($M$2:$M$9,MATCH($B19&amp;$C19,$J$2:$J$9,0)),1,INDEX($N$2:$N$9,MATCH($B19&amp;$C19,$J$2:$J$9,0))))</f>
        <v>3.3544208249136438</v>
      </c>
      <c r="AP19" s="561">
        <f ca="1">SUM(OFFSET('Output data (results)'!$B$10,AP$15-2000+INDEX($I$2:$I$4,MATCH($B$1,$H$2:$H$4,0)),INDEX($M$2:$M$9,MATCH($B19&amp;$C19,$J$2:$J$9,0)),1,INDEX($N$2:$N$9,MATCH($B19&amp;$C19,$J$2:$J$9,0))))</f>
        <v>3.3492779292302708</v>
      </c>
    </row>
    <row r="20" spans="1:42">
      <c r="A20" s="10" t="s">
        <v>675</v>
      </c>
      <c r="B20" t="s">
        <v>680</v>
      </c>
      <c r="C20" t="s">
        <v>188</v>
      </c>
      <c r="D20" s="1165">
        <f ca="1">SUM(OFFSET('Output data (results)'!$B$10,D$15-2000,INDEX($M$2:$M$9,MATCH($B20&amp;$C20,$J$2:$J$9,0)),1,INDEX($N$2:$N$9,MATCH($B20&amp;$C20,$J$2:$J$9,0))))</f>
        <v>121.42022721713889</v>
      </c>
      <c r="E20" s="1165">
        <f ca="1">SUM(OFFSET('Output data (results)'!$B$10,E$15-2000,INDEX($M$2:$M$9,MATCH($B20&amp;$C20,$J$2:$J$9,0)),1,INDEX($N$2:$N$9,MATCH($B20&amp;$C20,$J$2:$J$9,0))))</f>
        <v>123.22777500074881</v>
      </c>
      <c r="F20" s="1165">
        <f ca="1">SUM(OFFSET('Output data (results)'!$B$10,F$15-2000,INDEX($M$2:$M$9,MATCH($B20&amp;$C20,$J$2:$J$9,0)),1,INDEX($N$2:$N$9,MATCH($B20&amp;$C20,$J$2:$J$9,0))))</f>
        <v>125.10267629930888</v>
      </c>
      <c r="G20" s="1165">
        <f ca="1">SUM(OFFSET('Output data (results)'!$B$10,G$15-2000,INDEX($M$2:$M$9,MATCH($B20&amp;$C20,$J$2:$J$9,0)),1,INDEX($N$2:$N$9,MATCH($B20&amp;$C20,$J$2:$J$9,0))))</f>
        <v>127.04753208598689</v>
      </c>
      <c r="H20" s="1165">
        <f ca="1">SUM(OFFSET('Output data (results)'!$B$10,H$15-2000,INDEX($M$2:$M$9,MATCH($B20&amp;$C20,$J$2:$J$9,0)),1,INDEX($N$2:$N$9,MATCH($B20&amp;$C20,$J$2:$J$9,0))))</f>
        <v>129.06507290384971</v>
      </c>
      <c r="I20" s="1165">
        <f ca="1">SUM(OFFSET('Output data (results)'!$B$10,I$15-2000,INDEX($M$2:$M$9,MATCH($B20&amp;$C20,$J$2:$J$9,0)),1,INDEX($N$2:$N$9,MATCH($B20&amp;$C20,$J$2:$J$9,0))))</f>
        <v>131.15816527384879</v>
      </c>
      <c r="J20" s="561">
        <f ca="1">SUM(OFFSET('Output data (results)'!$B$10,J$15-2000+INDEX($I$2:$I$4,MATCH($B$1,$H$2:$H$4,0)),INDEX($M$2:$M$9,MATCH($B20&amp;$C20,$J$2:$J$9,0)),1,INDEX($N$2:$N$9,MATCH($B20&amp;$C20,$J$2:$J$9,0))))</f>
        <v>137.16052165703309</v>
      </c>
      <c r="K20" s="561">
        <f ca="1">SUM(OFFSET('Output data (results)'!$B$10,K$15-2000+INDEX($I$2:$I$4,MATCH($B$1,$H$2:$H$4,0)),INDEX($M$2:$M$9,MATCH($B20&amp;$C20,$J$2:$J$9,0)),1,INDEX($N$2:$N$9,MATCH($B20&amp;$C20,$J$2:$J$9,0))))</f>
        <v>143.32271319274017</v>
      </c>
      <c r="L20" s="561">
        <f ca="1">SUM(OFFSET('Output data (results)'!$B$10,L$15-2000+INDEX($I$2:$I$4,MATCH($B$1,$H$2:$H$4,0)),INDEX($M$2:$M$9,MATCH($B20&amp;$C20,$J$2:$J$9,0)),1,INDEX($N$2:$N$9,MATCH($B20&amp;$C20,$J$2:$J$9,0))))</f>
        <v>149.64833972612956</v>
      </c>
      <c r="M20" s="561">
        <f ca="1">SUM(OFFSET('Output data (results)'!$B$10,M$15-2000+INDEX($I$2:$I$4,MATCH($B$1,$H$2:$H$4,0)),INDEX($M$2:$M$9,MATCH($B20&amp;$C20,$J$2:$J$9,0)),1,INDEX($N$2:$N$9,MATCH($B20&amp;$C20,$J$2:$J$9,0))))</f>
        <v>155.42542691703585</v>
      </c>
      <c r="N20" s="561">
        <f ca="1">SUM(OFFSET('Output data (results)'!$B$10,N$15-2000+INDEX($I$2:$I$4,MATCH($B$1,$H$2:$H$4,0)),INDEX($M$2:$M$9,MATCH($B20&amp;$C20,$J$2:$J$9,0)),1,INDEX($N$2:$N$9,MATCH($B20&amp;$C20,$J$2:$J$9,0))))</f>
        <v>161.31571105616422</v>
      </c>
      <c r="O20" s="561">
        <f ca="1">SUM(OFFSET('Output data (results)'!$B$10,O$15-2000+INDEX($I$2:$I$4,MATCH($B$1,$H$2:$H$4,0)),INDEX($M$2:$M$9,MATCH($B20&amp;$C20,$J$2:$J$9,0)),1,INDEX($N$2:$N$9,MATCH($B20&amp;$C20,$J$2:$J$9,0))))</f>
        <v>167.32103297774702</v>
      </c>
      <c r="P20" s="561">
        <f ca="1">SUM(OFFSET('Output data (results)'!$B$10,P$15-2000+INDEX($I$2:$I$4,MATCH($B$1,$H$2:$H$4,0)),INDEX($M$2:$M$9,MATCH($B20&amp;$C20,$J$2:$J$9,0)),1,INDEX($N$2:$N$9,MATCH($B20&amp;$C20,$J$2:$J$9,0))))</f>
        <v>173.44326090016418</v>
      </c>
      <c r="Q20" s="561">
        <f ca="1">SUM(OFFSET('Output data (results)'!$B$10,Q$15-2000+INDEX($I$2:$I$4,MATCH($B$1,$H$2:$H$4,0)),INDEX($M$2:$M$9,MATCH($B20&amp;$C20,$J$2:$J$9,0)),1,INDEX($N$2:$N$9,MATCH($B20&amp;$C20,$J$2:$J$9,0))))</f>
        <v>179.68429081250378</v>
      </c>
      <c r="R20" s="561">
        <f ca="1">SUM(OFFSET('Output data (results)'!$B$10,R$15-2000+INDEX($I$2:$I$4,MATCH($B$1,$H$2:$H$4,0)),INDEX($M$2:$M$9,MATCH($B20&amp;$C20,$J$2:$J$9,0)),1,INDEX($N$2:$N$9,MATCH($B20&amp;$C20,$J$2:$J$9,0))))</f>
        <v>185.73930530907452</v>
      </c>
      <c r="S20" s="561">
        <f ca="1">SUM(OFFSET('Output data (results)'!$B$10,S$15-2000+INDEX($I$2:$I$4,MATCH($B$1,$H$2:$H$4,0)),INDEX($M$2:$M$9,MATCH($B20&amp;$C20,$J$2:$J$9,0)),1,INDEX($N$2:$N$9,MATCH($B20&amp;$C20,$J$2:$J$9,0))))</f>
        <v>191.89613972825521</v>
      </c>
      <c r="T20" s="561">
        <f ca="1">SUM(OFFSET('Output data (results)'!$B$10,T$15-2000+INDEX($I$2:$I$4,MATCH($B$1,$H$2:$H$4,0)),INDEX($M$2:$M$9,MATCH($B20&amp;$C20,$J$2:$J$9,0)),1,INDEX($N$2:$N$9,MATCH($B20&amp;$C20,$J$2:$J$9,0))))</f>
        <v>198.15621215016739</v>
      </c>
      <c r="U20" s="561">
        <f ca="1">SUM(OFFSET('Output data (results)'!$B$10,U$15-2000+INDEX($I$2:$I$4,MATCH($B$1,$H$2:$H$4,0)),INDEX($M$2:$M$9,MATCH($B20&amp;$C20,$J$2:$J$9,0)),1,INDEX($N$2:$N$9,MATCH($B20&amp;$C20,$J$2:$J$9,0))))</f>
        <v>204.52095870933701</v>
      </c>
      <c r="V20" s="561">
        <f ca="1">SUM(OFFSET('Output data (results)'!$B$10,V$15-2000+INDEX($I$2:$I$4,MATCH($B$1,$H$2:$H$4,0)),INDEX($M$2:$M$9,MATCH($B20&amp;$C20,$J$2:$J$9,0)),1,INDEX($N$2:$N$9,MATCH($B20&amp;$C20,$J$2:$J$9,0))))</f>
        <v>210.99183381275145</v>
      </c>
      <c r="W20" s="561">
        <f ca="1">SUM(OFFSET('Output data (results)'!$B$10,W$15-2000+INDEX($I$2:$I$4,MATCH($B$1,$H$2:$H$4,0)),INDEX($M$2:$M$9,MATCH($B20&amp;$C20,$J$2:$J$9,0)),1,INDEX($N$2:$N$9,MATCH($B20&amp;$C20,$J$2:$J$9,0))))</f>
        <v>212.79249544373798</v>
      </c>
      <c r="X20" s="561">
        <f ca="1">SUM(OFFSET('Output data (results)'!$B$10,X$15-2000+INDEX($I$2:$I$4,MATCH($B$1,$H$2:$H$4,0)),INDEX($M$2:$M$9,MATCH($B20&amp;$C20,$J$2:$J$9,0)),1,INDEX($N$2:$N$9,MATCH($B20&amp;$C20,$J$2:$J$9,0))))</f>
        <v>214.60852441027842</v>
      </c>
      <c r="Y20" s="561">
        <f ca="1">SUM(OFFSET('Output data (results)'!$B$10,Y$15-2000+INDEX($I$2:$I$4,MATCH($B$1,$H$2:$H$4,0)),INDEX($M$2:$M$9,MATCH($B20&amp;$C20,$J$2:$J$9,0)),1,INDEX($N$2:$N$9,MATCH($B20&amp;$C20,$J$2:$J$9,0))))</f>
        <v>216.44005186138909</v>
      </c>
      <c r="Z20" s="561">
        <f ca="1">SUM(OFFSET('Output data (results)'!$B$10,Z$15-2000+INDEX($I$2:$I$4,MATCH($B$1,$H$2:$H$4,0)),INDEX($M$2:$M$9,MATCH($B20&amp;$C20,$J$2:$J$9,0)),1,INDEX($N$2:$N$9,MATCH($B20&amp;$C20,$J$2:$J$9,0))))</f>
        <v>218.28721006534801</v>
      </c>
      <c r="AA20" s="561">
        <f ca="1">SUM(OFFSET('Output data (results)'!$B$10,AA$15-2000+INDEX($I$2:$I$4,MATCH($B$1,$H$2:$H$4,0)),INDEX($M$2:$M$9,MATCH($B20&amp;$C20,$J$2:$J$9,0)),1,INDEX($N$2:$N$9,MATCH($B20&amp;$C20,$J$2:$J$9,0))))</f>
        <v>220.15013241924632</v>
      </c>
      <c r="AB20" s="561">
        <f ca="1">SUM(OFFSET('Output data (results)'!$B$10,AB$15-2000+INDEX($I$2:$I$4,MATCH($B$1,$H$2:$H$4,0)),INDEX($M$2:$M$9,MATCH($B20&amp;$C20,$J$2:$J$9,0)),1,INDEX($N$2:$N$9,MATCH($B20&amp;$C20,$J$2:$J$9,0))))</f>
        <v>221.76188597912451</v>
      </c>
      <c r="AC20" s="561">
        <f ca="1">SUM(OFFSET('Output data (results)'!$B$10,AC$15-2000+INDEX($I$2:$I$4,MATCH($B$1,$H$2:$H$4,0)),INDEX($M$2:$M$9,MATCH($B20&amp;$C20,$J$2:$J$9,0)),1,INDEX($N$2:$N$9,MATCH($B20&amp;$C20,$J$2:$J$9,0))))</f>
        <v>223.38543943895829</v>
      </c>
      <c r="AD20" s="561">
        <f ca="1">SUM(OFFSET('Output data (results)'!$B$10,AD$15-2000+INDEX($I$2:$I$4,MATCH($B$1,$H$2:$H$4,0)),INDEX($M$2:$M$9,MATCH($B20&amp;$C20,$J$2:$J$9,0)),1,INDEX($N$2:$N$9,MATCH($B20&amp;$C20,$J$2:$J$9,0))))</f>
        <v>225.02087918766139</v>
      </c>
      <c r="AE20" s="561">
        <f ca="1">SUM(OFFSET('Output data (results)'!$B$10,AE$15-2000+INDEX($I$2:$I$4,MATCH($B$1,$H$2:$H$4,0)),INDEX($M$2:$M$9,MATCH($B20&amp;$C20,$J$2:$J$9,0)),1,INDEX($N$2:$N$9,MATCH($B20&amp;$C20,$J$2:$J$9,0))))</f>
        <v>226.66829224661399</v>
      </c>
      <c r="AF20" s="561">
        <f ca="1">SUM(OFFSET('Output data (results)'!$B$10,AF$15-2000+INDEX($I$2:$I$4,MATCH($B$1,$H$2:$H$4,0)),INDEX($M$2:$M$9,MATCH($B20&amp;$C20,$J$2:$J$9,0)),1,INDEX($N$2:$N$9,MATCH($B20&amp;$C20,$J$2:$J$9,0))))</f>
        <v>228.32776627429359</v>
      </c>
      <c r="AG20" s="561">
        <f ca="1">SUM(OFFSET('Output data (results)'!$B$10,AG$15-2000+INDEX($I$2:$I$4,MATCH($B$1,$H$2:$H$4,0)),INDEX($M$2:$M$9,MATCH($B20&amp;$C20,$J$2:$J$9,0)),1,INDEX($N$2:$N$9,MATCH($B20&amp;$C20,$J$2:$J$9,0))))</f>
        <v>229.74589393780369</v>
      </c>
      <c r="AH20" s="561">
        <f ca="1">SUM(OFFSET('Output data (results)'!$B$10,AH$15-2000+INDEX($I$2:$I$4,MATCH($B$1,$H$2:$H$4,0)),INDEX($M$2:$M$9,MATCH($B20&amp;$C20,$J$2:$J$9,0)),1,INDEX($N$2:$N$9,MATCH($B20&amp;$C20,$J$2:$J$9,0))))</f>
        <v>231.17282949228024</v>
      </c>
      <c r="AI20" s="561">
        <f ca="1">SUM(OFFSET('Output data (results)'!$B$10,AI$15-2000+INDEX($I$2:$I$4,MATCH($B$1,$H$2:$H$4,0)),INDEX($M$2:$M$9,MATCH($B20&amp;$C20,$J$2:$J$9,0)),1,INDEX($N$2:$N$9,MATCH($B20&amp;$C20,$J$2:$J$9,0))))</f>
        <v>232.6086276429136</v>
      </c>
      <c r="AJ20" s="561">
        <f ca="1">SUM(OFFSET('Output data (results)'!$B$10,AJ$15-2000+INDEX($I$2:$I$4,MATCH($B$1,$H$2:$H$4,0)),INDEX($M$2:$M$9,MATCH($B20&amp;$C20,$J$2:$J$9,0)),1,INDEX($N$2:$N$9,MATCH($B20&amp;$C20,$J$2:$J$9,0))))</f>
        <v>234.0533434346637</v>
      </c>
      <c r="AK20" s="561">
        <f ca="1">SUM(OFFSET('Output data (results)'!$B$10,AK$15-2000+INDEX($I$2:$I$4,MATCH($B$1,$H$2:$H$4,0)),INDEX($M$2:$M$9,MATCH($B20&amp;$C20,$J$2:$J$9,0)),1,INDEX($N$2:$N$9,MATCH($B20&amp;$C20,$J$2:$J$9,0))))</f>
        <v>235.50703225437104</v>
      </c>
      <c r="AL20" s="561">
        <f ca="1">SUM(OFFSET('Output data (results)'!$B$10,AL$15-2000+INDEX($I$2:$I$4,MATCH($B$1,$H$2:$H$4,0)),INDEX($M$2:$M$9,MATCH($B20&amp;$C20,$J$2:$J$9,0)),1,INDEX($N$2:$N$9,MATCH($B20&amp;$C20,$J$2:$J$9,0))))</f>
        <v>236.70925796835201</v>
      </c>
      <c r="AM20" s="561">
        <f ca="1">SUM(OFFSET('Output data (results)'!$B$10,AM$15-2000+INDEX($I$2:$I$4,MATCH($B$1,$H$2:$H$4,0)),INDEX($M$2:$M$9,MATCH($B20&amp;$C20,$J$2:$J$9,0)),1,INDEX($N$2:$N$9,MATCH($B20&amp;$C20,$J$2:$J$9,0))))</f>
        <v>237.91762085222362</v>
      </c>
      <c r="AN20" s="561">
        <f ca="1">SUM(OFFSET('Output data (results)'!$B$10,AN$15-2000+INDEX($I$2:$I$4,MATCH($B$1,$H$2:$H$4,0)),INDEX($M$2:$M$9,MATCH($B20&amp;$C20,$J$2:$J$9,0)),1,INDEX($N$2:$N$9,MATCH($B20&amp;$C20,$J$2:$J$9,0))))</f>
        <v>239.13215223525594</v>
      </c>
      <c r="AO20" s="561">
        <f ca="1">SUM(OFFSET('Output data (results)'!$B$10,AO$15-2000+INDEX($I$2:$I$4,MATCH($B$1,$H$2:$H$4,0)),INDEX($M$2:$M$9,MATCH($B20&amp;$C20,$J$2:$J$9,0)),1,INDEX($N$2:$N$9,MATCH($B20&amp;$C20,$J$2:$J$9,0))))</f>
        <v>240.35288360665007</v>
      </c>
      <c r="AP20" s="561">
        <f ca="1">SUM(OFFSET('Output data (results)'!$B$10,AP$15-2000+INDEX($I$2:$I$4,MATCH($B$1,$H$2:$H$4,0)),INDEX($M$2:$M$9,MATCH($B20&amp;$C20,$J$2:$J$9,0)),1,INDEX($N$2:$N$9,MATCH($B20&amp;$C20,$J$2:$J$9,0))))</f>
        <v>241.57984661635467</v>
      </c>
    </row>
    <row r="21" spans="1:42">
      <c r="A21" s="10" t="s">
        <v>676</v>
      </c>
      <c r="B21" t="s">
        <v>678</v>
      </c>
      <c r="C21" t="s">
        <v>191</v>
      </c>
      <c r="D21" s="1165">
        <f ca="1">SUM(OFFSET('Output data (results)'!$B$10,D$15-2000,INDEX($M$2:$M$9,MATCH($B21&amp;$C21,$J$2:$J$9,0)),1,INDEX($N$2:$N$9,MATCH($B21&amp;$C21,$J$2:$J$9,0))))</f>
        <v>0.81063931946991663</v>
      </c>
      <c r="E21" s="1165">
        <f ca="1">SUM(OFFSET('Output data (results)'!$B$10,E$15-2000,INDEX($M$2:$M$9,MATCH($B21&amp;$C21,$J$2:$J$9,0)),1,INDEX($N$2:$N$9,MATCH($B21&amp;$C21,$J$2:$J$9,0))))</f>
        <v>0.88580147000787623</v>
      </c>
      <c r="F21" s="1165">
        <f ca="1">SUM(OFFSET('Output data (results)'!$B$10,F$15-2000,INDEX($M$2:$M$9,MATCH($B21&amp;$C21,$J$2:$J$9,0)),1,INDEX($N$2:$N$9,MATCH($B21&amp;$C21,$J$2:$J$9,0))))</f>
        <v>0.95500750298305781</v>
      </c>
      <c r="G21" s="1165">
        <f ca="1">SUM(OFFSET('Output data (results)'!$B$10,G$15-2000,INDEX($M$2:$M$9,MATCH($B21&amp;$C21,$J$2:$J$9,0)),1,INDEX($N$2:$N$9,MATCH($B21&amp;$C21,$J$2:$J$9,0))))</f>
        <v>1.0172246056661429</v>
      </c>
      <c r="H21" s="1165">
        <f ca="1">SUM(OFFSET('Output data (results)'!$B$10,H$15-2000,INDEX($M$2:$M$9,MATCH($B21&amp;$C21,$J$2:$J$9,0)),1,INDEX($N$2:$N$9,MATCH($B21&amp;$C21,$J$2:$J$9,0))))</f>
        <v>1.0751178807300981</v>
      </c>
      <c r="I21" s="1165">
        <f ca="1">SUM(OFFSET('Output data (results)'!$B$10,I$15-2000,INDEX($M$2:$M$9,MATCH($B21&amp;$C21,$J$2:$J$9,0)),1,INDEX($N$2:$N$9,MATCH($B21&amp;$C21,$J$2:$J$9,0))))</f>
        <v>1.1299025045628048</v>
      </c>
      <c r="J21" s="561">
        <f ca="1">SUM(OFFSET('Output data (results)'!$B$10,J$15-2000+INDEX($I$2:$I$4,MATCH($B$1,$H$2:$H$4,0)),INDEX($M$2:$M$9,MATCH($B21&amp;$C21,$J$2:$J$9,0)),1,INDEX($N$2:$N$9,MATCH($B21&amp;$C21,$J$2:$J$9,0))))</f>
        <v>1.1182575419594918</v>
      </c>
      <c r="K21" s="561">
        <f ca="1">SUM(OFFSET('Output data (results)'!$B$10,K$15-2000+INDEX($I$2:$I$4,MATCH($B$1,$H$2:$H$4,0)),INDEX($M$2:$M$9,MATCH($B21&amp;$C21,$J$2:$J$9,0)),1,INDEX($N$2:$N$9,MATCH($B21&amp;$C21,$J$2:$J$9,0))))</f>
        <v>1.0748608403612381</v>
      </c>
      <c r="L21" s="561">
        <f ca="1">SUM(OFFSET('Output data (results)'!$B$10,L$15-2000+INDEX($I$2:$I$4,MATCH($B$1,$H$2:$H$4,0)),INDEX($M$2:$M$9,MATCH($B21&amp;$C21,$J$2:$J$9,0)),1,INDEX($N$2:$N$9,MATCH($B21&amp;$C21,$J$2:$J$9,0))))</f>
        <v>1.0556862138449019</v>
      </c>
      <c r="M21" s="561">
        <f ca="1">SUM(OFFSET('Output data (results)'!$B$10,M$15-2000+INDEX($I$2:$I$4,MATCH($B$1,$H$2:$H$4,0)),INDEX($M$2:$M$9,MATCH($B21&amp;$C21,$J$2:$J$9,0)),1,INDEX($N$2:$N$9,MATCH($B21&amp;$C21,$J$2:$J$9,0))))</f>
        <v>1.1385945507087292</v>
      </c>
      <c r="N21" s="561">
        <f ca="1">SUM(OFFSET('Output data (results)'!$B$10,N$15-2000+INDEX($I$2:$I$4,MATCH($B$1,$H$2:$H$4,0)),INDEX($M$2:$M$9,MATCH($B21&amp;$C21,$J$2:$J$9,0)),1,INDEX($N$2:$N$9,MATCH($B21&amp;$C21,$J$2:$J$9,0))))</f>
        <v>1.0647589581974459</v>
      </c>
      <c r="O21" s="561">
        <f ca="1">SUM(OFFSET('Output data (results)'!$B$10,O$15-2000+INDEX($I$2:$I$4,MATCH($B$1,$H$2:$H$4,0)),INDEX($M$2:$M$9,MATCH($B21&amp;$C21,$J$2:$J$9,0)),1,INDEX($N$2:$N$9,MATCH($B21&amp;$C21,$J$2:$J$9,0))))</f>
        <v>1.0692003438618334</v>
      </c>
      <c r="P21" s="561">
        <f ca="1">SUM(OFFSET('Output data (results)'!$B$10,P$15-2000+INDEX($I$2:$I$4,MATCH($B$1,$H$2:$H$4,0)),INDEX($M$2:$M$9,MATCH($B21&amp;$C21,$J$2:$J$9,0)),1,INDEX($N$2:$N$9,MATCH($B21&amp;$C21,$J$2:$J$9,0))))</f>
        <v>1.0743522319223402</v>
      </c>
      <c r="Q21" s="561">
        <f ca="1">SUM(OFFSET('Output data (results)'!$B$10,Q$15-2000+INDEX($I$2:$I$4,MATCH($B$1,$H$2:$H$4,0)),INDEX($M$2:$M$9,MATCH($B21&amp;$C21,$J$2:$J$9,0)),1,INDEX($N$2:$N$9,MATCH($B21&amp;$C21,$J$2:$J$9,0))))</f>
        <v>1.0795386207316018</v>
      </c>
      <c r="R21" s="561">
        <f ca="1">SUM(OFFSET('Output data (results)'!$B$10,R$15-2000+INDEX($I$2:$I$4,MATCH($B$1,$H$2:$H$4,0)),INDEX($M$2:$M$9,MATCH($B21&amp;$C21,$J$2:$J$9,0)),1,INDEX($N$2:$N$9,MATCH($B21&amp;$C21,$J$2:$J$9,0))))</f>
        <v>1.0848624958897817</v>
      </c>
      <c r="S21" s="561">
        <f ca="1">SUM(OFFSET('Output data (results)'!$B$10,S$15-2000+INDEX($I$2:$I$4,MATCH($B$1,$H$2:$H$4,0)),INDEX($M$2:$M$9,MATCH($B21&amp;$C21,$J$2:$J$9,0)),1,INDEX($N$2:$N$9,MATCH($B21&amp;$C21,$J$2:$J$9,0))))</f>
        <v>1.0900600363279773</v>
      </c>
      <c r="T21" s="561">
        <f ca="1">SUM(OFFSET('Output data (results)'!$B$10,T$15-2000+INDEX($I$2:$I$4,MATCH($B$1,$H$2:$H$4,0)),INDEX($M$2:$M$9,MATCH($B21&amp;$C21,$J$2:$J$9,0)),1,INDEX($N$2:$N$9,MATCH($B21&amp;$C21,$J$2:$J$9,0))))</f>
        <v>1.0955029316351483</v>
      </c>
      <c r="U21" s="561">
        <f ca="1">SUM(OFFSET('Output data (results)'!$B$10,U$15-2000+INDEX($I$2:$I$4,MATCH($B$1,$H$2:$H$4,0)),INDEX($M$2:$M$9,MATCH($B21&amp;$C21,$J$2:$J$9,0)),1,INDEX($N$2:$N$9,MATCH($B21&amp;$C21,$J$2:$J$9,0))))</f>
        <v>1.1007119061652126</v>
      </c>
      <c r="V21" s="561">
        <f ca="1">SUM(OFFSET('Output data (results)'!$B$10,V$15-2000+INDEX($I$2:$I$4,MATCH($B$1,$H$2:$H$4,0)),INDEX($M$2:$M$9,MATCH($B21&amp;$C21,$J$2:$J$9,0)),1,INDEX($N$2:$N$9,MATCH($B21&amp;$C21,$J$2:$J$9,0))))</f>
        <v>1.1060777065512712</v>
      </c>
      <c r="W21" s="561">
        <f ca="1">SUM(OFFSET('Output data (results)'!$B$10,W$15-2000+INDEX($I$2:$I$4,MATCH($B$1,$H$2:$H$4,0)),INDEX($M$2:$M$9,MATCH($B21&amp;$C21,$J$2:$J$9,0)),1,INDEX($N$2:$N$9,MATCH($B21&amp;$C21,$J$2:$J$9,0))))</f>
        <v>1.1123749146809387</v>
      </c>
      <c r="X21" s="561">
        <f ca="1">SUM(OFFSET('Output data (results)'!$B$10,X$15-2000+INDEX($I$2:$I$4,MATCH($B$1,$H$2:$H$4,0)),INDEX($M$2:$M$9,MATCH($B21&amp;$C21,$J$2:$J$9,0)),1,INDEX($N$2:$N$9,MATCH($B21&amp;$C21,$J$2:$J$9,0))))</f>
        <v>1.1191452152803119</v>
      </c>
      <c r="Y21" s="561">
        <f ca="1">SUM(OFFSET('Output data (results)'!$B$10,Y$15-2000+INDEX($I$2:$I$4,MATCH($B$1,$H$2:$H$4,0)),INDEX($M$2:$M$9,MATCH($B21&amp;$C21,$J$2:$J$9,0)),1,INDEX($N$2:$N$9,MATCH($B21&amp;$C21,$J$2:$J$9,0))))</f>
        <v>1.1261443992223032</v>
      </c>
      <c r="Z21" s="561">
        <f ca="1">SUM(OFFSET('Output data (results)'!$B$10,Z$15-2000+INDEX($I$2:$I$4,MATCH($B$1,$H$2:$H$4,0)),INDEX($M$2:$M$9,MATCH($B21&amp;$C21,$J$2:$J$9,0)),1,INDEX($N$2:$N$9,MATCH($B21&amp;$C21,$J$2:$J$9,0))))</f>
        <v>1.1277166869452329</v>
      </c>
      <c r="AA21" s="561">
        <f ca="1">SUM(OFFSET('Output data (results)'!$B$10,AA$15-2000+INDEX($I$2:$I$4,MATCH($B$1,$H$2:$H$4,0)),INDEX($M$2:$M$9,MATCH($B21&amp;$C21,$J$2:$J$9,0)),1,INDEX($N$2:$N$9,MATCH($B21&amp;$C21,$J$2:$J$9,0))))</f>
        <v>0.86274929587374949</v>
      </c>
      <c r="AB21" s="561">
        <f ca="1">SUM(OFFSET('Output data (results)'!$B$10,AB$15-2000+INDEX($I$2:$I$4,MATCH($B$1,$H$2:$H$4,0)),INDEX($M$2:$M$9,MATCH($B21&amp;$C21,$J$2:$J$9,0)),1,INDEX($N$2:$N$9,MATCH($B21&amp;$C21,$J$2:$J$9,0))))</f>
        <v>0.86274929587374949</v>
      </c>
      <c r="AC21" s="561">
        <f ca="1">SUM(OFFSET('Output data (results)'!$B$10,AC$15-2000+INDEX($I$2:$I$4,MATCH($B$1,$H$2:$H$4,0)),INDEX($M$2:$M$9,MATCH($B21&amp;$C21,$J$2:$J$9,0)),1,INDEX($N$2:$N$9,MATCH($B21&amp;$C21,$J$2:$J$9,0))))</f>
        <v>0.86274929587374949</v>
      </c>
      <c r="AD21" s="561">
        <f ca="1">SUM(OFFSET('Output data (results)'!$B$10,AD$15-2000+INDEX($I$2:$I$4,MATCH($B$1,$H$2:$H$4,0)),INDEX($M$2:$M$9,MATCH($B21&amp;$C21,$J$2:$J$9,0)),1,INDEX($N$2:$N$9,MATCH($B21&amp;$C21,$J$2:$J$9,0))))</f>
        <v>0.86274929587374949</v>
      </c>
      <c r="AE21" s="561">
        <f ca="1">SUM(OFFSET('Output data (results)'!$B$10,AE$15-2000+INDEX($I$2:$I$4,MATCH($B$1,$H$2:$H$4,0)),INDEX($M$2:$M$9,MATCH($B21&amp;$C21,$J$2:$J$9,0)),1,INDEX($N$2:$N$9,MATCH($B21&amp;$C21,$J$2:$J$9,0))))</f>
        <v>0.86274929587374949</v>
      </c>
      <c r="AF21" s="561">
        <f ca="1">SUM(OFFSET('Output data (results)'!$B$10,AF$15-2000+INDEX($I$2:$I$4,MATCH($B$1,$H$2:$H$4,0)),INDEX($M$2:$M$9,MATCH($B21&amp;$C21,$J$2:$J$9,0)),1,INDEX($N$2:$N$9,MATCH($B21&amp;$C21,$J$2:$J$9,0))))</f>
        <v>0.86274929587374949</v>
      </c>
      <c r="AG21" s="561">
        <f ca="1">SUM(OFFSET('Output data (results)'!$B$10,AG$15-2000+INDEX($I$2:$I$4,MATCH($B$1,$H$2:$H$4,0)),INDEX($M$2:$M$9,MATCH($B21&amp;$C21,$J$2:$J$9,0)),1,INDEX($N$2:$N$9,MATCH($B21&amp;$C21,$J$2:$J$9,0))))</f>
        <v>0.86274929587374949</v>
      </c>
      <c r="AH21" s="561">
        <f ca="1">SUM(OFFSET('Output data (results)'!$B$10,AH$15-2000+INDEX($I$2:$I$4,MATCH($B$1,$H$2:$H$4,0)),INDEX($M$2:$M$9,MATCH($B21&amp;$C21,$J$2:$J$9,0)),1,INDEX($N$2:$N$9,MATCH($B21&amp;$C21,$J$2:$J$9,0))))</f>
        <v>0.86274929587374949</v>
      </c>
      <c r="AI21" s="561">
        <f ca="1">SUM(OFFSET('Output data (results)'!$B$10,AI$15-2000+INDEX($I$2:$I$4,MATCH($B$1,$H$2:$H$4,0)),INDEX($M$2:$M$9,MATCH($B21&amp;$C21,$J$2:$J$9,0)),1,INDEX($N$2:$N$9,MATCH($B21&amp;$C21,$J$2:$J$9,0))))</f>
        <v>0.86274929587374949</v>
      </c>
      <c r="AJ21" s="561">
        <f ca="1">SUM(OFFSET('Output data (results)'!$B$10,AJ$15-2000+INDEX($I$2:$I$4,MATCH($B$1,$H$2:$H$4,0)),INDEX($M$2:$M$9,MATCH($B21&amp;$C21,$J$2:$J$9,0)),1,INDEX($N$2:$N$9,MATCH($B21&amp;$C21,$J$2:$J$9,0))))</f>
        <v>0.86274929587374949</v>
      </c>
      <c r="AK21" s="561">
        <f ca="1">SUM(OFFSET('Output data (results)'!$B$10,AK$15-2000+INDEX($I$2:$I$4,MATCH($B$1,$H$2:$H$4,0)),INDEX($M$2:$M$9,MATCH($B21&amp;$C21,$J$2:$J$9,0)),1,INDEX($N$2:$N$9,MATCH($B21&amp;$C21,$J$2:$J$9,0))))</f>
        <v>0.86274929587374949</v>
      </c>
      <c r="AL21" s="561">
        <f ca="1">SUM(OFFSET('Output data (results)'!$B$10,AL$15-2000+INDEX($I$2:$I$4,MATCH($B$1,$H$2:$H$4,0)),INDEX($M$2:$M$9,MATCH($B21&amp;$C21,$J$2:$J$9,0)),1,INDEX($N$2:$N$9,MATCH($B21&amp;$C21,$J$2:$J$9,0))))</f>
        <v>0.86274929587374949</v>
      </c>
      <c r="AM21" s="561">
        <f ca="1">SUM(OFFSET('Output data (results)'!$B$10,AM$15-2000+INDEX($I$2:$I$4,MATCH($B$1,$H$2:$H$4,0)),INDEX($M$2:$M$9,MATCH($B21&amp;$C21,$J$2:$J$9,0)),1,INDEX($N$2:$N$9,MATCH($B21&amp;$C21,$J$2:$J$9,0))))</f>
        <v>0.86274929587374949</v>
      </c>
      <c r="AN21" s="561">
        <f ca="1">SUM(OFFSET('Output data (results)'!$B$10,AN$15-2000+INDEX($I$2:$I$4,MATCH($B$1,$H$2:$H$4,0)),INDEX($M$2:$M$9,MATCH($B21&amp;$C21,$J$2:$J$9,0)),1,INDEX($N$2:$N$9,MATCH($B21&amp;$C21,$J$2:$J$9,0))))</f>
        <v>0.86274929587374949</v>
      </c>
      <c r="AO21" s="561">
        <f ca="1">SUM(OFFSET('Output data (results)'!$B$10,AO$15-2000+INDEX($I$2:$I$4,MATCH($B$1,$H$2:$H$4,0)),INDEX($M$2:$M$9,MATCH($B21&amp;$C21,$J$2:$J$9,0)),1,INDEX($N$2:$N$9,MATCH($B21&amp;$C21,$J$2:$J$9,0))))</f>
        <v>0.86274929587374949</v>
      </c>
      <c r="AP21" s="561">
        <f ca="1">SUM(OFFSET('Output data (results)'!$B$10,AP$15-2000+INDEX($I$2:$I$4,MATCH($B$1,$H$2:$H$4,0)),INDEX($M$2:$M$9,MATCH($B21&amp;$C21,$J$2:$J$9,0)),1,INDEX($N$2:$N$9,MATCH($B21&amp;$C21,$J$2:$J$9,0))))</f>
        <v>0.86274929587374949</v>
      </c>
    </row>
    <row r="22" spans="1:42">
      <c r="A22" s="10" t="s">
        <v>674</v>
      </c>
      <c r="B22" t="s">
        <v>679</v>
      </c>
      <c r="C22" t="s">
        <v>191</v>
      </c>
      <c r="D22" s="1165">
        <f ca="1">SUM(OFFSET('Output data (results)'!$B$10,D$15-2000,INDEX($M$2:$M$9,MATCH($B22&amp;$C22,$J$2:$J$9,0)),1,INDEX($N$2:$N$9,MATCH($B22&amp;$C22,$J$2:$J$9,0))))</f>
        <v>0.15062420601993221</v>
      </c>
      <c r="E22" s="1165">
        <f ca="1">SUM(OFFSET('Output data (results)'!$B$10,E$15-2000,INDEX($M$2:$M$9,MATCH($B22&amp;$C22,$J$2:$J$9,0)),1,INDEX($N$2:$N$9,MATCH($B22&amp;$C22,$J$2:$J$9,0))))</f>
        <v>0.15288683728203895</v>
      </c>
      <c r="F22" s="1165">
        <f ca="1">SUM(OFFSET('Output data (results)'!$B$10,F$15-2000,INDEX($M$2:$M$9,MATCH($B22&amp;$C22,$J$2:$J$9,0)),1,INDEX($N$2:$N$9,MATCH($B22&amp;$C22,$J$2:$J$9,0))))</f>
        <v>0.15478900602055312</v>
      </c>
      <c r="G22" s="1165">
        <f ca="1">SUM(OFFSET('Output data (results)'!$B$10,G$15-2000,INDEX($M$2:$M$9,MATCH($B22&amp;$C22,$J$2:$J$9,0)),1,INDEX($N$2:$N$9,MATCH($B22&amp;$C22,$J$2:$J$9,0))))</f>
        <v>0.15631323645044112</v>
      </c>
      <c r="H22" s="1165">
        <f ca="1">SUM(OFFSET('Output data (results)'!$B$10,H$15-2000,INDEX($M$2:$M$9,MATCH($B22&amp;$C22,$J$2:$J$9,0)),1,INDEX($N$2:$N$9,MATCH($B22&amp;$C22,$J$2:$J$9,0))))</f>
        <v>0.15744066531857534</v>
      </c>
      <c r="I22" s="1165">
        <f ca="1">SUM(OFFSET('Output data (results)'!$B$10,I$15-2000,INDEX($M$2:$M$9,MATCH($B22&amp;$C22,$J$2:$J$9,0)),1,INDEX($N$2:$N$9,MATCH($B22&amp;$C22,$J$2:$J$9,0))))</f>
        <v>0.15815094808448069</v>
      </c>
      <c r="J22" s="561">
        <f ca="1">SUM(OFFSET('Output data (results)'!$B$10,J$15-2000+INDEX($I$2:$I$4,MATCH($B$1,$H$2:$H$4,0)),INDEX($M$2:$M$9,MATCH($B22&amp;$C22,$J$2:$J$9,0)),1,INDEX($N$2:$N$9,MATCH($B22&amp;$C22,$J$2:$J$9,0))))</f>
        <v>0.15419075184029302</v>
      </c>
      <c r="K22" s="561">
        <f ca="1">SUM(OFFSET('Output data (results)'!$B$10,K$15-2000+INDEX($I$2:$I$4,MATCH($B$1,$H$2:$H$4,0)),INDEX($M$2:$M$9,MATCH($B22&amp;$C22,$J$2:$J$9,0)),1,INDEX($N$2:$N$9,MATCH($B22&amp;$C22,$J$2:$J$9,0))))</f>
        <v>0.15148916077456326</v>
      </c>
      <c r="L22" s="561">
        <f ca="1">SUM(OFFSET('Output data (results)'!$B$10,L$15-2000+INDEX($I$2:$I$4,MATCH($B$1,$H$2:$H$4,0)),INDEX($M$2:$M$9,MATCH($B22&amp;$C22,$J$2:$J$9,0)),1,INDEX($N$2:$N$9,MATCH($B22&amp;$C22,$J$2:$J$9,0))))</f>
        <v>0.14740936571980473</v>
      </c>
      <c r="M22" s="561">
        <f ca="1">SUM(OFFSET('Output data (results)'!$B$10,M$15-2000+INDEX($I$2:$I$4,MATCH($B$1,$H$2:$H$4,0)),INDEX($M$2:$M$9,MATCH($B22&amp;$C22,$J$2:$J$9,0)),1,INDEX($N$2:$N$9,MATCH($B22&amp;$C22,$J$2:$J$9,0))))</f>
        <v>0.13551927625479393</v>
      </c>
      <c r="N22" s="561">
        <f ca="1">SUM(OFFSET('Output data (results)'!$B$10,N$15-2000+INDEX($I$2:$I$4,MATCH($B$1,$H$2:$H$4,0)),INDEX($M$2:$M$9,MATCH($B22&amp;$C22,$J$2:$J$9,0)),1,INDEX($N$2:$N$9,MATCH($B22&amp;$C22,$J$2:$J$9,0))))</f>
        <v>0.11278666766637657</v>
      </c>
      <c r="O22" s="561">
        <f ca="1">SUM(OFFSET('Output data (results)'!$B$10,O$15-2000+INDEX($I$2:$I$4,MATCH($B$1,$H$2:$H$4,0)),INDEX($M$2:$M$9,MATCH($B22&amp;$C22,$J$2:$J$9,0)),1,INDEX($N$2:$N$9,MATCH($B22&amp;$C22,$J$2:$J$9,0))))</f>
        <v>0.10696286051893278</v>
      </c>
      <c r="P22" s="561">
        <f ca="1">SUM(OFFSET('Output data (results)'!$B$10,P$15-2000+INDEX($I$2:$I$4,MATCH($B$1,$H$2:$H$4,0)),INDEX($M$2:$M$9,MATCH($B22&amp;$C22,$J$2:$J$9,0)),1,INDEX($N$2:$N$9,MATCH($B22&amp;$C22,$J$2:$J$9,0))))</f>
        <v>0.10103929848692009</v>
      </c>
      <c r="Q22" s="561">
        <f ca="1">SUM(OFFSET('Output data (results)'!$B$10,Q$15-2000+INDEX($I$2:$I$4,MATCH($B$1,$H$2:$H$4,0)),INDEX($M$2:$M$9,MATCH($B22&amp;$C22,$J$2:$J$9,0)),1,INDEX($N$2:$N$9,MATCH($B22&amp;$C22,$J$2:$J$9,0))))</f>
        <v>9.5012348041607686E-2</v>
      </c>
      <c r="R22" s="561">
        <f ca="1">SUM(OFFSET('Output data (results)'!$B$10,R$15-2000+INDEX($I$2:$I$4,MATCH($B$1,$H$2:$H$4,0)),INDEX($M$2:$M$9,MATCH($B22&amp;$C22,$J$2:$J$9,0)),1,INDEX($N$2:$N$9,MATCH($B22&amp;$C22,$J$2:$J$9,0))))</f>
        <v>8.8930830749442052E-2</v>
      </c>
      <c r="S22" s="561">
        <f ca="1">SUM(OFFSET('Output data (results)'!$B$10,S$15-2000+INDEX($I$2:$I$4,MATCH($B$1,$H$2:$H$4,0)),INDEX($M$2:$M$9,MATCH($B22&amp;$C22,$J$2:$J$9,0)),1,INDEX($N$2:$N$9,MATCH($B22&amp;$C22,$J$2:$J$9,0))))</f>
        <v>8.2730742955201886E-2</v>
      </c>
      <c r="T22" s="561">
        <f ca="1">SUM(OFFSET('Output data (results)'!$B$10,T$15-2000+INDEX($I$2:$I$4,MATCH($B$1,$H$2:$H$4,0)),INDEX($M$2:$M$9,MATCH($B22&amp;$C22,$J$2:$J$9,0)),1,INDEX($N$2:$N$9,MATCH($B22&amp;$C22,$J$2:$J$9,0))))</f>
        <v>7.6407803833313151E-2</v>
      </c>
      <c r="U22" s="561">
        <f ca="1">SUM(OFFSET('Output data (results)'!$B$10,U$15-2000+INDEX($I$2:$I$4,MATCH($B$1,$H$2:$H$4,0)),INDEX($M$2:$M$9,MATCH($B22&amp;$C22,$J$2:$J$9,0)),1,INDEX($N$2:$N$9,MATCH($B22&amp;$C22,$J$2:$J$9,0))))</f>
        <v>6.9957540131701218E-2</v>
      </c>
      <c r="V22" s="561">
        <f ca="1">SUM(OFFSET('Output data (results)'!$B$10,V$15-2000+INDEX($I$2:$I$4,MATCH($B$1,$H$2:$H$4,0)),INDEX($M$2:$M$9,MATCH($B22&amp;$C22,$J$2:$J$9,0)),1,INDEX($N$2:$N$9,MATCH($B22&amp;$C22,$J$2:$J$9,0))))</f>
        <v>6.3375274937216314E-2</v>
      </c>
      <c r="W22" s="561">
        <f ca="1">SUM(OFFSET('Output data (results)'!$B$10,W$15-2000+INDEX($I$2:$I$4,MATCH($B$1,$H$2:$H$4,0)),INDEX($M$2:$M$9,MATCH($B22&amp;$C22,$J$2:$J$9,0)),1,INDEX($N$2:$N$9,MATCH($B22&amp;$C22,$J$2:$J$9,0))))</f>
        <v>5.5892696836052552E-2</v>
      </c>
      <c r="X22" s="561">
        <f ca="1">SUM(OFFSET('Output data (results)'!$B$10,X$15-2000+INDEX($I$2:$I$4,MATCH($B$1,$H$2:$H$4,0)),INDEX($M$2:$M$9,MATCH($B22&amp;$C22,$J$2:$J$9,0)),1,INDEX($N$2:$N$9,MATCH($B22&amp;$C22,$J$2:$J$9,0))))</f>
        <v>4.8456612904238333E-2</v>
      </c>
      <c r="Y22" s="561">
        <f ca="1">SUM(OFFSET('Output data (results)'!$B$10,Y$15-2000+INDEX($I$2:$I$4,MATCH($B$1,$H$2:$H$4,0)),INDEX($M$2:$M$9,MATCH($B22&amp;$C22,$J$2:$J$9,0)),1,INDEX($N$2:$N$9,MATCH($B22&amp;$C22,$J$2:$J$9,0))))</f>
        <v>4.8312974251669485E-2</v>
      </c>
      <c r="Z22" s="561">
        <f ca="1">SUM(OFFSET('Output data (results)'!$B$10,Z$15-2000+INDEX($I$2:$I$4,MATCH($B$1,$H$2:$H$4,0)),INDEX($M$2:$M$9,MATCH($B22&amp;$C22,$J$2:$J$9,0)),1,INDEX($N$2:$N$9,MATCH($B22&amp;$C22,$J$2:$J$9,0))))</f>
        <v>4.8171389403123509E-2</v>
      </c>
      <c r="AA22" s="561">
        <f ca="1">SUM(OFFSET('Output data (results)'!$B$10,AA$15-2000+INDEX($I$2:$I$4,MATCH($B$1,$H$2:$H$4,0)),INDEX($M$2:$M$9,MATCH($B22&amp;$C22,$J$2:$J$9,0)),1,INDEX($N$2:$N$9,MATCH($B22&amp;$C22,$J$2:$J$9,0))))</f>
        <v>4.8031819626004571E-2</v>
      </c>
      <c r="AB22" s="561">
        <f ca="1">SUM(OFFSET('Output data (results)'!$B$10,AB$15-2000+INDEX($I$2:$I$4,MATCH($B$1,$H$2:$H$4,0)),INDEX($M$2:$M$9,MATCH($B22&amp;$C22,$J$2:$J$9,0)),1,INDEX($N$2:$N$9,MATCH($B22&amp;$C22,$J$2:$J$9,0))))</f>
        <v>4.7913595464684461E-2</v>
      </c>
      <c r="AC22" s="561">
        <f ca="1">SUM(OFFSET('Output data (results)'!$B$10,AC$15-2000+INDEX($I$2:$I$4,MATCH($B$1,$H$2:$H$4,0)),INDEX($M$2:$M$9,MATCH($B22&amp;$C22,$J$2:$J$9,0)),1,INDEX($N$2:$N$9,MATCH($B22&amp;$C22,$J$2:$J$9,0))))</f>
        <v>4.7796804804884317E-2</v>
      </c>
      <c r="AD22" s="561">
        <f ca="1">SUM(OFFSET('Output data (results)'!$B$10,AD$15-2000+INDEX($I$2:$I$4,MATCH($B$1,$H$2:$H$4,0)),INDEX($M$2:$M$9,MATCH($B22&amp;$C22,$J$2:$J$9,0)),1,INDEX($N$2:$N$9,MATCH($B22&amp;$C22,$J$2:$J$9,0))))</f>
        <v>4.7681424782474335E-2</v>
      </c>
      <c r="AE22" s="561">
        <f ca="1">SUM(OFFSET('Output data (results)'!$B$10,AE$15-2000+INDEX($I$2:$I$4,MATCH($B$1,$H$2:$H$4,0)),INDEX($M$2:$M$9,MATCH($B22&amp;$C22,$J$2:$J$9,0)),1,INDEX($N$2:$N$9,MATCH($B22&amp;$C22,$J$2:$J$9,0))))</f>
        <v>4.7567433008166821E-2</v>
      </c>
      <c r="AF22" s="561">
        <f ca="1">SUM(OFFSET('Output data (results)'!$B$10,AF$15-2000+INDEX($I$2:$I$4,MATCH($B$1,$H$2:$H$4,0)),INDEX($M$2:$M$9,MATCH($B22&amp;$C22,$J$2:$J$9,0)),1,INDEX($N$2:$N$9,MATCH($B22&amp;$C22,$J$2:$J$9,0))))</f>
        <v>4.7454807555236386E-2</v>
      </c>
      <c r="AG22" s="561">
        <f ca="1">SUM(OFFSET('Output data (results)'!$B$10,AG$15-2000+INDEX($I$2:$I$4,MATCH($B$1,$H$2:$H$4,0)),INDEX($M$2:$M$9,MATCH($B22&amp;$C22,$J$2:$J$9,0)),1,INDEX($N$2:$N$9,MATCH($B22&amp;$C22,$J$2:$J$9,0))))</f>
        <v>4.7360264672670904E-2</v>
      </c>
      <c r="AH22" s="561">
        <f ca="1">SUM(OFFSET('Output data (results)'!$B$10,AH$15-2000+INDEX($I$2:$I$4,MATCH($B$1,$H$2:$H$4,0)),INDEX($M$2:$M$9,MATCH($B22&amp;$C22,$J$2:$J$9,0)),1,INDEX($N$2:$N$9,MATCH($B22&amp;$C22,$J$2:$J$9,0))))</f>
        <v>4.7266677856746583E-2</v>
      </c>
      <c r="AI22" s="561">
        <f ca="1">SUM(OFFSET('Output data (results)'!$B$10,AI$15-2000+INDEX($I$2:$I$4,MATCH($B$1,$H$2:$H$4,0)),INDEX($M$2:$M$9,MATCH($B22&amp;$C22,$J$2:$J$9,0)),1,INDEX($N$2:$N$9,MATCH($B22&amp;$C22,$J$2:$J$9,0))))</f>
        <v>4.7174034444985899E-2</v>
      </c>
      <c r="AJ22" s="561">
        <f ca="1">SUM(OFFSET('Output data (results)'!$B$10,AJ$15-2000+INDEX($I$2:$I$4,MATCH($B$1,$H$2:$H$4,0)),INDEX($M$2:$M$9,MATCH($B22&amp;$C22,$J$2:$J$9,0)),1,INDEX($N$2:$N$9,MATCH($B22&amp;$C22,$J$2:$J$9,0))))</f>
        <v>4.7082321993113047E-2</v>
      </c>
      <c r="AK22" s="561">
        <f ca="1">SUM(OFFSET('Output data (results)'!$B$10,AK$15-2000+INDEX($I$2:$I$4,MATCH($B$1,$H$2:$H$4,0)),INDEX($M$2:$M$9,MATCH($B22&amp;$C22,$J$2:$J$9,0)),1,INDEX($N$2:$N$9,MATCH($B22&amp;$C22,$J$2:$J$9,0))))</f>
        <v>4.6991528270367816E-2</v>
      </c>
      <c r="AL22" s="561">
        <f ca="1">SUM(OFFSET('Output data (results)'!$B$10,AL$15-2000+INDEX($I$2:$I$4,MATCH($B$1,$H$2:$H$4,0)),INDEX($M$2:$M$9,MATCH($B22&amp;$C22,$J$2:$J$9,0)),1,INDEX($N$2:$N$9,MATCH($B22&amp;$C22,$J$2:$J$9,0))))</f>
        <v>4.6917542640490965E-2</v>
      </c>
      <c r="AM22" s="561">
        <f ca="1">SUM(OFFSET('Output data (results)'!$B$10,AM$15-2000+INDEX($I$2:$I$4,MATCH($B$1,$H$2:$H$4,0)),INDEX($M$2:$M$9,MATCH($B22&amp;$C22,$J$2:$J$9,0)),1,INDEX($N$2:$N$9,MATCH($B22&amp;$C22,$J$2:$J$9,0))))</f>
        <v>4.6844163616498617E-2</v>
      </c>
      <c r="AN22" s="561">
        <f ca="1">SUM(OFFSET('Output data (results)'!$B$10,AN$15-2000+INDEX($I$2:$I$4,MATCH($B$1,$H$2:$H$4,0)),INDEX($M$2:$M$9,MATCH($B22&amp;$C22,$J$2:$J$9,0)),1,INDEX($N$2:$N$9,MATCH($B22&amp;$C22,$J$2:$J$9,0))))</f>
        <v>4.6771384708153965E-2</v>
      </c>
      <c r="AO22" s="561">
        <f ca="1">SUM(OFFSET('Output data (results)'!$B$10,AO$15-2000+INDEX($I$2:$I$4,MATCH($B$1,$H$2:$H$4,0)),INDEX($M$2:$M$9,MATCH($B22&amp;$C22,$J$2:$J$9,0)),1,INDEX($N$2:$N$9,MATCH($B22&amp;$C22,$J$2:$J$9,0))))</f>
        <v>4.669919951551306E-2</v>
      </c>
      <c r="AP22" s="561">
        <f ca="1">SUM(OFFSET('Output data (results)'!$B$10,AP$15-2000+INDEX($I$2:$I$4,MATCH($B$1,$H$2:$H$4,0)),INDEX($M$2:$M$9,MATCH($B22&amp;$C22,$J$2:$J$9,0)),1,INDEX($N$2:$N$9,MATCH($B22&amp;$C22,$J$2:$J$9,0))))</f>
        <v>4.6627601727357935E-2</v>
      </c>
    </row>
    <row r="23" spans="1:42">
      <c r="A23" s="10" t="s">
        <v>675</v>
      </c>
      <c r="B23" t="s">
        <v>680</v>
      </c>
      <c r="C23" t="s">
        <v>191</v>
      </c>
      <c r="D23" s="1165">
        <f ca="1">SUM(OFFSET('Output data (results)'!$B$10,D$15-2000,INDEX($M$2:$M$9,MATCH($B23&amp;$C23,$J$2:$J$9,0)),1,INDEX($N$2:$N$9,MATCH($B23&amp;$C23,$J$2:$J$9,0))))</f>
        <v>2.6383207851384207</v>
      </c>
      <c r="E23" s="1165">
        <f ca="1">SUM(OFFSET('Output data (results)'!$B$10,E$15-2000,INDEX($M$2:$M$9,MATCH($B23&amp;$C23,$J$2:$J$9,0)),1,INDEX($N$2:$N$9,MATCH($B23&amp;$C23,$J$2:$J$9,0))))</f>
        <v>2.6775967031376564</v>
      </c>
      <c r="F23" s="1165">
        <f ca="1">SUM(OFFSET('Output data (results)'!$B$10,F$15-2000,INDEX($M$2:$M$9,MATCH($B23&amp;$C23,$J$2:$J$9,0)),1,INDEX($N$2:$N$9,MATCH($B23&amp;$C23,$J$2:$J$9,0))))</f>
        <v>2.718336134939475</v>
      </c>
      <c r="G23" s="1165">
        <f ca="1">SUM(OFFSET('Output data (results)'!$B$10,G$15-2000,INDEX($M$2:$M$9,MATCH($B23&amp;$C23,$J$2:$J$9,0)),1,INDEX($N$2:$N$9,MATCH($B23&amp;$C23,$J$2:$J$9,0))))</f>
        <v>2.7605955966757243</v>
      </c>
      <c r="H23" s="1165">
        <f ca="1">SUM(OFFSET('Output data (results)'!$B$10,H$15-2000,INDEX($M$2:$M$9,MATCH($B23&amp;$C23,$J$2:$J$9,0)),1,INDEX($N$2:$N$9,MATCH($B23&amp;$C23,$J$2:$J$9,0))))</f>
        <v>2.804434419881956</v>
      </c>
      <c r="I23" s="1165">
        <f ca="1">SUM(OFFSET('Output data (results)'!$B$10,I$15-2000,INDEX($M$2:$M$9,MATCH($B23&amp;$C23,$J$2:$J$9,0)),1,INDEX($N$2:$N$9,MATCH($B23&amp;$C23,$J$2:$J$9,0))))</f>
        <v>2.8499148907355294</v>
      </c>
      <c r="J23" s="561">
        <f ca="1">SUM(OFFSET('Output data (results)'!$B$10,J$15-2000+INDEX($I$2:$I$4,MATCH($B$1,$H$2:$H$4,0)),INDEX($M$2:$M$9,MATCH($B23&amp;$C23,$J$2:$J$9,0)),1,INDEX($N$2:$N$9,MATCH($B23&amp;$C23,$J$2:$J$9,0))))</f>
        <v>2.8960026873618072</v>
      </c>
      <c r="K23" s="561">
        <f ca="1">SUM(OFFSET('Output data (results)'!$B$10,K$15-2000+INDEX($I$2:$I$4,MATCH($B$1,$H$2:$H$4,0)),INDEX($M$2:$M$9,MATCH($B23&amp;$C23,$J$2:$J$9,0)),1,INDEX($N$2:$N$9,MATCH($B23&amp;$C23,$J$2:$J$9,0))))</f>
        <v>2.9428357992270668</v>
      </c>
      <c r="L23" s="561">
        <f ca="1">SUM(OFFSET('Output data (results)'!$B$10,L$15-2000+INDEX($I$2:$I$4,MATCH($B$1,$H$2:$H$4,0)),INDEX($M$2:$M$9,MATCH($B23&amp;$C23,$J$2:$J$9,0)),1,INDEX($N$2:$N$9,MATCH($B23&amp;$C23,$J$2:$J$9,0))))</f>
        <v>2.9904262793007734</v>
      </c>
      <c r="M23" s="561">
        <f ca="1">SUM(OFFSET('Output data (results)'!$B$10,M$15-2000+INDEX($I$2:$I$4,MATCH($B$1,$H$2:$H$4,0)),INDEX($M$2:$M$9,MATCH($B23&amp;$C23,$J$2:$J$9,0)),1,INDEX($N$2:$N$9,MATCH($B23&amp;$C23,$J$2:$J$9,0))))</f>
        <v>3.0248585614028385</v>
      </c>
      <c r="N23" s="561">
        <f ca="1">SUM(OFFSET('Output data (results)'!$B$10,N$15-2000+INDEX($I$2:$I$4,MATCH($B$1,$H$2:$H$4,0)),INDEX($M$2:$M$9,MATCH($B23&amp;$C23,$J$2:$J$9,0)),1,INDEX($N$2:$N$9,MATCH($B23&amp;$C23,$J$2:$J$9,0))))</f>
        <v>3.0596873027184164</v>
      </c>
      <c r="O23" s="561">
        <f ca="1">SUM(OFFSET('Output data (results)'!$B$10,O$15-2000+INDEX($I$2:$I$4,MATCH($B$1,$H$2:$H$4,0)),INDEX($M$2:$M$9,MATCH($B23&amp;$C23,$J$2:$J$9,0)),1,INDEX($N$2:$N$9,MATCH($B23&amp;$C23,$J$2:$J$9,0))))</f>
        <v>3.0949170681470224</v>
      </c>
      <c r="P23" s="561">
        <f ca="1">SUM(OFFSET('Output data (results)'!$B$10,P$15-2000+INDEX($I$2:$I$4,MATCH($B$1,$H$2:$H$4,0)),INDEX($M$2:$M$9,MATCH($B23&amp;$C23,$J$2:$J$9,0)),1,INDEX($N$2:$N$9,MATCH($B23&amp;$C23,$J$2:$J$9,0))))</f>
        <v>3.1305524751492158</v>
      </c>
      <c r="Q23" s="561">
        <f ca="1">SUM(OFFSET('Output data (results)'!$B$10,Q$15-2000+INDEX($I$2:$I$4,MATCH($B$1,$H$2:$H$4,0)),INDEX($M$2:$M$9,MATCH($B23&amp;$C23,$J$2:$J$9,0)),1,INDEX($N$2:$N$9,MATCH($B23&amp;$C23,$J$2:$J$9,0))))</f>
        <v>3.166598194351784</v>
      </c>
      <c r="R23" s="561">
        <f ca="1">SUM(OFFSET('Output data (results)'!$B$10,R$15-2000+INDEX($I$2:$I$4,MATCH($B$1,$H$2:$H$4,0)),INDEX($M$2:$M$9,MATCH($B23&amp;$C23,$J$2:$J$9,0)),1,INDEX($N$2:$N$9,MATCH($B23&amp;$C23,$J$2:$J$9,0))))</f>
        <v>3.1977779387807019</v>
      </c>
      <c r="S23" s="561">
        <f ca="1">SUM(OFFSET('Output data (results)'!$B$10,S$15-2000+INDEX($I$2:$I$4,MATCH($B$1,$H$2:$H$4,0)),INDEX($M$2:$M$9,MATCH($B23&amp;$C23,$J$2:$J$9,0)),1,INDEX($N$2:$N$9,MATCH($B23&amp;$C23,$J$2:$J$9,0))))</f>
        <v>3.2292646929415123</v>
      </c>
      <c r="T23" s="561">
        <f ca="1">SUM(OFFSET('Output data (results)'!$B$10,T$15-2000+INDEX($I$2:$I$4,MATCH($B$1,$H$2:$H$4,0)),INDEX($M$2:$M$9,MATCH($B23&amp;$C23,$J$2:$J$9,0)),1,INDEX($N$2:$N$9,MATCH($B23&amp;$C23,$J$2:$J$9,0))))</f>
        <v>3.2610614797895683</v>
      </c>
      <c r="U23" s="561">
        <f ca="1">SUM(OFFSET('Output data (results)'!$B$10,U$15-2000+INDEX($I$2:$I$4,MATCH($B$1,$H$2:$H$4,0)),INDEX($M$2:$M$9,MATCH($B23&amp;$C23,$J$2:$J$9,0)),1,INDEX($N$2:$N$9,MATCH($B23&amp;$C23,$J$2:$J$9,0))))</f>
        <v>3.2931713520456056</v>
      </c>
      <c r="V23" s="561">
        <f ca="1">SUM(OFFSET('Output data (results)'!$B$10,V$15-2000+INDEX($I$2:$I$4,MATCH($B$1,$H$2:$H$4,0)),INDEX($M$2:$M$9,MATCH($B23&amp;$C23,$J$2:$J$9,0)),1,INDEX($N$2:$N$9,MATCH($B23&amp;$C23,$J$2:$J$9,0))))</f>
        <v>3.3255973924888065</v>
      </c>
      <c r="W23" s="561">
        <f ca="1">SUM(OFFSET('Output data (results)'!$B$10,W$15-2000+INDEX($I$2:$I$4,MATCH($B$1,$H$2:$H$4,0)),INDEX($M$2:$M$9,MATCH($B23&amp;$C23,$J$2:$J$9,0)),1,INDEX($N$2:$N$9,MATCH($B23&amp;$C23,$J$2:$J$9,0))))</f>
        <v>3.3539789441183268</v>
      </c>
      <c r="X23" s="561">
        <f ca="1">SUM(OFFSET('Output data (results)'!$B$10,X$15-2000+INDEX($I$2:$I$4,MATCH($B$1,$H$2:$H$4,0)),INDEX($M$2:$M$9,MATCH($B23&amp;$C23,$J$2:$J$9,0)),1,INDEX($N$2:$N$9,MATCH($B23&amp;$C23,$J$2:$J$9,0))))</f>
        <v>3.3826027116200144</v>
      </c>
      <c r="Y23" s="561">
        <f ca="1">SUM(OFFSET('Output data (results)'!$B$10,Y$15-2000+INDEX($I$2:$I$4,MATCH($B$1,$H$2:$H$4,0)),INDEX($M$2:$M$9,MATCH($B23&amp;$C23,$J$2:$J$9,0)),1,INDEX($N$2:$N$9,MATCH($B23&amp;$C23,$J$2:$J$9,0))))</f>
        <v>3.4114707621299263</v>
      </c>
      <c r="Z23" s="561">
        <f ca="1">SUM(OFFSET('Output data (results)'!$B$10,Z$15-2000+INDEX($I$2:$I$4,MATCH($B$1,$H$2:$H$4,0)),INDEX($M$2:$M$9,MATCH($B23&amp;$C23,$J$2:$J$9,0)),1,INDEX($N$2:$N$9,MATCH($B23&amp;$C23,$J$2:$J$9,0))))</f>
        <v>3.4405851804256198</v>
      </c>
      <c r="AA23" s="561">
        <f ca="1">SUM(OFFSET('Output data (results)'!$B$10,AA$15-2000+INDEX($I$2:$I$4,MATCH($B$1,$H$2:$H$4,0)),INDEX($M$2:$M$9,MATCH($B23&amp;$C23,$J$2:$J$9,0)),1,INDEX($N$2:$N$9,MATCH($B23&amp;$C23,$J$2:$J$9,0))))</f>
        <v>3.4699480690767106</v>
      </c>
      <c r="AB23" s="561">
        <f ca="1">SUM(OFFSET('Output data (results)'!$B$10,AB$15-2000+INDEX($I$2:$I$4,MATCH($B$1,$H$2:$H$4,0)),INDEX($M$2:$M$9,MATCH($B23&amp;$C23,$J$2:$J$9,0)),1,INDEX($N$2:$N$9,MATCH($B23&amp;$C23,$J$2:$J$9,0))))</f>
        <v>3.4953521017314642</v>
      </c>
      <c r="AC23" s="561">
        <f ca="1">SUM(OFFSET('Output data (results)'!$B$10,AC$15-2000+INDEX($I$2:$I$4,MATCH($B$1,$H$2:$H$4,0)),INDEX($M$2:$M$9,MATCH($B23&amp;$C23,$J$2:$J$9,0)),1,INDEX($N$2:$N$9,MATCH($B23&amp;$C23,$J$2:$J$9,0))))</f>
        <v>3.5209421212835057</v>
      </c>
      <c r="AD23" s="561">
        <f ca="1">SUM(OFFSET('Output data (results)'!$B$10,AD$15-2000+INDEX($I$2:$I$4,MATCH($B$1,$H$2:$H$4,0)),INDEX($M$2:$M$9,MATCH($B23&amp;$C23,$J$2:$J$9,0)),1,INDEX($N$2:$N$9,MATCH($B23&amp;$C23,$J$2:$J$9,0))))</f>
        <v>3.5467194893720086</v>
      </c>
      <c r="AE23" s="561">
        <f ca="1">SUM(OFFSET('Output data (results)'!$B$10,AE$15-2000+INDEX($I$2:$I$4,MATCH($B$1,$H$2:$H$4,0)),INDEX($M$2:$M$9,MATCH($B23&amp;$C23,$J$2:$J$9,0)),1,INDEX($N$2:$N$9,MATCH($B23&amp;$C23,$J$2:$J$9,0))))</f>
        <v>3.5726855776049167</v>
      </c>
      <c r="AF23" s="561">
        <f ca="1">SUM(OFFSET('Output data (results)'!$B$10,AF$15-2000+INDEX($I$2:$I$4,MATCH($B$1,$H$2:$H$4,0)),INDEX($M$2:$M$9,MATCH($B23&amp;$C23,$J$2:$J$9,0)),1,INDEX($N$2:$N$9,MATCH($B23&amp;$C23,$J$2:$J$9,0))))</f>
        <v>3.5988417676319293</v>
      </c>
      <c r="AG23" s="561">
        <f ca="1">SUM(OFFSET('Output data (results)'!$B$10,AG$15-2000+INDEX($I$2:$I$4,MATCH($B$1,$H$2:$H$4,0)),INDEX($M$2:$M$9,MATCH($B23&amp;$C23,$J$2:$J$9,0)),1,INDEX($N$2:$N$9,MATCH($B23&amp;$C23,$J$2:$J$9,0))))</f>
        <v>3.6211939201999317</v>
      </c>
      <c r="AH23" s="561">
        <f ca="1">SUM(OFFSET('Output data (results)'!$B$10,AH$15-2000+INDEX($I$2:$I$4,MATCH($B$1,$H$2:$H$4,0)),INDEX($M$2:$M$9,MATCH($B23&amp;$C23,$J$2:$J$9,0)),1,INDEX($N$2:$N$9,MATCH($B23&amp;$C23,$J$2:$J$9,0))))</f>
        <v>3.6436849004121257</v>
      </c>
      <c r="AI23" s="561">
        <f ca="1">SUM(OFFSET('Output data (results)'!$B$10,AI$15-2000+INDEX($I$2:$I$4,MATCH($B$1,$H$2:$H$4,0)),INDEX($M$2:$M$9,MATCH($B23&amp;$C23,$J$2:$J$9,0)),1,INDEX($N$2:$N$9,MATCH($B23&amp;$C23,$J$2:$J$9,0))))</f>
        <v>3.666315570517225</v>
      </c>
      <c r="AJ23" s="561">
        <f ca="1">SUM(OFFSET('Output data (results)'!$B$10,AJ$15-2000+INDEX($I$2:$I$4,MATCH($B$1,$H$2:$H$4,0)),INDEX($M$2:$M$9,MATCH($B23&amp;$C23,$J$2:$J$9,0)),1,INDEX($N$2:$N$9,MATCH($B23&amp;$C23,$J$2:$J$9,0))))</f>
        <v>3.6890867981193103</v>
      </c>
      <c r="AK23" s="561">
        <f ca="1">SUM(OFFSET('Output data (results)'!$B$10,AK$15-2000+INDEX($I$2:$I$4,MATCH($B$1,$H$2:$H$4,0)),INDEX($M$2:$M$9,MATCH($B23&amp;$C23,$J$2:$J$9,0)),1,INDEX($N$2:$N$9,MATCH($B23&amp;$C23,$J$2:$J$9,0))))</f>
        <v>3.711999456211089</v>
      </c>
      <c r="AL23" s="561">
        <f ca="1">SUM(OFFSET('Output data (results)'!$B$10,AL$15-2000+INDEX($I$2:$I$4,MATCH($B$1,$H$2:$H$4,0)),INDEX($M$2:$M$9,MATCH($B23&amp;$C23,$J$2:$J$9,0)),1,INDEX($N$2:$N$9,MATCH($B23&amp;$C23,$J$2:$J$9,0))))</f>
        <v>3.7309486194433799</v>
      </c>
      <c r="AM23" s="561">
        <f ca="1">SUM(OFFSET('Output data (results)'!$B$10,AM$15-2000+INDEX($I$2:$I$4,MATCH($B$1,$H$2:$H$4,0)),INDEX($M$2:$M$9,MATCH($B23&amp;$C23,$J$2:$J$9,0)),1,INDEX($N$2:$N$9,MATCH($B23&amp;$C23,$J$2:$J$9,0))))</f>
        <v>3.74999451512174</v>
      </c>
      <c r="AN23" s="561">
        <f ca="1">SUM(OFFSET('Output data (results)'!$B$10,AN$15-2000+INDEX($I$2:$I$4,MATCH($B$1,$H$2:$H$4,0)),INDEX($M$2:$M$9,MATCH($B23&amp;$C23,$J$2:$J$9,0)),1,INDEX($N$2:$N$9,MATCH($B23&amp;$C23,$J$2:$J$9,0))))</f>
        <v>3.769137637049826</v>
      </c>
      <c r="AO23" s="561">
        <f ca="1">SUM(OFFSET('Output data (results)'!$B$10,AO$15-2000+INDEX($I$2:$I$4,MATCH($B$1,$H$2:$H$4,0)),INDEX($M$2:$M$9,MATCH($B23&amp;$C23,$J$2:$J$9,0)),1,INDEX($N$2:$N$9,MATCH($B23&amp;$C23,$J$2:$J$9,0))))</f>
        <v>3.7883784815520856</v>
      </c>
      <c r="AP23" s="561">
        <f ca="1">SUM(OFFSET('Output data (results)'!$B$10,AP$15-2000+INDEX($I$2:$I$4,MATCH($B$1,$H$2:$H$4,0)),INDEX($M$2:$M$9,MATCH($B23&amp;$C23,$J$2:$J$9,0)),1,INDEX($N$2:$N$9,MATCH($B23&amp;$C23,$J$2:$J$9,0))))</f>
        <v>3.8077175474866229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1"/>
  <sheetViews>
    <sheetView topLeftCell="G110" zoomScale="56" zoomScaleNormal="60" workbookViewId="0">
      <selection activeCell="L128" sqref="L128"/>
    </sheetView>
  </sheetViews>
  <sheetFormatPr defaultColWidth="8.85546875" defaultRowHeight="15.75"/>
  <cols>
    <col min="1" max="1" width="32.7109375" style="183" customWidth="1"/>
    <col min="2" max="2" width="31" style="183" customWidth="1"/>
    <col min="3" max="3" width="71.28515625" style="183" bestFit="1" customWidth="1"/>
    <col min="4" max="4" width="70.5703125" style="183" bestFit="1" customWidth="1"/>
    <col min="5" max="5" width="21.7109375" style="183" customWidth="1"/>
    <col min="6" max="6" width="24.42578125" style="183" customWidth="1"/>
    <col min="7" max="7" width="21.85546875" style="183" customWidth="1"/>
    <col min="8" max="8" width="20" style="183" customWidth="1"/>
    <col min="9" max="9" width="17.7109375" style="183" customWidth="1"/>
    <col min="10" max="10" width="16.85546875" style="183" customWidth="1"/>
    <col min="11" max="12" width="13.42578125" style="183" bestFit="1" customWidth="1"/>
    <col min="13" max="13" width="13.140625" style="183" customWidth="1"/>
    <col min="14" max="14" width="14.7109375" style="183" bestFit="1" customWidth="1"/>
    <col min="15" max="15" width="11.7109375" style="183" customWidth="1"/>
    <col min="16" max="16" width="11.28515625" style="183" customWidth="1"/>
    <col min="17" max="17" width="12.7109375" customWidth="1"/>
    <col min="18" max="18" width="11" customWidth="1"/>
    <col min="19" max="20" width="9.140625" customWidth="1"/>
    <col min="21" max="16384" width="8.85546875" style="183"/>
  </cols>
  <sheetData>
    <row r="1" spans="1:14" ht="16.5" thickBot="1">
      <c r="A1" s="182" t="s">
        <v>231</v>
      </c>
    </row>
    <row r="2" spans="1:14">
      <c r="A2" s="455"/>
      <c r="B2" s="456" t="s">
        <v>2</v>
      </c>
      <c r="C2" s="456" t="s">
        <v>4</v>
      </c>
      <c r="D2" s="457" t="s">
        <v>468</v>
      </c>
    </row>
    <row r="3" spans="1:14" ht="31.5">
      <c r="A3" s="189" t="s">
        <v>488</v>
      </c>
      <c r="B3" s="412" t="s">
        <v>227</v>
      </c>
      <c r="C3" s="406">
        <v>578.73</v>
      </c>
      <c r="D3" s="196" t="s">
        <v>487</v>
      </c>
    </row>
    <row r="4" spans="1:14" ht="31.5">
      <c r="A4" s="189" t="s">
        <v>486</v>
      </c>
      <c r="B4" s="412" t="s">
        <v>227</v>
      </c>
      <c r="C4" s="406">
        <f>'Waste Summary 2017 SASOW'!P6</f>
        <v>424.26313389388866</v>
      </c>
      <c r="D4" s="196" t="s">
        <v>469</v>
      </c>
    </row>
    <row r="5" spans="1:14" ht="31.5">
      <c r="A5" s="189" t="s">
        <v>475</v>
      </c>
      <c r="B5" s="454" t="str">
        <f>'Waste Summary 2017 SASOW'!C34</f>
        <v>ton industrial waste/Rmill GDP</v>
      </c>
      <c r="C5" s="406">
        <f>'Waste Summary 2017 SASOW'!B34</f>
        <v>28.161493315089835</v>
      </c>
      <c r="D5" s="196" t="s">
        <v>470</v>
      </c>
    </row>
    <row r="6" spans="1:14" ht="31.5">
      <c r="A6" s="189" t="s">
        <v>570</v>
      </c>
      <c r="B6" s="454" t="str">
        <f>B5</f>
        <v>ton industrial waste/Rmill GDP</v>
      </c>
      <c r="C6" s="406">
        <f>'Waste Summary 2017 SASOW'!B36</f>
        <v>12.071167303296225</v>
      </c>
      <c r="D6" s="196" t="s">
        <v>470</v>
      </c>
    </row>
    <row r="7" spans="1:14" ht="55.9" customHeight="1">
      <c r="A7" s="189" t="s">
        <v>476</v>
      </c>
      <c r="B7" s="190" t="s">
        <v>3</v>
      </c>
      <c r="C7" s="406">
        <f>37*365/1000</f>
        <v>13.505000000000001</v>
      </c>
      <c r="D7" s="196" t="s">
        <v>471</v>
      </c>
    </row>
    <row r="8" spans="1:14" ht="31.5">
      <c r="A8" s="189" t="s">
        <v>295</v>
      </c>
      <c r="B8" s="190" t="s">
        <v>52</v>
      </c>
      <c r="C8" s="406">
        <v>29.169396153846154</v>
      </c>
      <c r="D8" s="196" t="s">
        <v>474</v>
      </c>
    </row>
    <row r="9" spans="1:14" ht="48" customHeight="1" thickBot="1">
      <c r="A9" s="191" t="s">
        <v>502</v>
      </c>
      <c r="B9" s="192" t="s">
        <v>3</v>
      </c>
      <c r="C9" s="1131">
        <f>H117*10^6/(G117*B117*10^6)</f>
        <v>30.607090442386749</v>
      </c>
      <c r="D9" s="197" t="s">
        <v>534</v>
      </c>
    </row>
    <row r="10" spans="1:14">
      <c r="A10" s="327"/>
      <c r="B10" s="328"/>
      <c r="C10" s="329"/>
      <c r="D10" s="330"/>
    </row>
    <row r="11" spans="1:14" ht="16.5" thickBot="1">
      <c r="A11" s="476" t="s">
        <v>533</v>
      </c>
      <c r="B11" s="318"/>
      <c r="C11"/>
      <c r="D11" s="3"/>
      <c r="E11" s="3"/>
      <c r="F11" s="3"/>
      <c r="G11" s="3"/>
      <c r="H11" s="3"/>
      <c r="I11" s="3"/>
      <c r="J11" s="3"/>
      <c r="K11" s="3"/>
      <c r="L11" s="3"/>
      <c r="M11" s="3"/>
      <c r="N11" s="3"/>
    </row>
    <row r="12" spans="1:14" ht="31.5">
      <c r="A12" s="423"/>
      <c r="B12" s="424" t="s">
        <v>327</v>
      </c>
      <c r="C12" s="1171" t="s">
        <v>221</v>
      </c>
      <c r="D12" s="1171" t="s">
        <v>85</v>
      </c>
      <c r="E12" s="1171" t="s">
        <v>87</v>
      </c>
      <c r="F12" s="1171" t="s">
        <v>222</v>
      </c>
      <c r="G12" s="1171" t="s">
        <v>115</v>
      </c>
      <c r="H12" s="1171" t="s">
        <v>223</v>
      </c>
      <c r="I12" s="1171" t="s">
        <v>472</v>
      </c>
      <c r="J12" s="1171" t="s">
        <v>329</v>
      </c>
      <c r="K12" s="1171" t="s">
        <v>330</v>
      </c>
      <c r="L12" s="1171" t="s">
        <v>331</v>
      </c>
      <c r="M12" s="1171" t="s">
        <v>332</v>
      </c>
      <c r="N12" s="1170" t="s">
        <v>225</v>
      </c>
    </row>
    <row r="13" spans="1:14">
      <c r="A13" s="425"/>
      <c r="B13" s="320" t="s">
        <v>333</v>
      </c>
      <c r="C13" s="1277">
        <v>1233791.4119790548</v>
      </c>
      <c r="D13" s="1277">
        <v>1138884.3802883581</v>
      </c>
      <c r="E13" s="1277">
        <v>378326.54427023319</v>
      </c>
      <c r="F13" s="1277">
        <v>0</v>
      </c>
      <c r="G13" s="1277">
        <v>0</v>
      </c>
      <c r="H13" s="1277">
        <v>0</v>
      </c>
      <c r="I13" s="1277"/>
      <c r="J13" s="1277">
        <v>381000</v>
      </c>
      <c r="K13" s="1277">
        <v>338388.97868490184</v>
      </c>
      <c r="L13" s="1277">
        <v>297470.77450579114</v>
      </c>
      <c r="M13" s="1277">
        <v>0</v>
      </c>
      <c r="N13" s="1278">
        <f t="shared" ref="N13:N21" si="0">SUM(C13:M13)</f>
        <v>3767862.0897283391</v>
      </c>
    </row>
    <row r="14" spans="1:14">
      <c r="A14" s="426" t="s">
        <v>334</v>
      </c>
      <c r="B14" s="320" t="s">
        <v>335</v>
      </c>
      <c r="C14" s="1277">
        <v>964286</v>
      </c>
      <c r="D14" s="1277">
        <v>964286</v>
      </c>
      <c r="E14" s="1277">
        <v>0</v>
      </c>
      <c r="F14" s="1277">
        <v>0</v>
      </c>
      <c r="G14" s="1277">
        <v>0</v>
      </c>
      <c r="H14" s="1277">
        <v>0</v>
      </c>
      <c r="I14" s="1277">
        <v>2892858</v>
      </c>
      <c r="J14" s="1277">
        <v>0</v>
      </c>
      <c r="K14" s="1277">
        <v>0</v>
      </c>
      <c r="L14" s="1277">
        <v>0</v>
      </c>
      <c r="M14" s="1277">
        <v>0</v>
      </c>
      <c r="N14" s="1278">
        <f t="shared" si="0"/>
        <v>4821430</v>
      </c>
    </row>
    <row r="15" spans="1:14">
      <c r="A15" s="426" t="s">
        <v>336</v>
      </c>
      <c r="B15" s="320" t="s">
        <v>337</v>
      </c>
      <c r="C15" s="1277">
        <v>72176.800000000003</v>
      </c>
      <c r="D15" s="1277">
        <v>72176.800000000003</v>
      </c>
      <c r="E15" s="1277">
        <v>0</v>
      </c>
      <c r="F15" s="1277">
        <v>0</v>
      </c>
      <c r="G15" s="1277">
        <v>0</v>
      </c>
      <c r="H15" s="1277">
        <v>0</v>
      </c>
      <c r="I15" s="1277">
        <v>216530.4</v>
      </c>
      <c r="J15" s="1277">
        <v>0</v>
      </c>
      <c r="K15" s="1277">
        <v>0</v>
      </c>
      <c r="L15" s="1277">
        <v>0</v>
      </c>
      <c r="M15" s="1277">
        <v>0</v>
      </c>
      <c r="N15" s="1278">
        <f t="shared" si="0"/>
        <v>360884</v>
      </c>
    </row>
    <row r="16" spans="1:14">
      <c r="A16" s="426" t="s">
        <v>338</v>
      </c>
      <c r="B16" s="320" t="s">
        <v>339</v>
      </c>
      <c r="C16" s="1277">
        <v>0</v>
      </c>
      <c r="D16" s="1277">
        <v>0</v>
      </c>
      <c r="E16" s="1277">
        <v>520349.97572976683</v>
      </c>
      <c r="F16" s="1277">
        <v>0</v>
      </c>
      <c r="G16" s="1277">
        <v>0</v>
      </c>
      <c r="H16" s="1277">
        <v>0</v>
      </c>
      <c r="I16" s="1277">
        <v>0</v>
      </c>
      <c r="J16" s="1277">
        <v>237880.00199999998</v>
      </c>
      <c r="K16" s="1277">
        <v>465419.88531509798</v>
      </c>
      <c r="L16" s="1277">
        <v>409141.02549420868</v>
      </c>
      <c r="M16" s="1277">
        <v>123895.58799999999</v>
      </c>
      <c r="N16" s="1278">
        <f t="shared" si="0"/>
        <v>1756686.4765390735</v>
      </c>
    </row>
    <row r="17" spans="1:16">
      <c r="A17" s="426" t="s">
        <v>338</v>
      </c>
      <c r="B17" s="320" t="s">
        <v>340</v>
      </c>
      <c r="C17" s="1277">
        <v>0</v>
      </c>
      <c r="D17" s="1277">
        <v>0</v>
      </c>
      <c r="E17" s="1277">
        <v>1241029.48</v>
      </c>
      <c r="F17" s="1277">
        <v>0</v>
      </c>
      <c r="G17" s="1277">
        <v>0</v>
      </c>
      <c r="H17" s="1277">
        <v>0</v>
      </c>
      <c r="I17" s="1277">
        <v>0</v>
      </c>
      <c r="J17" s="1277">
        <v>480373.99800000002</v>
      </c>
      <c r="K17" s="1277">
        <v>1987194.1360000002</v>
      </c>
      <c r="L17" s="1277">
        <v>2826447.2</v>
      </c>
      <c r="M17" s="1277">
        <v>38271.412000000004</v>
      </c>
      <c r="N17" s="1278">
        <f t="shared" si="0"/>
        <v>6573316.2259999998</v>
      </c>
    </row>
    <row r="18" spans="1:16">
      <c r="A18" s="426" t="s">
        <v>341</v>
      </c>
      <c r="B18" s="320" t="s">
        <v>342</v>
      </c>
      <c r="C18" s="1277">
        <v>2500000</v>
      </c>
      <c r="D18" s="1277">
        <v>4200000</v>
      </c>
      <c r="E18" s="1277">
        <v>0</v>
      </c>
      <c r="F18" s="1277">
        <v>0</v>
      </c>
      <c r="G18" s="1277">
        <v>0</v>
      </c>
      <c r="H18" s="1277">
        <v>0</v>
      </c>
      <c r="I18" s="1277">
        <v>0</v>
      </c>
      <c r="J18" s="1277">
        <v>0</v>
      </c>
      <c r="K18" s="1277">
        <v>0</v>
      </c>
      <c r="L18" s="1277">
        <v>0</v>
      </c>
      <c r="M18" s="1277">
        <v>0</v>
      </c>
      <c r="N18" s="1278">
        <f t="shared" si="0"/>
        <v>6700000</v>
      </c>
      <c r="O18" s="184"/>
    </row>
    <row r="19" spans="1:16">
      <c r="A19" s="425"/>
      <c r="B19" s="321" t="s">
        <v>484</v>
      </c>
      <c r="C19" s="322">
        <f>SUM(C13:C18)</f>
        <v>4770254.2119790548</v>
      </c>
      <c r="D19" s="322">
        <f t="shared" ref="D19:K19" si="1">SUM(D13:D18)</f>
        <v>6375347.1802883577</v>
      </c>
      <c r="E19" s="322">
        <f t="shared" si="1"/>
        <v>2139706</v>
      </c>
      <c r="F19" s="322">
        <f t="shared" si="1"/>
        <v>0</v>
      </c>
      <c r="G19" s="322">
        <f t="shared" si="1"/>
        <v>0</v>
      </c>
      <c r="H19" s="322">
        <f t="shared" si="1"/>
        <v>0</v>
      </c>
      <c r="I19" s="322">
        <f t="shared" si="1"/>
        <v>3109388.4</v>
      </c>
      <c r="J19" s="322">
        <f t="shared" si="1"/>
        <v>1099254</v>
      </c>
      <c r="K19" s="322">
        <f t="shared" si="1"/>
        <v>2791003</v>
      </c>
      <c r="L19" s="322">
        <f>SUM(L13:L18)</f>
        <v>3533059</v>
      </c>
      <c r="M19" s="322">
        <f>SUM(M13:M18)</f>
        <v>162167</v>
      </c>
      <c r="N19" s="427">
        <f t="shared" si="0"/>
        <v>23980178.792267412</v>
      </c>
      <c r="O19" s="184"/>
    </row>
    <row r="20" spans="1:16">
      <c r="A20" s="425"/>
      <c r="B20" s="321" t="s">
        <v>496</v>
      </c>
      <c r="C20" s="322">
        <f>C13*0.5+0.9*(C14+C15+C16)+0.5*C18*0.9</f>
        <v>2674712.2259895275</v>
      </c>
      <c r="D20" s="322">
        <f>D13*0.5+0.9*(D14+D15+D16)+0.5*D18*0.9</f>
        <v>3392258.7101441789</v>
      </c>
      <c r="E20" s="322">
        <f>E13*0.5+0.9*(E14+E15+E16)+0.5*E18*0.9</f>
        <v>657478.25029190676</v>
      </c>
      <c r="F20" s="322">
        <f t="shared" ref="F20:K20" si="2">F13*0.5+0.9*(F14+F15+F16)+0.5*F18*0.9</f>
        <v>0</v>
      </c>
      <c r="G20" s="322">
        <f t="shared" si="2"/>
        <v>0</v>
      </c>
      <c r="H20" s="322">
        <f t="shared" si="2"/>
        <v>0</v>
      </c>
      <c r="I20" s="322">
        <f t="shared" si="2"/>
        <v>2798449.56</v>
      </c>
      <c r="J20" s="322">
        <f t="shared" si="2"/>
        <v>404592.00179999997</v>
      </c>
      <c r="K20" s="322">
        <f t="shared" si="2"/>
        <v>588072.38612603908</v>
      </c>
      <c r="L20" s="322">
        <f>L13*0.5+0.9*(L14+L15+L16)+0.5*L18*0.9</f>
        <v>516962.3101976834</v>
      </c>
      <c r="M20" s="322">
        <f>M13*0.5+0.9*(M14+M15+M16)+0.5*M18*0.9</f>
        <v>111506.02919999999</v>
      </c>
      <c r="N20" s="427">
        <f t="shared" si="0"/>
        <v>11144031.473749338</v>
      </c>
      <c r="O20" s="422"/>
    </row>
    <row r="21" spans="1:16">
      <c r="A21" s="425"/>
      <c r="B21" s="321" t="s">
        <v>744</v>
      </c>
      <c r="C21" s="322">
        <f>C19-C20-C17-0.5*C18</f>
        <v>845541.98598952731</v>
      </c>
      <c r="D21" s="322">
        <f t="shared" ref="D21:K21" si="3">D19-D20-D17-0.5*D18</f>
        <v>883088.47014417872</v>
      </c>
      <c r="E21" s="322">
        <f t="shared" si="3"/>
        <v>241198.26970809326</v>
      </c>
      <c r="F21" s="322">
        <f t="shared" si="3"/>
        <v>0</v>
      </c>
      <c r="G21" s="322">
        <f t="shared" si="3"/>
        <v>0</v>
      </c>
      <c r="H21" s="322">
        <f t="shared" si="3"/>
        <v>0</v>
      </c>
      <c r="I21" s="322">
        <f t="shared" si="3"/>
        <v>310938.83999999985</v>
      </c>
      <c r="J21" s="322">
        <f t="shared" si="3"/>
        <v>214288.00020000001</v>
      </c>
      <c r="K21" s="322">
        <f t="shared" si="3"/>
        <v>215736.47787396074</v>
      </c>
      <c r="L21" s="322">
        <f>L19-L20-L17-0.5*L18</f>
        <v>189649.4898023163</v>
      </c>
      <c r="M21" s="322">
        <f>M19-M20-M17-0.5*M18</f>
        <v>12389.558800000006</v>
      </c>
      <c r="N21" s="427">
        <f t="shared" si="0"/>
        <v>2912831.0925180763</v>
      </c>
      <c r="O21" s="184"/>
    </row>
    <row r="22" spans="1:16">
      <c r="A22" s="425"/>
      <c r="B22" s="323" t="s">
        <v>344</v>
      </c>
      <c r="C22" s="324"/>
      <c r="D22" s="324"/>
      <c r="E22" s="324"/>
      <c r="F22" s="324"/>
      <c r="G22" s="324"/>
      <c r="H22" s="324"/>
      <c r="I22" s="324"/>
      <c r="J22" s="319"/>
      <c r="K22" s="6"/>
      <c r="L22" s="6"/>
      <c r="M22" s="6"/>
      <c r="N22" s="669"/>
      <c r="O22" s="332"/>
      <c r="P22" s="332"/>
    </row>
    <row r="23" spans="1:16">
      <c r="A23" s="425"/>
      <c r="B23" s="320" t="s">
        <v>345</v>
      </c>
      <c r="C23" s="325">
        <f t="shared" ref="C23:M23" si="4">C13/$N$13</f>
        <v>0.32745131923552184</v>
      </c>
      <c r="D23" s="325">
        <f t="shared" si="4"/>
        <v>0.30226275621740473</v>
      </c>
      <c r="E23" s="325">
        <f t="shared" si="4"/>
        <v>0.10040880883129943</v>
      </c>
      <c r="F23" s="325">
        <f t="shared" si="4"/>
        <v>0</v>
      </c>
      <c r="G23" s="325">
        <f t="shared" si="4"/>
        <v>0</v>
      </c>
      <c r="H23" s="325">
        <f t="shared" si="4"/>
        <v>0</v>
      </c>
      <c r="I23" s="325">
        <f t="shared" si="4"/>
        <v>0</v>
      </c>
      <c r="J23" s="325">
        <f t="shared" si="4"/>
        <v>0.10111835065265616</v>
      </c>
      <c r="K23" s="325">
        <f t="shared" si="4"/>
        <v>8.9809279274682671E-2</v>
      </c>
      <c r="L23" s="325">
        <f t="shared" si="4"/>
        <v>7.8949485788435164E-2</v>
      </c>
      <c r="M23" s="325">
        <f t="shared" si="4"/>
        <v>0</v>
      </c>
      <c r="N23" s="428">
        <f t="shared" ref="N23:N28" si="5">SUM(C23:M23)</f>
        <v>1</v>
      </c>
      <c r="O23" s="184"/>
      <c r="P23" s="332"/>
    </row>
    <row r="24" spans="1:16">
      <c r="A24" s="426" t="s">
        <v>334</v>
      </c>
      <c r="B24" s="320" t="s">
        <v>346</v>
      </c>
      <c r="C24" s="325">
        <f t="shared" ref="C24:M24" si="6">C14/$N$14</f>
        <v>0.2</v>
      </c>
      <c r="D24" s="325">
        <f t="shared" si="6"/>
        <v>0.2</v>
      </c>
      <c r="E24" s="325">
        <f t="shared" si="6"/>
        <v>0</v>
      </c>
      <c r="F24" s="325">
        <f t="shared" si="6"/>
        <v>0</v>
      </c>
      <c r="G24" s="325">
        <f t="shared" si="6"/>
        <v>0</v>
      </c>
      <c r="H24" s="325">
        <f t="shared" si="6"/>
        <v>0</v>
      </c>
      <c r="I24" s="325">
        <f t="shared" si="6"/>
        <v>0.6</v>
      </c>
      <c r="J24" s="325">
        <f t="shared" si="6"/>
        <v>0</v>
      </c>
      <c r="K24" s="325">
        <f t="shared" si="6"/>
        <v>0</v>
      </c>
      <c r="L24" s="325">
        <f t="shared" si="6"/>
        <v>0</v>
      </c>
      <c r="M24" s="325">
        <f t="shared" si="6"/>
        <v>0</v>
      </c>
      <c r="N24" s="428">
        <f t="shared" si="5"/>
        <v>1</v>
      </c>
      <c r="O24" s="332"/>
      <c r="P24" s="332"/>
    </row>
    <row r="25" spans="1:16">
      <c r="A25" s="426" t="s">
        <v>336</v>
      </c>
      <c r="B25" s="320" t="s">
        <v>347</v>
      </c>
      <c r="C25" s="325">
        <f t="shared" ref="C25:M25" si="7">C15/$N$15</f>
        <v>0.2</v>
      </c>
      <c r="D25" s="325">
        <f t="shared" si="7"/>
        <v>0.2</v>
      </c>
      <c r="E25" s="325">
        <f t="shared" si="7"/>
        <v>0</v>
      </c>
      <c r="F25" s="325">
        <f t="shared" si="7"/>
        <v>0</v>
      </c>
      <c r="G25" s="325">
        <f t="shared" si="7"/>
        <v>0</v>
      </c>
      <c r="H25" s="325">
        <f t="shared" si="7"/>
        <v>0</v>
      </c>
      <c r="I25" s="325">
        <f t="shared" si="7"/>
        <v>0.6</v>
      </c>
      <c r="J25" s="325">
        <f t="shared" si="7"/>
        <v>0</v>
      </c>
      <c r="K25" s="325">
        <f t="shared" si="7"/>
        <v>0</v>
      </c>
      <c r="L25" s="325">
        <f t="shared" si="7"/>
        <v>0</v>
      </c>
      <c r="M25" s="325">
        <f t="shared" si="7"/>
        <v>0</v>
      </c>
      <c r="N25" s="428">
        <f t="shared" si="5"/>
        <v>1</v>
      </c>
      <c r="O25" s="332"/>
      <c r="P25" s="332"/>
    </row>
    <row r="26" spans="1:16">
      <c r="A26" s="426" t="s">
        <v>338</v>
      </c>
      <c r="B26" s="320" t="s">
        <v>339</v>
      </c>
      <c r="C26" s="325">
        <f t="shared" ref="C26:M26" si="8">C16/$N$16</f>
        <v>0</v>
      </c>
      <c r="D26" s="325">
        <f t="shared" si="8"/>
        <v>0</v>
      </c>
      <c r="E26" s="325">
        <f t="shared" si="8"/>
        <v>0.29621106707380795</v>
      </c>
      <c r="F26" s="325">
        <f t="shared" si="8"/>
        <v>0</v>
      </c>
      <c r="G26" s="325">
        <f t="shared" si="8"/>
        <v>0</v>
      </c>
      <c r="H26" s="325">
        <f t="shared" si="8"/>
        <v>0</v>
      </c>
      <c r="I26" s="325">
        <f t="shared" si="8"/>
        <v>0</v>
      </c>
      <c r="J26" s="325">
        <f t="shared" si="8"/>
        <v>0.1354140338511958</v>
      </c>
      <c r="K26" s="325">
        <f t="shared" si="8"/>
        <v>0.26494191851015014</v>
      </c>
      <c r="L26" s="325">
        <f t="shared" si="8"/>
        <v>0.2329049781838565</v>
      </c>
      <c r="M26" s="325">
        <f t="shared" si="8"/>
        <v>7.0528002380989593E-2</v>
      </c>
      <c r="N26" s="428">
        <f t="shared" si="5"/>
        <v>0.99999999999999989</v>
      </c>
      <c r="O26" s="332"/>
      <c r="P26" s="332"/>
    </row>
    <row r="27" spans="1:16">
      <c r="A27" s="426" t="s">
        <v>338</v>
      </c>
      <c r="B27" s="320" t="s">
        <v>340</v>
      </c>
      <c r="C27" s="325">
        <f t="shared" ref="C27:M27" si="9">C17/$N$17</f>
        <v>0</v>
      </c>
      <c r="D27" s="325">
        <f t="shared" si="9"/>
        <v>0</v>
      </c>
      <c r="E27" s="325">
        <f t="shared" si="9"/>
        <v>0.188798079588998</v>
      </c>
      <c r="F27" s="325">
        <f t="shared" si="9"/>
        <v>0</v>
      </c>
      <c r="G27" s="325">
        <f t="shared" si="9"/>
        <v>0</v>
      </c>
      <c r="H27" s="325">
        <f t="shared" si="9"/>
        <v>0</v>
      </c>
      <c r="I27" s="325">
        <f t="shared" si="9"/>
        <v>0</v>
      </c>
      <c r="J27" s="325">
        <f t="shared" si="9"/>
        <v>7.3079398812419163E-2</v>
      </c>
      <c r="K27" s="325">
        <f t="shared" si="9"/>
        <v>0.30231226791431109</v>
      </c>
      <c r="L27" s="325">
        <f t="shared" si="9"/>
        <v>0.42998801561079808</v>
      </c>
      <c r="M27" s="325">
        <f t="shared" si="9"/>
        <v>5.8222380734737535E-3</v>
      </c>
      <c r="N27" s="428">
        <f t="shared" si="5"/>
        <v>1.0000000000000002</v>
      </c>
      <c r="O27" s="332"/>
      <c r="P27" s="332"/>
    </row>
    <row r="28" spans="1:16">
      <c r="A28" s="426" t="s">
        <v>341</v>
      </c>
      <c r="B28" s="320" t="s">
        <v>342</v>
      </c>
      <c r="C28" s="325">
        <f t="shared" ref="C28:M28" si="10">C18/$N$18</f>
        <v>0.37313432835820898</v>
      </c>
      <c r="D28" s="325">
        <f t="shared" si="10"/>
        <v>0.62686567164179108</v>
      </c>
      <c r="E28" s="325">
        <f t="shared" si="10"/>
        <v>0</v>
      </c>
      <c r="F28" s="325">
        <f t="shared" si="10"/>
        <v>0</v>
      </c>
      <c r="G28" s="325">
        <f t="shared" si="10"/>
        <v>0</v>
      </c>
      <c r="H28" s="325">
        <f t="shared" si="10"/>
        <v>0</v>
      </c>
      <c r="I28" s="325">
        <f t="shared" si="10"/>
        <v>0</v>
      </c>
      <c r="J28" s="325">
        <f t="shared" si="10"/>
        <v>0</v>
      </c>
      <c r="K28" s="325">
        <f t="shared" si="10"/>
        <v>0</v>
      </c>
      <c r="L28" s="325">
        <f t="shared" si="10"/>
        <v>0</v>
      </c>
      <c r="M28" s="325">
        <f t="shared" si="10"/>
        <v>0</v>
      </c>
      <c r="N28" s="428">
        <f t="shared" si="5"/>
        <v>1</v>
      </c>
      <c r="O28" s="332"/>
      <c r="P28" s="332"/>
    </row>
    <row r="29" spans="1:16">
      <c r="A29" s="425"/>
      <c r="B29" s="321" t="s">
        <v>348</v>
      </c>
      <c r="C29" s="326">
        <f t="shared" ref="C29:M29" si="11">C19/$N$19</f>
        <v>0.19892488097366726</v>
      </c>
      <c r="D29" s="326">
        <f t="shared" si="11"/>
        <v>0.26585903447659598</v>
      </c>
      <c r="E29" s="326">
        <f t="shared" si="11"/>
        <v>8.9228108703258049E-2</v>
      </c>
      <c r="F29" s="326">
        <f t="shared" si="11"/>
        <v>0</v>
      </c>
      <c r="G29" s="326">
        <f t="shared" si="11"/>
        <v>0</v>
      </c>
      <c r="H29" s="326">
        <f t="shared" si="11"/>
        <v>0</v>
      </c>
      <c r="I29" s="326">
        <f t="shared" si="11"/>
        <v>0.12966493815311525</v>
      </c>
      <c r="J29" s="326">
        <f t="shared" si="11"/>
        <v>4.5840108596457284E-2</v>
      </c>
      <c r="K29" s="326">
        <f t="shared" si="11"/>
        <v>0.1163879145429883</v>
      </c>
      <c r="L29" s="326">
        <f t="shared" si="11"/>
        <v>0.1473324711465146</v>
      </c>
      <c r="M29" s="326">
        <f t="shared" si="11"/>
        <v>6.7625434074032823E-3</v>
      </c>
      <c r="N29" s="429">
        <f>SUM(C28:M28)</f>
        <v>1</v>
      </c>
      <c r="O29" s="332"/>
      <c r="P29" s="332"/>
    </row>
    <row r="30" spans="1:16">
      <c r="A30" s="426"/>
      <c r="B30" s="321" t="s">
        <v>497</v>
      </c>
      <c r="C30" s="326">
        <f t="shared" ref="C30:M30" si="12">C20/$N$20</f>
        <v>0.24001298204245269</v>
      </c>
      <c r="D30" s="326">
        <f t="shared" si="12"/>
        <v>0.30440139352934503</v>
      </c>
      <c r="E30" s="326">
        <f t="shared" si="12"/>
        <v>5.8998240613430578E-2</v>
      </c>
      <c r="F30" s="326">
        <f t="shared" si="12"/>
        <v>0</v>
      </c>
      <c r="G30" s="326">
        <f t="shared" si="12"/>
        <v>0</v>
      </c>
      <c r="H30" s="326">
        <f t="shared" si="12"/>
        <v>0</v>
      </c>
      <c r="I30" s="326">
        <f t="shared" si="12"/>
        <v>0.25111644440272562</v>
      </c>
      <c r="J30" s="326">
        <f t="shared" si="12"/>
        <v>3.6305712412339194E-2</v>
      </c>
      <c r="K30" s="326">
        <f t="shared" si="12"/>
        <v>5.2770165582472633E-2</v>
      </c>
      <c r="L30" s="326">
        <f t="shared" si="12"/>
        <v>4.6389164586929758E-2</v>
      </c>
      <c r="M30" s="326">
        <f t="shared" si="12"/>
        <v>1.0005896830304312E-2</v>
      </c>
      <c r="N30" s="429">
        <f>SUM(C28:M28)</f>
        <v>1</v>
      </c>
      <c r="O30" s="332"/>
      <c r="P30" s="332"/>
    </row>
    <row r="31" spans="1:16" ht="16.5" thickBot="1">
      <c r="A31" s="1279"/>
      <c r="B31" s="430" t="s">
        <v>745</v>
      </c>
      <c r="C31" s="431">
        <f t="shared" ref="C31:M31" si="13">C21/$N$21</f>
        <v>0.29028184578274857</v>
      </c>
      <c r="D31" s="431">
        <f t="shared" si="13"/>
        <v>0.30317187715157518</v>
      </c>
      <c r="E31" s="431">
        <f t="shared" si="13"/>
        <v>8.2805443243048754E-2</v>
      </c>
      <c r="F31" s="431">
        <f t="shared" si="13"/>
        <v>0</v>
      </c>
      <c r="G31" s="431">
        <f t="shared" si="13"/>
        <v>0</v>
      </c>
      <c r="H31" s="431">
        <f t="shared" si="13"/>
        <v>0</v>
      </c>
      <c r="I31" s="431">
        <f t="shared" si="13"/>
        <v>0.10674798164530724</v>
      </c>
      <c r="J31" s="431">
        <f t="shared" si="13"/>
        <v>7.3566915963792778E-2</v>
      </c>
      <c r="K31" s="431">
        <f t="shared" si="13"/>
        <v>7.4064190823870071E-2</v>
      </c>
      <c r="L31" s="431">
        <f t="shared" si="13"/>
        <v>6.5108303152026786E-2</v>
      </c>
      <c r="M31" s="431">
        <f t="shared" si="13"/>
        <v>4.2534422376305772E-3</v>
      </c>
      <c r="N31" s="1280">
        <f>SUM(C28:M28)</f>
        <v>1</v>
      </c>
      <c r="O31" s="332"/>
      <c r="P31" s="332"/>
    </row>
    <row r="32" spans="1:16" ht="16.5" thickBot="1">
      <c r="A32" s="104"/>
      <c r="B32" s="331"/>
      <c r="C32" s="417"/>
      <c r="D32" s="417"/>
      <c r="E32" s="417"/>
      <c r="F32" s="417"/>
      <c r="G32" s="417"/>
      <c r="H32" s="417"/>
      <c r="I32" s="417"/>
      <c r="J32" s="417"/>
      <c r="K32" s="417"/>
      <c r="L32" s="417"/>
      <c r="M32" s="417"/>
      <c r="N32" s="332"/>
      <c r="O32" s="332"/>
      <c r="P32" s="332"/>
    </row>
    <row r="33" spans="1:29">
      <c r="A33" s="1721"/>
      <c r="B33" s="1718" t="s">
        <v>485</v>
      </c>
      <c r="C33" s="1719"/>
      <c r="D33" s="1719"/>
      <c r="E33" s="1719"/>
      <c r="F33" s="1720"/>
      <c r="G33" s="1718" t="s">
        <v>532</v>
      </c>
      <c r="H33" s="1719"/>
      <c r="I33" s="1720"/>
      <c r="J33" s="417"/>
      <c r="L33" s="417"/>
      <c r="M33" s="417"/>
      <c r="N33" s="332"/>
      <c r="O33" s="332"/>
      <c r="P33" s="332"/>
    </row>
    <row r="34" spans="1:29" ht="16.5" thickBot="1">
      <c r="A34" s="1722"/>
      <c r="B34" s="1179" t="s">
        <v>473</v>
      </c>
      <c r="C34" s="1180" t="s">
        <v>785</v>
      </c>
      <c r="D34" s="1180" t="s">
        <v>377</v>
      </c>
      <c r="E34" s="1180" t="s">
        <v>477</v>
      </c>
      <c r="F34" s="1181" t="s">
        <v>303</v>
      </c>
      <c r="G34" s="1179" t="s">
        <v>493</v>
      </c>
      <c r="H34" s="1180" t="s">
        <v>494</v>
      </c>
      <c r="I34" s="1181" t="s">
        <v>303</v>
      </c>
      <c r="J34" s="184"/>
      <c r="K34" s="184"/>
      <c r="L34" s="184"/>
    </row>
    <row r="35" spans="1:29">
      <c r="A35" s="1442" t="s">
        <v>267</v>
      </c>
      <c r="B35" s="1183">
        <f>(0.5*'Waste Summary 2017 SASOW'!M6+0.9*('Waste Summary 2017 SASOW'!L6+'Waste Summary 2017 SASOW'!N6))/'Waste Summary 2017 SASOW'!J6</f>
        <v>0.46471844811027063</v>
      </c>
      <c r="C35" s="1183">
        <f>'Waste Summary 2017 SASOW'!O22</f>
        <v>0.41381327103365251</v>
      </c>
      <c r="D35" s="1183">
        <f>(0.5*'Waste Summary 2017 SASOW'!M6+('Waste Summary 2017 SASOW'!L6+'Waste Summary 2017 SASOW'!N6)*0.1)/'Waste Summary 2017 SASOW'!J6</f>
        <v>0.12146828085607692</v>
      </c>
      <c r="E35" s="1184">
        <v>0</v>
      </c>
      <c r="F35" s="647">
        <f>SUM(B35:E35)</f>
        <v>1</v>
      </c>
      <c r="G35" s="708">
        <f>N17/(N17+N18*0.5)</f>
        <v>0.66241124199764068</v>
      </c>
      <c r="H35" s="647">
        <f>(N18*0.5)/(N18*0.5+N17)</f>
        <v>0.33758875800235938</v>
      </c>
      <c r="I35" s="715">
        <f>SUM(G35:H35)</f>
        <v>1</v>
      </c>
      <c r="J35" s="1637">
        <f>H35*C35</f>
        <v>0.13969870821314448</v>
      </c>
      <c r="K35" s="417"/>
      <c r="L35" s="184"/>
    </row>
    <row r="36" spans="1:29">
      <c r="A36" s="1443" t="s">
        <v>758</v>
      </c>
      <c r="B36" s="436">
        <f>'Waste Summary 2017 SASOW'!L20+'Waste Summary 2017 SASOW'!M20+'Waste Summary 2017 SASOW'!N20</f>
        <v>0.7821504466492184</v>
      </c>
      <c r="C36" s="436">
        <f>'Waste Summary 2017 SASOW'!O20</f>
        <v>8.8860692477895534E-2</v>
      </c>
      <c r="D36" s="436">
        <v>0</v>
      </c>
      <c r="E36" s="1182">
        <f>'Waste Summary 2017 SASOW'!K20</f>
        <v>0.12898886087288614</v>
      </c>
      <c r="F36" s="417">
        <f>SUM(B36:E36)</f>
        <v>1</v>
      </c>
      <c r="G36" s="649">
        <f>('Waste Summary 2017 SASOW'!O10+'Waste Summary 2017 SASOW'!O13+'Waste Summary 2017 SASOW'!O14+'Waste Summary 2017 SASOW'!O15+'Waste Summary 2017 SASOW'!O7)/'Waste Summary 2017 SASOW'!O19</f>
        <v>0.78201761382701329</v>
      </c>
      <c r="H36" s="417">
        <f>'Waste Summary 2017 SASOW'!O9/'Waste Summary 2017 SASOW'!O19</f>
        <v>0.21798238617298668</v>
      </c>
      <c r="I36" s="525">
        <f t="shared" ref="I36:I38" si="14">SUM(G36:H36)</f>
        <v>1</v>
      </c>
      <c r="J36" s="1415"/>
      <c r="K36" s="184"/>
      <c r="L36" s="184"/>
      <c r="O36" s="332"/>
      <c r="P36" s="332"/>
    </row>
    <row r="37" spans="1:29">
      <c r="A37" s="1443" t="s">
        <v>759</v>
      </c>
      <c r="B37" s="436">
        <f>'Waste Summary 2017 SASOW'!L24+'Waste Summary 2017 SASOW'!M24+'Waste Summary 2017 SASOW'!N24</f>
        <v>0.57380711973947707</v>
      </c>
      <c r="C37" s="436">
        <f>'Waste Summary 2017 SASOW'!O24</f>
        <v>0.12526763815896438</v>
      </c>
      <c r="D37" s="436">
        <f>0</f>
        <v>0</v>
      </c>
      <c r="E37" s="1182">
        <f>'Waste Summary 2017 SASOW'!K24</f>
        <v>0.30092524210155869</v>
      </c>
      <c r="F37" s="417">
        <f>SUM(B37:E37)</f>
        <v>1</v>
      </c>
      <c r="G37" s="649">
        <f>('Waste Summary 2017 SASOW'!O23-'Waste Summary 2017 SASOW'!O9)/'Waste Summary 2017 SASOW'!O23</f>
        <v>0.63925641437009872</v>
      </c>
      <c r="H37" s="417">
        <f>'Waste Summary 2017 SASOW'!O9/'Waste Summary 2017 SASOW'!O23</f>
        <v>0.36074358562990122</v>
      </c>
      <c r="I37" s="525">
        <f t="shared" si="14"/>
        <v>1</v>
      </c>
      <c r="J37" s="184"/>
      <c r="K37" s="184"/>
      <c r="L37" s="184"/>
      <c r="O37" s="332"/>
      <c r="P37" s="332"/>
    </row>
    <row r="38" spans="1:29">
      <c r="A38" s="1444" t="s">
        <v>753</v>
      </c>
      <c r="B38" s="417">
        <v>0.8</v>
      </c>
      <c r="C38" s="417">
        <v>0.11</v>
      </c>
      <c r="D38" s="417">
        <v>0.09</v>
      </c>
      <c r="E38" s="417">
        <v>0</v>
      </c>
      <c r="F38" s="417">
        <f>SUM(B38:E38)</f>
        <v>1</v>
      </c>
      <c r="G38" s="649">
        <v>1</v>
      </c>
      <c r="H38" s="417">
        <v>0</v>
      </c>
      <c r="I38" s="525">
        <f t="shared" si="14"/>
        <v>1</v>
      </c>
      <c r="J38" s="184"/>
      <c r="K38" s="184"/>
      <c r="L38" s="184"/>
    </row>
    <row r="39" spans="1:29" ht="16.5" thickBot="1">
      <c r="A39" s="1445" t="s">
        <v>757</v>
      </c>
      <c r="B39" s="651">
        <f>'Waste Summary 2017 SASOW'!L28+'Waste Summary 2017 SASOW'!M28+'Waste Summary 2017 SASOW'!N28</f>
        <v>0.88463681982043585</v>
      </c>
      <c r="C39" s="651">
        <f>'Waste Summary 2017 SASOW'!O28</f>
        <v>8.8860692477895534E-2</v>
      </c>
      <c r="D39" s="651">
        <v>0</v>
      </c>
      <c r="E39" s="651">
        <f>'Waste Summary 2017 SASOW'!K28</f>
        <v>2.6502487701668711E-2</v>
      </c>
      <c r="F39" s="651">
        <f>SUM(B39:E39)</f>
        <v>1</v>
      </c>
      <c r="G39" s="650">
        <f>('Waste Summary 2017 SASOW'!O10+'Waste Summary 2017 SASOW'!O13+'Waste Summary 2017 SASOW'!O14+'Waste Summary 2017 SASOW'!O15+'Waste Summary 2017 SASOW'!O7)/'Waste Summary 2017 SASOW'!O19</f>
        <v>0.78201761382701329</v>
      </c>
      <c r="H39" s="651">
        <f>'Waste Summary 2017 SASOW'!O9/'Waste Summary 2017 SASOW'!O19</f>
        <v>0.21798238617298668</v>
      </c>
      <c r="I39" s="652">
        <f>SUM(G39:H39)</f>
        <v>1</v>
      </c>
      <c r="J39" s="184"/>
      <c r="K39" s="184"/>
      <c r="L39" s="184"/>
    </row>
    <row r="40" spans="1:29" ht="16.5" thickBot="1">
      <c r="D40" s="184"/>
      <c r="G40" s="184"/>
      <c r="H40" s="435"/>
      <c r="I40" s="184"/>
      <c r="J40" s="184"/>
      <c r="K40" s="184"/>
      <c r="L40" s="433"/>
    </row>
    <row r="41" spans="1:29">
      <c r="A41" s="1723" t="s">
        <v>615</v>
      </c>
      <c r="B41" s="1724"/>
      <c r="C41" s="1725"/>
      <c r="D41" s="184"/>
      <c r="G41" s="184"/>
      <c r="H41" s="435"/>
      <c r="I41" s="184"/>
      <c r="J41" s="184"/>
      <c r="K41" s="184"/>
      <c r="L41" s="433"/>
    </row>
    <row r="42" spans="1:29" ht="36.6" customHeight="1">
      <c r="A42" s="480" t="s">
        <v>505</v>
      </c>
      <c r="B42" s="479" t="s">
        <v>229</v>
      </c>
      <c r="C42" s="564">
        <f>Parameters!D12*(Parameters!D17+Parameters!E17)+Parameters!D13*(Parameters!D18+Parameters!E18)+Parameters!D14*(Parameters!D19+Parameters!E19)</f>
        <v>0.28959999999999997</v>
      </c>
      <c r="D42" s="184"/>
      <c r="G42" s="184"/>
      <c r="H42" s="435"/>
      <c r="I42" s="184"/>
      <c r="J42" s="184"/>
      <c r="K42" s="417"/>
      <c r="L42" s="417"/>
    </row>
    <row r="43" spans="1:29" ht="47.45" customHeight="1" thickBot="1">
      <c r="A43" s="481" t="s">
        <v>506</v>
      </c>
      <c r="B43" s="482" t="s">
        <v>229</v>
      </c>
      <c r="C43" s="565">
        <f>Parameters!D12*(SUM(Parameters!D17:H17))+Parameters!D13*(SUM(Parameters!D18:H18))+Parameters!D14*(SUM(Parameters!D19:H19))</f>
        <v>0.71479999999999999</v>
      </c>
      <c r="D43" s="184"/>
      <c r="G43" s="184"/>
      <c r="H43" s="184"/>
      <c r="I43" s="184"/>
      <c r="J43" s="184"/>
      <c r="K43" s="184"/>
      <c r="L43" s="184"/>
    </row>
    <row r="44" spans="1:29" ht="16.5" thickBot="1">
      <c r="A44" s="435"/>
      <c r="B44" s="184"/>
      <c r="C44" s="417"/>
      <c r="D44" s="184"/>
      <c r="F44" s="432"/>
      <c r="G44" s="434"/>
      <c r="H44" s="434"/>
      <c r="I44" s="434"/>
      <c r="J44" s="434"/>
      <c r="K44" s="434"/>
      <c r="L44" s="434"/>
      <c r="M44" s="408"/>
    </row>
    <row r="45" spans="1:29">
      <c r="A45" s="435"/>
      <c r="B45" s="184"/>
      <c r="C45" s="417"/>
      <c r="D45" s="184"/>
    </row>
    <row r="46" spans="1:29" ht="16.5" thickBot="1">
      <c r="A46" s="435"/>
      <c r="B46" s="184"/>
      <c r="C46" s="417"/>
      <c r="D46" s="184"/>
    </row>
    <row r="47" spans="1:29" ht="16.5" thickBot="1">
      <c r="A47" s="435"/>
      <c r="B47" s="1715" t="s">
        <v>527</v>
      </c>
      <c r="C47" s="1716"/>
      <c r="D47" s="1716"/>
      <c r="E47" s="1717"/>
      <c r="F47" s="1110" t="s">
        <v>529</v>
      </c>
      <c r="G47" s="1110"/>
      <c r="H47" s="1110"/>
      <c r="I47" s="1705" t="s">
        <v>631</v>
      </c>
      <c r="J47" s="1705"/>
      <c r="K47" s="1705"/>
      <c r="L47" s="1705"/>
      <c r="M47" s="1706"/>
      <c r="N47" s="1704" t="s">
        <v>530</v>
      </c>
      <c r="O47" s="1705"/>
      <c r="P47" s="1705"/>
      <c r="Q47" s="1705"/>
      <c r="R47" s="1705"/>
      <c r="S47" s="1705"/>
      <c r="T47" s="1705"/>
      <c r="U47" s="1705"/>
      <c r="V47" s="1705"/>
      <c r="W47" s="1705"/>
      <c r="X47" s="1705"/>
      <c r="Y47" s="1705"/>
      <c r="Z47" s="1705"/>
      <c r="AA47" s="1705"/>
      <c r="AB47" s="1705"/>
      <c r="AC47" s="1706"/>
    </row>
    <row r="48" spans="1:29" ht="94.5">
      <c r="A48" s="1713" t="s">
        <v>217</v>
      </c>
      <c r="B48" s="1106" t="s">
        <v>218</v>
      </c>
      <c r="C48" s="1106" t="s">
        <v>390</v>
      </c>
      <c r="D48" s="563" t="s">
        <v>629</v>
      </c>
      <c r="E48" s="469" t="s">
        <v>630</v>
      </c>
      <c r="F48" s="1111" t="s">
        <v>501</v>
      </c>
      <c r="G48" s="563" t="s">
        <v>504</v>
      </c>
      <c r="H48" s="469" t="s">
        <v>528</v>
      </c>
      <c r="I48" s="1169" t="s">
        <v>478</v>
      </c>
      <c r="J48" s="444" t="s">
        <v>475</v>
      </c>
      <c r="K48" s="444" t="s">
        <v>288</v>
      </c>
      <c r="L48" s="451" t="s">
        <v>747</v>
      </c>
      <c r="M48" s="451" t="s">
        <v>748</v>
      </c>
      <c r="N48" s="1707" t="s">
        <v>481</v>
      </c>
      <c r="O48" s="1708"/>
      <c r="P48" s="1708"/>
      <c r="Q48" s="1708"/>
      <c r="R48" s="1708"/>
      <c r="S48" s="1708"/>
      <c r="T48" s="1708"/>
      <c r="U48" s="1709"/>
      <c r="V48" s="1710" t="s">
        <v>746</v>
      </c>
      <c r="W48" s="1711"/>
      <c r="X48" s="1711"/>
      <c r="Y48" s="1711"/>
      <c r="Z48" s="1711"/>
      <c r="AA48" s="1711"/>
      <c r="AB48" s="1711"/>
      <c r="AC48" s="1712"/>
    </row>
    <row r="49" spans="1:29" ht="39" customHeight="1" thickBot="1">
      <c r="A49" s="1714"/>
      <c r="B49" s="458" t="s">
        <v>232</v>
      </c>
      <c r="C49" s="459" t="s">
        <v>482</v>
      </c>
      <c r="D49" s="459" t="s">
        <v>480</v>
      </c>
      <c r="E49" s="477" t="s">
        <v>480</v>
      </c>
      <c r="F49" s="1112" t="s">
        <v>229</v>
      </c>
      <c r="G49" s="459" t="s">
        <v>229</v>
      </c>
      <c r="H49" s="477" t="s">
        <v>228</v>
      </c>
      <c r="I49" s="562" t="s">
        <v>227</v>
      </c>
      <c r="J49" s="446" t="s">
        <v>393</v>
      </c>
      <c r="K49" s="446" t="s">
        <v>228</v>
      </c>
      <c r="L49" s="1289" t="s">
        <v>228</v>
      </c>
      <c r="M49" s="447" t="s">
        <v>228</v>
      </c>
      <c r="N49" s="416" t="s">
        <v>221</v>
      </c>
      <c r="O49" s="185" t="s">
        <v>85</v>
      </c>
      <c r="P49" s="185" t="s">
        <v>87</v>
      </c>
      <c r="Q49" s="185" t="s">
        <v>222</v>
      </c>
      <c r="R49" s="185" t="s">
        <v>115</v>
      </c>
      <c r="S49" s="185" t="s">
        <v>223</v>
      </c>
      <c r="T49" s="185" t="s">
        <v>224</v>
      </c>
      <c r="U49" s="188" t="s">
        <v>225</v>
      </c>
      <c r="V49" s="1281" t="s">
        <v>221</v>
      </c>
      <c r="W49" s="1282" t="s">
        <v>85</v>
      </c>
      <c r="X49" s="1282" t="s">
        <v>87</v>
      </c>
      <c r="Y49" s="1282" t="s">
        <v>222</v>
      </c>
      <c r="Z49" s="1282" t="s">
        <v>115</v>
      </c>
      <c r="AA49" s="1282" t="s">
        <v>223</v>
      </c>
      <c r="AB49" s="1282" t="s">
        <v>224</v>
      </c>
      <c r="AC49" s="1283" t="s">
        <v>225</v>
      </c>
    </row>
    <row r="50" spans="1:29">
      <c r="A50" s="760">
        <f>year</f>
        <v>1950</v>
      </c>
      <c r="B50" s="1656">
        <v>5.3541578999999997</v>
      </c>
      <c r="C50" s="761"/>
      <c r="D50" s="1577">
        <v>0</v>
      </c>
      <c r="E50" s="1578">
        <v>0</v>
      </c>
      <c r="F50" s="186">
        <f>C43</f>
        <v>0.71479999999999999</v>
      </c>
      <c r="G50" s="186">
        <f>C42</f>
        <v>0.28959999999999997</v>
      </c>
      <c r="H50" s="478">
        <v>0</v>
      </c>
      <c r="I50" s="1290">
        <f>$C$3</f>
        <v>578.73</v>
      </c>
      <c r="J50" s="1291">
        <f>'Waste Summary 2017 SASOW'!B34</f>
        <v>28.161493315089835</v>
      </c>
      <c r="K50" s="1292">
        <f t="shared" ref="K50:K110" si="15">B50*I50</f>
        <v>3098.6118014670001</v>
      </c>
      <c r="L50" s="1292">
        <f>C50*J50*1000/1000</f>
        <v>0</v>
      </c>
      <c r="M50" s="1293">
        <f t="shared" ref="M50:M113" si="16">C50*J50*1000/1000</f>
        <v>0</v>
      </c>
      <c r="N50" s="1251">
        <f t="shared" ref="N50:S50" si="17">C29</f>
        <v>0.19892488097366726</v>
      </c>
      <c r="O50" s="1251">
        <f t="shared" si="17"/>
        <v>0.26585903447659598</v>
      </c>
      <c r="P50" s="1251">
        <f t="shared" si="17"/>
        <v>8.9228108703258049E-2</v>
      </c>
      <c r="Q50" s="1251">
        <f t="shared" si="17"/>
        <v>0</v>
      </c>
      <c r="R50" s="1251">
        <f t="shared" si="17"/>
        <v>0</v>
      </c>
      <c r="S50" s="1251">
        <f t="shared" si="17"/>
        <v>0</v>
      </c>
      <c r="T50" s="1251">
        <f>SUM(I29:M29)</f>
        <v>0.4459879758464787</v>
      </c>
      <c r="U50" s="1284">
        <f t="shared" ref="U50:U81" si="18">SUM(N50:T50)</f>
        <v>1</v>
      </c>
      <c r="V50" s="1285">
        <f>C31</f>
        <v>0.29028184578274857</v>
      </c>
      <c r="W50" s="1251">
        <f>D31</f>
        <v>0.30317187715157518</v>
      </c>
      <c r="X50" s="1251">
        <f>E31</f>
        <v>8.2805443243048754E-2</v>
      </c>
      <c r="Y50" s="1251">
        <f t="shared" ref="Y50:AA50" si="19">F31</f>
        <v>0</v>
      </c>
      <c r="Z50" s="1251">
        <f t="shared" si="19"/>
        <v>0</v>
      </c>
      <c r="AA50" s="1251">
        <f t="shared" si="19"/>
        <v>0</v>
      </c>
      <c r="AB50" s="1251">
        <f>SUM(I31:M31)</f>
        <v>0.32374083382262742</v>
      </c>
      <c r="AC50" s="1284">
        <f>SUM(V50:AB50)</f>
        <v>0.99999999999999989</v>
      </c>
    </row>
    <row r="51" spans="1:29">
      <c r="A51" s="187">
        <f t="shared" ref="A51:A82" si="20">A50+1</f>
        <v>1951</v>
      </c>
      <c r="B51" s="1657">
        <v>5.53942844</v>
      </c>
      <c r="C51" s="409"/>
      <c r="D51" s="1579">
        <v>0</v>
      </c>
      <c r="E51" s="1580">
        <v>0</v>
      </c>
      <c r="F51" s="186">
        <f>F50</f>
        <v>0.71479999999999999</v>
      </c>
      <c r="G51" s="186">
        <f>G50</f>
        <v>0.28959999999999997</v>
      </c>
      <c r="H51" s="478">
        <v>0</v>
      </c>
      <c r="I51" s="1294">
        <f t="shared" ref="I51:I109" si="21">$C$3</f>
        <v>578.73</v>
      </c>
      <c r="J51" s="1295">
        <f t="shared" ref="J51:J114" si="22">J50</f>
        <v>28.161493315089835</v>
      </c>
      <c r="K51" s="1296">
        <f t="shared" si="15"/>
        <v>3205.8334210812</v>
      </c>
      <c r="L51" s="1296">
        <f t="shared" ref="L51:L99" si="23">C51*J51*1000/1000</f>
        <v>0</v>
      </c>
      <c r="M51" s="1297">
        <f t="shared" si="16"/>
        <v>0</v>
      </c>
      <c r="N51" s="1251">
        <f t="shared" ref="N51:T66" si="24">N50</f>
        <v>0.19892488097366726</v>
      </c>
      <c r="O51" s="1251">
        <f t="shared" si="24"/>
        <v>0.26585903447659598</v>
      </c>
      <c r="P51" s="1251">
        <f t="shared" si="24"/>
        <v>8.9228108703258049E-2</v>
      </c>
      <c r="Q51" s="1251">
        <f t="shared" si="24"/>
        <v>0</v>
      </c>
      <c r="R51" s="1251">
        <f t="shared" si="24"/>
        <v>0</v>
      </c>
      <c r="S51" s="1251">
        <f t="shared" si="24"/>
        <v>0</v>
      </c>
      <c r="T51" s="1251">
        <f t="shared" si="24"/>
        <v>0.4459879758464787</v>
      </c>
      <c r="U51" s="1284">
        <f t="shared" si="18"/>
        <v>1</v>
      </c>
      <c r="V51" s="1285">
        <f>V50</f>
        <v>0.29028184578274857</v>
      </c>
      <c r="W51" s="1251">
        <f t="shared" ref="W51:AB66" si="25">W50</f>
        <v>0.30317187715157518</v>
      </c>
      <c r="X51" s="1251">
        <f t="shared" si="25"/>
        <v>8.2805443243048754E-2</v>
      </c>
      <c r="Y51" s="1251">
        <f t="shared" si="25"/>
        <v>0</v>
      </c>
      <c r="Z51" s="1251">
        <f t="shared" si="25"/>
        <v>0</v>
      </c>
      <c r="AA51" s="1251">
        <f t="shared" si="25"/>
        <v>0</v>
      </c>
      <c r="AB51" s="1251">
        <f t="shared" si="25"/>
        <v>0.32374083382262742</v>
      </c>
      <c r="AC51" s="1284">
        <f t="shared" ref="AC51:AC114" si="26">SUM(V51:AB51)</f>
        <v>0.99999999999999989</v>
      </c>
    </row>
    <row r="52" spans="1:29">
      <c r="A52" s="187">
        <f t="shared" si="20"/>
        <v>1952</v>
      </c>
      <c r="B52" s="1657">
        <v>5.7129272200000001</v>
      </c>
      <c r="C52" s="409"/>
      <c r="D52" s="1579">
        <v>0</v>
      </c>
      <c r="E52" s="1580">
        <v>0</v>
      </c>
      <c r="F52" s="186">
        <f t="shared" ref="F52:F115" si="27">F51</f>
        <v>0.71479999999999999</v>
      </c>
      <c r="G52" s="186">
        <f t="shared" ref="G52:G115" si="28">G51</f>
        <v>0.28959999999999997</v>
      </c>
      <c r="H52" s="478">
        <v>0</v>
      </c>
      <c r="I52" s="1294">
        <f t="shared" si="21"/>
        <v>578.73</v>
      </c>
      <c r="J52" s="1295">
        <f t="shared" si="22"/>
        <v>28.161493315089835</v>
      </c>
      <c r="K52" s="1296">
        <f t="shared" si="15"/>
        <v>3306.2423700306003</v>
      </c>
      <c r="L52" s="1296">
        <f t="shared" si="23"/>
        <v>0</v>
      </c>
      <c r="M52" s="1297">
        <f t="shared" si="16"/>
        <v>0</v>
      </c>
      <c r="N52" s="1251">
        <f t="shared" si="24"/>
        <v>0.19892488097366726</v>
      </c>
      <c r="O52" s="1251">
        <f t="shared" si="24"/>
        <v>0.26585903447659598</v>
      </c>
      <c r="P52" s="1251">
        <f t="shared" si="24"/>
        <v>8.9228108703258049E-2</v>
      </c>
      <c r="Q52" s="1251">
        <f t="shared" si="24"/>
        <v>0</v>
      </c>
      <c r="R52" s="1251">
        <f t="shared" si="24"/>
        <v>0</v>
      </c>
      <c r="S52" s="1251">
        <f t="shared" si="24"/>
        <v>0</v>
      </c>
      <c r="T52" s="1251">
        <f t="shared" si="24"/>
        <v>0.4459879758464787</v>
      </c>
      <c r="U52" s="1284">
        <f t="shared" si="18"/>
        <v>1</v>
      </c>
      <c r="V52" s="1285">
        <f t="shared" ref="V52:AB67" si="29">V51</f>
        <v>0.29028184578274857</v>
      </c>
      <c r="W52" s="1251">
        <f t="shared" si="25"/>
        <v>0.30317187715157518</v>
      </c>
      <c r="X52" s="1251">
        <f t="shared" si="25"/>
        <v>8.2805443243048754E-2</v>
      </c>
      <c r="Y52" s="1251">
        <f t="shared" si="25"/>
        <v>0</v>
      </c>
      <c r="Z52" s="1251">
        <f t="shared" si="25"/>
        <v>0</v>
      </c>
      <c r="AA52" s="1251">
        <f t="shared" si="25"/>
        <v>0</v>
      </c>
      <c r="AB52" s="1251">
        <f t="shared" si="25"/>
        <v>0.32374083382262742</v>
      </c>
      <c r="AC52" s="1284">
        <f t="shared" si="26"/>
        <v>0.99999999999999989</v>
      </c>
    </row>
    <row r="53" spans="1:29">
      <c r="A53" s="187">
        <f t="shared" si="20"/>
        <v>1953</v>
      </c>
      <c r="B53" s="1657">
        <v>5.9284297800000001</v>
      </c>
      <c r="C53" s="409"/>
      <c r="D53" s="1579">
        <v>0</v>
      </c>
      <c r="E53" s="1580">
        <v>0</v>
      </c>
      <c r="F53" s="186">
        <f t="shared" si="27"/>
        <v>0.71479999999999999</v>
      </c>
      <c r="G53" s="186">
        <f t="shared" si="28"/>
        <v>0.28959999999999997</v>
      </c>
      <c r="H53" s="478">
        <v>0</v>
      </c>
      <c r="I53" s="1294">
        <f t="shared" si="21"/>
        <v>578.73</v>
      </c>
      <c r="J53" s="1295">
        <f t="shared" si="22"/>
        <v>28.161493315089835</v>
      </c>
      <c r="K53" s="1296">
        <f t="shared" si="15"/>
        <v>3430.9601665794003</v>
      </c>
      <c r="L53" s="1296">
        <f t="shared" si="23"/>
        <v>0</v>
      </c>
      <c r="M53" s="1297">
        <f t="shared" si="16"/>
        <v>0</v>
      </c>
      <c r="N53" s="1251">
        <f t="shared" si="24"/>
        <v>0.19892488097366726</v>
      </c>
      <c r="O53" s="1251">
        <f t="shared" si="24"/>
        <v>0.26585903447659598</v>
      </c>
      <c r="P53" s="1251">
        <f t="shared" si="24"/>
        <v>8.9228108703258049E-2</v>
      </c>
      <c r="Q53" s="1251">
        <f t="shared" si="24"/>
        <v>0</v>
      </c>
      <c r="R53" s="1251">
        <f t="shared" si="24"/>
        <v>0</v>
      </c>
      <c r="S53" s="1251">
        <f t="shared" si="24"/>
        <v>0</v>
      </c>
      <c r="T53" s="1251">
        <f t="shared" si="24"/>
        <v>0.4459879758464787</v>
      </c>
      <c r="U53" s="1284">
        <f t="shared" si="18"/>
        <v>1</v>
      </c>
      <c r="V53" s="1285">
        <f t="shared" si="29"/>
        <v>0.29028184578274857</v>
      </c>
      <c r="W53" s="1251">
        <f t="shared" si="25"/>
        <v>0.30317187715157518</v>
      </c>
      <c r="X53" s="1251">
        <f t="shared" si="25"/>
        <v>8.2805443243048754E-2</v>
      </c>
      <c r="Y53" s="1251">
        <f t="shared" si="25"/>
        <v>0</v>
      </c>
      <c r="Z53" s="1251">
        <f t="shared" si="25"/>
        <v>0</v>
      </c>
      <c r="AA53" s="1251">
        <f t="shared" si="25"/>
        <v>0</v>
      </c>
      <c r="AB53" s="1251">
        <f t="shared" si="25"/>
        <v>0.32374083382262742</v>
      </c>
      <c r="AC53" s="1284">
        <f t="shared" si="26"/>
        <v>0.99999999999999989</v>
      </c>
    </row>
    <row r="54" spans="1:29">
      <c r="A54" s="187">
        <f t="shared" si="20"/>
        <v>1954</v>
      </c>
      <c r="B54" s="1657">
        <v>6.1065695599999996</v>
      </c>
      <c r="C54" s="409"/>
      <c r="D54" s="1579">
        <v>0</v>
      </c>
      <c r="E54" s="1580">
        <v>0</v>
      </c>
      <c r="F54" s="186">
        <f t="shared" si="27"/>
        <v>0.71479999999999999</v>
      </c>
      <c r="G54" s="186">
        <f t="shared" si="28"/>
        <v>0.28959999999999997</v>
      </c>
      <c r="H54" s="478">
        <v>0</v>
      </c>
      <c r="I54" s="1294">
        <f t="shared" si="21"/>
        <v>578.73</v>
      </c>
      <c r="J54" s="1295">
        <f t="shared" si="22"/>
        <v>28.161493315089835</v>
      </c>
      <c r="K54" s="1296">
        <f t="shared" si="15"/>
        <v>3534.0550014587998</v>
      </c>
      <c r="L54" s="1296">
        <f t="shared" si="23"/>
        <v>0</v>
      </c>
      <c r="M54" s="1297">
        <f t="shared" si="16"/>
        <v>0</v>
      </c>
      <c r="N54" s="1251">
        <f t="shared" si="24"/>
        <v>0.19892488097366726</v>
      </c>
      <c r="O54" s="1251">
        <f t="shared" si="24"/>
        <v>0.26585903447659598</v>
      </c>
      <c r="P54" s="1251">
        <f t="shared" si="24"/>
        <v>8.9228108703258049E-2</v>
      </c>
      <c r="Q54" s="1251">
        <f t="shared" si="24"/>
        <v>0</v>
      </c>
      <c r="R54" s="1251">
        <f t="shared" si="24"/>
        <v>0</v>
      </c>
      <c r="S54" s="1251">
        <f t="shared" si="24"/>
        <v>0</v>
      </c>
      <c r="T54" s="1251">
        <f t="shared" si="24"/>
        <v>0.4459879758464787</v>
      </c>
      <c r="U54" s="1284">
        <f t="shared" si="18"/>
        <v>1</v>
      </c>
      <c r="V54" s="1285">
        <f t="shared" si="29"/>
        <v>0.29028184578274857</v>
      </c>
      <c r="W54" s="1251">
        <f t="shared" si="25"/>
        <v>0.30317187715157518</v>
      </c>
      <c r="X54" s="1251">
        <f t="shared" si="25"/>
        <v>8.2805443243048754E-2</v>
      </c>
      <c r="Y54" s="1251">
        <f t="shared" si="25"/>
        <v>0</v>
      </c>
      <c r="Z54" s="1251">
        <f t="shared" si="25"/>
        <v>0</v>
      </c>
      <c r="AA54" s="1251">
        <f t="shared" si="25"/>
        <v>0</v>
      </c>
      <c r="AB54" s="1251">
        <f t="shared" si="25"/>
        <v>0.32374083382262742</v>
      </c>
      <c r="AC54" s="1284">
        <f t="shared" si="26"/>
        <v>0.99999999999999989</v>
      </c>
    </row>
    <row r="55" spans="1:29">
      <c r="A55" s="187">
        <f t="shared" si="20"/>
        <v>1955</v>
      </c>
      <c r="B55" s="1657">
        <v>6.2725644799999998</v>
      </c>
      <c r="C55" s="409"/>
      <c r="D55" s="1579">
        <v>0</v>
      </c>
      <c r="E55" s="1580">
        <v>0</v>
      </c>
      <c r="F55" s="186">
        <f t="shared" si="27"/>
        <v>0.71479999999999999</v>
      </c>
      <c r="G55" s="186">
        <f t="shared" si="28"/>
        <v>0.28959999999999997</v>
      </c>
      <c r="H55" s="478">
        <v>0</v>
      </c>
      <c r="I55" s="1294">
        <f t="shared" si="21"/>
        <v>578.73</v>
      </c>
      <c r="J55" s="1295">
        <f t="shared" si="22"/>
        <v>28.161493315089835</v>
      </c>
      <c r="K55" s="1296">
        <f t="shared" si="15"/>
        <v>3630.1212415104001</v>
      </c>
      <c r="L55" s="1296">
        <f t="shared" si="23"/>
        <v>0</v>
      </c>
      <c r="M55" s="1297">
        <f t="shared" si="16"/>
        <v>0</v>
      </c>
      <c r="N55" s="1251">
        <f t="shared" si="24"/>
        <v>0.19892488097366726</v>
      </c>
      <c r="O55" s="1251">
        <f t="shared" si="24"/>
        <v>0.26585903447659598</v>
      </c>
      <c r="P55" s="1251">
        <f t="shared" si="24"/>
        <v>8.9228108703258049E-2</v>
      </c>
      <c r="Q55" s="1251">
        <f t="shared" si="24"/>
        <v>0</v>
      </c>
      <c r="R55" s="1251">
        <f t="shared" si="24"/>
        <v>0</v>
      </c>
      <c r="S55" s="1251">
        <f t="shared" si="24"/>
        <v>0</v>
      </c>
      <c r="T55" s="1251">
        <f t="shared" si="24"/>
        <v>0.4459879758464787</v>
      </c>
      <c r="U55" s="1284">
        <f t="shared" si="18"/>
        <v>1</v>
      </c>
      <c r="V55" s="1285">
        <f t="shared" si="29"/>
        <v>0.29028184578274857</v>
      </c>
      <c r="W55" s="1251">
        <f t="shared" si="25"/>
        <v>0.30317187715157518</v>
      </c>
      <c r="X55" s="1251">
        <f t="shared" si="25"/>
        <v>8.2805443243048754E-2</v>
      </c>
      <c r="Y55" s="1251">
        <f t="shared" si="25"/>
        <v>0</v>
      </c>
      <c r="Z55" s="1251">
        <f t="shared" si="25"/>
        <v>0</v>
      </c>
      <c r="AA55" s="1251">
        <f t="shared" si="25"/>
        <v>0</v>
      </c>
      <c r="AB55" s="1251">
        <f t="shared" si="25"/>
        <v>0.32374083382262742</v>
      </c>
      <c r="AC55" s="1284">
        <f t="shared" si="26"/>
        <v>0.99999999999999989</v>
      </c>
    </row>
    <row r="56" spans="1:29">
      <c r="A56" s="187">
        <f t="shared" si="20"/>
        <v>1956</v>
      </c>
      <c r="B56" s="1657">
        <v>6.4651860000000001</v>
      </c>
      <c r="C56" s="409"/>
      <c r="D56" s="1579">
        <v>0</v>
      </c>
      <c r="E56" s="1580">
        <v>0</v>
      </c>
      <c r="F56" s="186">
        <f t="shared" si="27"/>
        <v>0.71479999999999999</v>
      </c>
      <c r="G56" s="186">
        <f t="shared" si="28"/>
        <v>0.28959999999999997</v>
      </c>
      <c r="H56" s="478">
        <v>0</v>
      </c>
      <c r="I56" s="1294">
        <f t="shared" si="21"/>
        <v>578.73</v>
      </c>
      <c r="J56" s="1295">
        <f t="shared" si="22"/>
        <v>28.161493315089835</v>
      </c>
      <c r="K56" s="1296">
        <f t="shared" si="15"/>
        <v>3741.5970937800003</v>
      </c>
      <c r="L56" s="1296">
        <f t="shared" si="23"/>
        <v>0</v>
      </c>
      <c r="M56" s="1297">
        <f t="shared" si="16"/>
        <v>0</v>
      </c>
      <c r="N56" s="1251">
        <f t="shared" si="24"/>
        <v>0.19892488097366726</v>
      </c>
      <c r="O56" s="1251">
        <f t="shared" si="24"/>
        <v>0.26585903447659598</v>
      </c>
      <c r="P56" s="1251">
        <f t="shared" si="24"/>
        <v>8.9228108703258049E-2</v>
      </c>
      <c r="Q56" s="1251">
        <f t="shared" si="24"/>
        <v>0</v>
      </c>
      <c r="R56" s="1251">
        <f t="shared" si="24"/>
        <v>0</v>
      </c>
      <c r="S56" s="1251">
        <f t="shared" si="24"/>
        <v>0</v>
      </c>
      <c r="T56" s="1251">
        <f t="shared" si="24"/>
        <v>0.4459879758464787</v>
      </c>
      <c r="U56" s="1284">
        <f t="shared" si="18"/>
        <v>1</v>
      </c>
      <c r="V56" s="1285">
        <f t="shared" si="29"/>
        <v>0.29028184578274857</v>
      </c>
      <c r="W56" s="1251">
        <f t="shared" si="25"/>
        <v>0.30317187715157518</v>
      </c>
      <c r="X56" s="1251">
        <f t="shared" si="25"/>
        <v>8.2805443243048754E-2</v>
      </c>
      <c r="Y56" s="1251">
        <f t="shared" si="25"/>
        <v>0</v>
      </c>
      <c r="Z56" s="1251">
        <f t="shared" si="25"/>
        <v>0</v>
      </c>
      <c r="AA56" s="1251">
        <f t="shared" si="25"/>
        <v>0</v>
      </c>
      <c r="AB56" s="1251">
        <f t="shared" si="25"/>
        <v>0.32374083382262742</v>
      </c>
      <c r="AC56" s="1284">
        <f t="shared" si="26"/>
        <v>0.99999999999999989</v>
      </c>
    </row>
    <row r="57" spans="1:29">
      <c r="A57" s="187">
        <f t="shared" si="20"/>
        <v>1957</v>
      </c>
      <c r="B57" s="1657">
        <v>6.6592707999999998</v>
      </c>
      <c r="C57" s="409"/>
      <c r="D57" s="1579">
        <v>0</v>
      </c>
      <c r="E57" s="1580">
        <v>0</v>
      </c>
      <c r="F57" s="186">
        <f t="shared" si="27"/>
        <v>0.71479999999999999</v>
      </c>
      <c r="G57" s="186">
        <f t="shared" si="28"/>
        <v>0.28959999999999997</v>
      </c>
      <c r="H57" s="478">
        <v>0</v>
      </c>
      <c r="I57" s="1294">
        <f t="shared" si="21"/>
        <v>578.73</v>
      </c>
      <c r="J57" s="1295">
        <f t="shared" si="22"/>
        <v>28.161493315089835</v>
      </c>
      <c r="K57" s="1296">
        <f t="shared" si="15"/>
        <v>3853.9197900839999</v>
      </c>
      <c r="L57" s="1296">
        <f t="shared" si="23"/>
        <v>0</v>
      </c>
      <c r="M57" s="1297">
        <f t="shared" si="16"/>
        <v>0</v>
      </c>
      <c r="N57" s="1251">
        <f t="shared" si="24"/>
        <v>0.19892488097366726</v>
      </c>
      <c r="O57" s="1251">
        <f t="shared" si="24"/>
        <v>0.26585903447659598</v>
      </c>
      <c r="P57" s="1251">
        <f t="shared" si="24"/>
        <v>8.9228108703258049E-2</v>
      </c>
      <c r="Q57" s="1251">
        <f t="shared" si="24"/>
        <v>0</v>
      </c>
      <c r="R57" s="1251">
        <f t="shared" si="24"/>
        <v>0</v>
      </c>
      <c r="S57" s="1251">
        <f t="shared" si="24"/>
        <v>0</v>
      </c>
      <c r="T57" s="1251">
        <f t="shared" si="24"/>
        <v>0.4459879758464787</v>
      </c>
      <c r="U57" s="1284">
        <f t="shared" si="18"/>
        <v>1</v>
      </c>
      <c r="V57" s="1285">
        <f t="shared" si="29"/>
        <v>0.29028184578274857</v>
      </c>
      <c r="W57" s="1251">
        <f t="shared" si="25"/>
        <v>0.30317187715157518</v>
      </c>
      <c r="X57" s="1251">
        <f t="shared" si="25"/>
        <v>8.2805443243048754E-2</v>
      </c>
      <c r="Y57" s="1251">
        <f t="shared" si="25"/>
        <v>0</v>
      </c>
      <c r="Z57" s="1251">
        <f t="shared" si="25"/>
        <v>0</v>
      </c>
      <c r="AA57" s="1251">
        <f t="shared" si="25"/>
        <v>0</v>
      </c>
      <c r="AB57" s="1251">
        <f t="shared" si="25"/>
        <v>0.32374083382262742</v>
      </c>
      <c r="AC57" s="1284">
        <f t="shared" si="26"/>
        <v>0.99999999999999989</v>
      </c>
    </row>
    <row r="58" spans="1:29">
      <c r="A58" s="187">
        <f t="shared" si="20"/>
        <v>1958</v>
      </c>
      <c r="B58" s="1657">
        <v>6.8699176</v>
      </c>
      <c r="C58" s="409"/>
      <c r="D58" s="1579">
        <v>0</v>
      </c>
      <c r="E58" s="1580">
        <v>0</v>
      </c>
      <c r="F58" s="186">
        <f t="shared" si="27"/>
        <v>0.71479999999999999</v>
      </c>
      <c r="G58" s="186">
        <f t="shared" si="28"/>
        <v>0.28959999999999997</v>
      </c>
      <c r="H58" s="478">
        <v>0</v>
      </c>
      <c r="I58" s="1294">
        <f t="shared" si="21"/>
        <v>578.73</v>
      </c>
      <c r="J58" s="1295">
        <f t="shared" si="22"/>
        <v>28.161493315089835</v>
      </c>
      <c r="K58" s="1296">
        <f t="shared" si="15"/>
        <v>3975.8274126480001</v>
      </c>
      <c r="L58" s="1296">
        <f t="shared" si="23"/>
        <v>0</v>
      </c>
      <c r="M58" s="1297">
        <f t="shared" si="16"/>
        <v>0</v>
      </c>
      <c r="N58" s="1251">
        <f t="shared" si="24"/>
        <v>0.19892488097366726</v>
      </c>
      <c r="O58" s="1251">
        <f t="shared" si="24"/>
        <v>0.26585903447659598</v>
      </c>
      <c r="P58" s="1251">
        <f t="shared" si="24"/>
        <v>8.9228108703258049E-2</v>
      </c>
      <c r="Q58" s="1251">
        <f t="shared" si="24"/>
        <v>0</v>
      </c>
      <c r="R58" s="1251">
        <f t="shared" si="24"/>
        <v>0</v>
      </c>
      <c r="S58" s="1251">
        <f t="shared" si="24"/>
        <v>0</v>
      </c>
      <c r="T58" s="1251">
        <f t="shared" si="24"/>
        <v>0.4459879758464787</v>
      </c>
      <c r="U58" s="1284">
        <f t="shared" si="18"/>
        <v>1</v>
      </c>
      <c r="V58" s="1285">
        <f t="shared" si="29"/>
        <v>0.29028184578274857</v>
      </c>
      <c r="W58" s="1251">
        <f t="shared" si="25"/>
        <v>0.30317187715157518</v>
      </c>
      <c r="X58" s="1251">
        <f t="shared" si="25"/>
        <v>8.2805443243048754E-2</v>
      </c>
      <c r="Y58" s="1251">
        <f t="shared" si="25"/>
        <v>0</v>
      </c>
      <c r="Z58" s="1251">
        <f t="shared" si="25"/>
        <v>0</v>
      </c>
      <c r="AA58" s="1251">
        <f t="shared" si="25"/>
        <v>0</v>
      </c>
      <c r="AB58" s="1251">
        <f t="shared" si="25"/>
        <v>0.32374083382262742</v>
      </c>
      <c r="AC58" s="1284">
        <f t="shared" si="26"/>
        <v>0.99999999999999989</v>
      </c>
    </row>
    <row r="59" spans="1:29">
      <c r="A59" s="187">
        <f t="shared" si="20"/>
        <v>1959</v>
      </c>
      <c r="B59" s="1657">
        <v>7.0827593200000001</v>
      </c>
      <c r="C59" s="409"/>
      <c r="D59" s="1579">
        <v>0</v>
      </c>
      <c r="E59" s="1580">
        <v>0</v>
      </c>
      <c r="F59" s="186">
        <f t="shared" si="27"/>
        <v>0.71479999999999999</v>
      </c>
      <c r="G59" s="186">
        <f t="shared" si="28"/>
        <v>0.28959999999999997</v>
      </c>
      <c r="H59" s="478">
        <v>0</v>
      </c>
      <c r="I59" s="1294">
        <f t="shared" si="21"/>
        <v>578.73</v>
      </c>
      <c r="J59" s="1295">
        <f t="shared" si="22"/>
        <v>28.161493315089835</v>
      </c>
      <c r="K59" s="1296">
        <f t="shared" si="15"/>
        <v>4099.0053012635999</v>
      </c>
      <c r="L59" s="1296">
        <f t="shared" si="23"/>
        <v>0</v>
      </c>
      <c r="M59" s="1297">
        <f t="shared" si="16"/>
        <v>0</v>
      </c>
      <c r="N59" s="1251">
        <f t="shared" si="24"/>
        <v>0.19892488097366726</v>
      </c>
      <c r="O59" s="1251">
        <f t="shared" si="24"/>
        <v>0.26585903447659598</v>
      </c>
      <c r="P59" s="1251">
        <f t="shared" si="24"/>
        <v>8.9228108703258049E-2</v>
      </c>
      <c r="Q59" s="1251">
        <f t="shared" si="24"/>
        <v>0</v>
      </c>
      <c r="R59" s="1251">
        <f t="shared" si="24"/>
        <v>0</v>
      </c>
      <c r="S59" s="1251">
        <f t="shared" si="24"/>
        <v>0</v>
      </c>
      <c r="T59" s="1251">
        <f t="shared" si="24"/>
        <v>0.4459879758464787</v>
      </c>
      <c r="U59" s="1284">
        <f t="shared" si="18"/>
        <v>1</v>
      </c>
      <c r="V59" s="1285">
        <f t="shared" si="29"/>
        <v>0.29028184578274857</v>
      </c>
      <c r="W59" s="1251">
        <f t="shared" si="25"/>
        <v>0.30317187715157518</v>
      </c>
      <c r="X59" s="1251">
        <f t="shared" si="25"/>
        <v>8.2805443243048754E-2</v>
      </c>
      <c r="Y59" s="1251">
        <f t="shared" si="25"/>
        <v>0</v>
      </c>
      <c r="Z59" s="1251">
        <f t="shared" si="25"/>
        <v>0</v>
      </c>
      <c r="AA59" s="1251">
        <f t="shared" si="25"/>
        <v>0</v>
      </c>
      <c r="AB59" s="1251">
        <f t="shared" si="25"/>
        <v>0.32374083382262742</v>
      </c>
      <c r="AC59" s="1284">
        <f t="shared" si="26"/>
        <v>0.99999999999999989</v>
      </c>
    </row>
    <row r="60" spans="1:29">
      <c r="A60" s="187">
        <f t="shared" si="20"/>
        <v>1960</v>
      </c>
      <c r="B60" s="1657">
        <v>7.2819655999999995</v>
      </c>
      <c r="C60" s="529"/>
      <c r="D60" s="1579">
        <v>0</v>
      </c>
      <c r="E60" s="1580">
        <v>0</v>
      </c>
      <c r="F60" s="186">
        <f t="shared" si="27"/>
        <v>0.71479999999999999</v>
      </c>
      <c r="G60" s="186">
        <f t="shared" si="28"/>
        <v>0.28959999999999997</v>
      </c>
      <c r="H60" s="478">
        <v>0</v>
      </c>
      <c r="I60" s="1294">
        <f t="shared" si="21"/>
        <v>578.73</v>
      </c>
      <c r="J60" s="1295">
        <f t="shared" si="22"/>
        <v>28.161493315089835</v>
      </c>
      <c r="K60" s="1296">
        <f t="shared" si="15"/>
        <v>4214.2919516880002</v>
      </c>
      <c r="L60" s="1296">
        <f t="shared" si="23"/>
        <v>0</v>
      </c>
      <c r="M60" s="1297">
        <f t="shared" si="16"/>
        <v>0</v>
      </c>
      <c r="N60" s="1251">
        <f t="shared" si="24"/>
        <v>0.19892488097366726</v>
      </c>
      <c r="O60" s="1251">
        <f t="shared" si="24"/>
        <v>0.26585903447659598</v>
      </c>
      <c r="P60" s="1251">
        <f t="shared" si="24"/>
        <v>8.9228108703258049E-2</v>
      </c>
      <c r="Q60" s="1251">
        <f t="shared" si="24"/>
        <v>0</v>
      </c>
      <c r="R60" s="1251">
        <f t="shared" si="24"/>
        <v>0</v>
      </c>
      <c r="S60" s="1251">
        <f t="shared" si="24"/>
        <v>0</v>
      </c>
      <c r="T60" s="1251">
        <f t="shared" si="24"/>
        <v>0.4459879758464787</v>
      </c>
      <c r="U60" s="1284">
        <f t="shared" si="18"/>
        <v>1</v>
      </c>
      <c r="V60" s="1285">
        <f t="shared" si="29"/>
        <v>0.29028184578274857</v>
      </c>
      <c r="W60" s="1251">
        <f t="shared" si="25"/>
        <v>0.30317187715157518</v>
      </c>
      <c r="X60" s="1251">
        <f t="shared" si="25"/>
        <v>8.2805443243048754E-2</v>
      </c>
      <c r="Y60" s="1251">
        <f t="shared" si="25"/>
        <v>0</v>
      </c>
      <c r="Z60" s="1251">
        <f t="shared" si="25"/>
        <v>0</v>
      </c>
      <c r="AA60" s="1251">
        <f t="shared" si="25"/>
        <v>0</v>
      </c>
      <c r="AB60" s="1251">
        <f t="shared" si="25"/>
        <v>0.32374083382262742</v>
      </c>
      <c r="AC60" s="1284">
        <f t="shared" si="26"/>
        <v>0.99999999999999989</v>
      </c>
    </row>
    <row r="61" spans="1:29">
      <c r="A61" s="187">
        <f t="shared" si="20"/>
        <v>1961</v>
      </c>
      <c r="B61" s="1657">
        <v>7.6498422000000001</v>
      </c>
      <c r="C61" s="528">
        <v>599.59447889563342</v>
      </c>
      <c r="D61" s="1579">
        <v>0</v>
      </c>
      <c r="E61" s="1580">
        <v>0</v>
      </c>
      <c r="F61" s="186">
        <f t="shared" si="27"/>
        <v>0.71479999999999999</v>
      </c>
      <c r="G61" s="186">
        <f t="shared" si="28"/>
        <v>0.28959999999999997</v>
      </c>
      <c r="H61" s="478">
        <v>0</v>
      </c>
      <c r="I61" s="1294">
        <f t="shared" si="21"/>
        <v>578.73</v>
      </c>
      <c r="J61" s="1295">
        <f t="shared" si="22"/>
        <v>28.161493315089835</v>
      </c>
      <c r="K61" s="1296">
        <f t="shared" si="15"/>
        <v>4427.193176406</v>
      </c>
      <c r="L61" s="1296">
        <f t="shared" si="23"/>
        <v>16885.475909184155</v>
      </c>
      <c r="M61" s="1297">
        <f t="shared" si="16"/>
        <v>16885.475909184155</v>
      </c>
      <c r="N61" s="1251">
        <f t="shared" si="24"/>
        <v>0.19892488097366726</v>
      </c>
      <c r="O61" s="1251">
        <f t="shared" si="24"/>
        <v>0.26585903447659598</v>
      </c>
      <c r="P61" s="1251">
        <f t="shared" si="24"/>
        <v>8.9228108703258049E-2</v>
      </c>
      <c r="Q61" s="1251">
        <f t="shared" si="24"/>
        <v>0</v>
      </c>
      <c r="R61" s="1251">
        <f t="shared" si="24"/>
        <v>0</v>
      </c>
      <c r="S61" s="1251">
        <f t="shared" si="24"/>
        <v>0</v>
      </c>
      <c r="T61" s="1251">
        <f t="shared" si="24"/>
        <v>0.4459879758464787</v>
      </c>
      <c r="U61" s="1284">
        <f t="shared" si="18"/>
        <v>1</v>
      </c>
      <c r="V61" s="1285">
        <f t="shared" si="29"/>
        <v>0.29028184578274857</v>
      </c>
      <c r="W61" s="1251">
        <f t="shared" si="25"/>
        <v>0.30317187715157518</v>
      </c>
      <c r="X61" s="1251">
        <f t="shared" si="25"/>
        <v>8.2805443243048754E-2</v>
      </c>
      <c r="Y61" s="1251">
        <f t="shared" si="25"/>
        <v>0</v>
      </c>
      <c r="Z61" s="1251">
        <f t="shared" si="25"/>
        <v>0</v>
      </c>
      <c r="AA61" s="1251">
        <f t="shared" si="25"/>
        <v>0</v>
      </c>
      <c r="AB61" s="1251">
        <f t="shared" si="25"/>
        <v>0.32374083382262742</v>
      </c>
      <c r="AC61" s="1284">
        <f t="shared" si="26"/>
        <v>0.99999999999999989</v>
      </c>
    </row>
    <row r="62" spans="1:29">
      <c r="A62" s="187">
        <f t="shared" si="20"/>
        <v>1962</v>
      </c>
      <c r="B62" s="1657">
        <v>7.8559936000000006</v>
      </c>
      <c r="C62" s="528">
        <v>636.63672484588017</v>
      </c>
      <c r="D62" s="1579">
        <v>0</v>
      </c>
      <c r="E62" s="1580">
        <v>0</v>
      </c>
      <c r="F62" s="186">
        <f t="shared" si="27"/>
        <v>0.71479999999999999</v>
      </c>
      <c r="G62" s="186">
        <f t="shared" si="28"/>
        <v>0.28959999999999997</v>
      </c>
      <c r="H62" s="478">
        <v>0</v>
      </c>
      <c r="I62" s="1294">
        <f t="shared" si="21"/>
        <v>578.73</v>
      </c>
      <c r="J62" s="1295">
        <f t="shared" si="22"/>
        <v>28.161493315089835</v>
      </c>
      <c r="K62" s="1296">
        <f t="shared" si="15"/>
        <v>4546.4991761280007</v>
      </c>
      <c r="L62" s="1296">
        <f t="shared" si="23"/>
        <v>17928.640870887943</v>
      </c>
      <c r="M62" s="1297">
        <f t="shared" si="16"/>
        <v>17928.640870887943</v>
      </c>
      <c r="N62" s="1251">
        <f t="shared" si="24"/>
        <v>0.19892488097366726</v>
      </c>
      <c r="O62" s="1251">
        <f t="shared" si="24"/>
        <v>0.26585903447659598</v>
      </c>
      <c r="P62" s="1251">
        <f t="shared" si="24"/>
        <v>8.9228108703258049E-2</v>
      </c>
      <c r="Q62" s="1251">
        <f t="shared" si="24"/>
        <v>0</v>
      </c>
      <c r="R62" s="1251">
        <f t="shared" si="24"/>
        <v>0</v>
      </c>
      <c r="S62" s="1251">
        <f t="shared" si="24"/>
        <v>0</v>
      </c>
      <c r="T62" s="1251">
        <f t="shared" si="24"/>
        <v>0.4459879758464787</v>
      </c>
      <c r="U62" s="1284">
        <f t="shared" si="18"/>
        <v>1</v>
      </c>
      <c r="V62" s="1285">
        <f t="shared" si="29"/>
        <v>0.29028184578274857</v>
      </c>
      <c r="W62" s="1251">
        <f t="shared" si="25"/>
        <v>0.30317187715157518</v>
      </c>
      <c r="X62" s="1251">
        <f t="shared" si="25"/>
        <v>8.2805443243048754E-2</v>
      </c>
      <c r="Y62" s="1251">
        <f t="shared" si="25"/>
        <v>0</v>
      </c>
      <c r="Z62" s="1251">
        <f t="shared" si="25"/>
        <v>0</v>
      </c>
      <c r="AA62" s="1251">
        <f t="shared" si="25"/>
        <v>0</v>
      </c>
      <c r="AB62" s="1251">
        <f t="shared" si="25"/>
        <v>0.32374083382262742</v>
      </c>
      <c r="AC62" s="1284">
        <f t="shared" si="26"/>
        <v>0.99999999999999989</v>
      </c>
    </row>
    <row r="63" spans="1:29">
      <c r="A63" s="187">
        <f t="shared" si="20"/>
        <v>1963</v>
      </c>
      <c r="B63" s="1657">
        <v>8.062145000000001</v>
      </c>
      <c r="C63" s="528">
        <v>683.57985178312117</v>
      </c>
      <c r="D63" s="1579">
        <v>0</v>
      </c>
      <c r="E63" s="1580">
        <v>0</v>
      </c>
      <c r="F63" s="186">
        <f t="shared" si="27"/>
        <v>0.71479999999999999</v>
      </c>
      <c r="G63" s="186">
        <f t="shared" si="28"/>
        <v>0.28959999999999997</v>
      </c>
      <c r="H63" s="478">
        <v>0</v>
      </c>
      <c r="I63" s="1294">
        <f t="shared" si="21"/>
        <v>578.73</v>
      </c>
      <c r="J63" s="1295">
        <f t="shared" si="22"/>
        <v>28.161493315089835</v>
      </c>
      <c r="K63" s="1296">
        <f t="shared" si="15"/>
        <v>4665.8051758500005</v>
      </c>
      <c r="L63" s="1296">
        <f t="shared" si="23"/>
        <v>19250.629426320465</v>
      </c>
      <c r="M63" s="1297">
        <f t="shared" si="16"/>
        <v>19250.629426320465</v>
      </c>
      <c r="N63" s="1251">
        <f t="shared" si="24"/>
        <v>0.19892488097366726</v>
      </c>
      <c r="O63" s="1251">
        <f t="shared" si="24"/>
        <v>0.26585903447659598</v>
      </c>
      <c r="P63" s="1251">
        <f t="shared" si="24"/>
        <v>8.9228108703258049E-2</v>
      </c>
      <c r="Q63" s="1251">
        <f t="shared" si="24"/>
        <v>0</v>
      </c>
      <c r="R63" s="1251">
        <f t="shared" si="24"/>
        <v>0</v>
      </c>
      <c r="S63" s="1251">
        <f t="shared" si="24"/>
        <v>0</v>
      </c>
      <c r="T63" s="1251">
        <f t="shared" si="24"/>
        <v>0.4459879758464787</v>
      </c>
      <c r="U63" s="1284">
        <f t="shared" si="18"/>
        <v>1</v>
      </c>
      <c r="V63" s="1285">
        <f t="shared" si="29"/>
        <v>0.29028184578274857</v>
      </c>
      <c r="W63" s="1251">
        <f t="shared" si="25"/>
        <v>0.30317187715157518</v>
      </c>
      <c r="X63" s="1251">
        <f t="shared" si="25"/>
        <v>8.2805443243048754E-2</v>
      </c>
      <c r="Y63" s="1251">
        <f t="shared" si="25"/>
        <v>0</v>
      </c>
      <c r="Z63" s="1251">
        <f t="shared" si="25"/>
        <v>0</v>
      </c>
      <c r="AA63" s="1251">
        <f t="shared" si="25"/>
        <v>0</v>
      </c>
      <c r="AB63" s="1251">
        <f t="shared" si="25"/>
        <v>0.32374083382262742</v>
      </c>
      <c r="AC63" s="1284">
        <f t="shared" si="26"/>
        <v>0.99999999999999989</v>
      </c>
    </row>
    <row r="64" spans="1:29">
      <c r="A64" s="187">
        <f t="shared" si="20"/>
        <v>1964</v>
      </c>
      <c r="B64" s="1657">
        <v>8.2682964000000005</v>
      </c>
      <c r="C64" s="528">
        <v>737.85459954797477</v>
      </c>
      <c r="D64" s="1579">
        <v>0</v>
      </c>
      <c r="E64" s="1580">
        <v>0</v>
      </c>
      <c r="F64" s="186">
        <f t="shared" si="27"/>
        <v>0.71479999999999999</v>
      </c>
      <c r="G64" s="186">
        <f t="shared" si="28"/>
        <v>0.28959999999999997</v>
      </c>
      <c r="H64" s="478">
        <v>0</v>
      </c>
      <c r="I64" s="1294">
        <f t="shared" si="21"/>
        <v>578.73</v>
      </c>
      <c r="J64" s="1295">
        <f t="shared" si="22"/>
        <v>28.161493315089835</v>
      </c>
      <c r="K64" s="1296">
        <f t="shared" si="15"/>
        <v>4785.1111755720003</v>
      </c>
      <c r="L64" s="1296">
        <f t="shared" si="23"/>
        <v>20779.087372678579</v>
      </c>
      <c r="M64" s="1297">
        <f t="shared" si="16"/>
        <v>20779.087372678579</v>
      </c>
      <c r="N64" s="1251">
        <f t="shared" si="24"/>
        <v>0.19892488097366726</v>
      </c>
      <c r="O64" s="1251">
        <f t="shared" si="24"/>
        <v>0.26585903447659598</v>
      </c>
      <c r="P64" s="1251">
        <f t="shared" si="24"/>
        <v>8.9228108703258049E-2</v>
      </c>
      <c r="Q64" s="1251">
        <f t="shared" si="24"/>
        <v>0</v>
      </c>
      <c r="R64" s="1251">
        <f t="shared" si="24"/>
        <v>0</v>
      </c>
      <c r="S64" s="1251">
        <f t="shared" si="24"/>
        <v>0</v>
      </c>
      <c r="T64" s="1251">
        <f t="shared" si="24"/>
        <v>0.4459879758464787</v>
      </c>
      <c r="U64" s="1284">
        <f t="shared" si="18"/>
        <v>1</v>
      </c>
      <c r="V64" s="1285">
        <f t="shared" si="29"/>
        <v>0.29028184578274857</v>
      </c>
      <c r="W64" s="1251">
        <f t="shared" si="25"/>
        <v>0.30317187715157518</v>
      </c>
      <c r="X64" s="1251">
        <f t="shared" si="25"/>
        <v>8.2805443243048754E-2</v>
      </c>
      <c r="Y64" s="1251">
        <f t="shared" si="25"/>
        <v>0</v>
      </c>
      <c r="Z64" s="1251">
        <f t="shared" si="25"/>
        <v>0</v>
      </c>
      <c r="AA64" s="1251">
        <f t="shared" si="25"/>
        <v>0</v>
      </c>
      <c r="AB64" s="1251">
        <f t="shared" si="25"/>
        <v>0.32374083382262742</v>
      </c>
      <c r="AC64" s="1284">
        <f t="shared" si="26"/>
        <v>0.99999999999999989</v>
      </c>
    </row>
    <row r="65" spans="1:29">
      <c r="A65" s="187">
        <f t="shared" si="20"/>
        <v>1965</v>
      </c>
      <c r="B65" s="1657">
        <v>8.4744478000000001</v>
      </c>
      <c r="C65" s="528">
        <v>783.03167192931596</v>
      </c>
      <c r="D65" s="1579">
        <v>0</v>
      </c>
      <c r="E65" s="1580">
        <v>0</v>
      </c>
      <c r="F65" s="186">
        <f t="shared" si="27"/>
        <v>0.71479999999999999</v>
      </c>
      <c r="G65" s="186">
        <f t="shared" si="28"/>
        <v>0.28959999999999997</v>
      </c>
      <c r="H65" s="478">
        <v>0</v>
      </c>
      <c r="I65" s="1294">
        <f t="shared" si="21"/>
        <v>578.73</v>
      </c>
      <c r="J65" s="1295">
        <f t="shared" si="22"/>
        <v>28.161493315089835</v>
      </c>
      <c r="K65" s="1296">
        <f t="shared" si="15"/>
        <v>4904.4171752940001</v>
      </c>
      <c r="L65" s="1296">
        <f t="shared" si="23"/>
        <v>22051.341194541048</v>
      </c>
      <c r="M65" s="1297">
        <f t="shared" si="16"/>
        <v>22051.341194541048</v>
      </c>
      <c r="N65" s="1251">
        <f t="shared" si="24"/>
        <v>0.19892488097366726</v>
      </c>
      <c r="O65" s="1251">
        <f t="shared" si="24"/>
        <v>0.26585903447659598</v>
      </c>
      <c r="P65" s="1251">
        <f t="shared" si="24"/>
        <v>8.9228108703258049E-2</v>
      </c>
      <c r="Q65" s="1251">
        <f t="shared" si="24"/>
        <v>0</v>
      </c>
      <c r="R65" s="1251">
        <f t="shared" si="24"/>
        <v>0</v>
      </c>
      <c r="S65" s="1251">
        <f t="shared" si="24"/>
        <v>0</v>
      </c>
      <c r="T65" s="1251">
        <f t="shared" si="24"/>
        <v>0.4459879758464787</v>
      </c>
      <c r="U65" s="1284">
        <f t="shared" si="18"/>
        <v>1</v>
      </c>
      <c r="V65" s="1285">
        <f t="shared" si="29"/>
        <v>0.29028184578274857</v>
      </c>
      <c r="W65" s="1251">
        <f t="shared" si="25"/>
        <v>0.30317187715157518</v>
      </c>
      <c r="X65" s="1251">
        <f t="shared" si="25"/>
        <v>8.2805443243048754E-2</v>
      </c>
      <c r="Y65" s="1251">
        <f t="shared" si="25"/>
        <v>0</v>
      </c>
      <c r="Z65" s="1251">
        <f t="shared" si="25"/>
        <v>0</v>
      </c>
      <c r="AA65" s="1251">
        <f t="shared" si="25"/>
        <v>0</v>
      </c>
      <c r="AB65" s="1251">
        <f t="shared" si="25"/>
        <v>0.32374083382262742</v>
      </c>
      <c r="AC65" s="1284">
        <f t="shared" si="26"/>
        <v>0.99999999999999989</v>
      </c>
    </row>
    <row r="66" spans="1:29">
      <c r="A66" s="187">
        <f t="shared" si="20"/>
        <v>1966</v>
      </c>
      <c r="B66" s="1657">
        <v>8.7407319999999995</v>
      </c>
      <c r="C66" s="528">
        <v>817.78503135778317</v>
      </c>
      <c r="D66" s="1579">
        <v>0</v>
      </c>
      <c r="E66" s="1580">
        <v>0</v>
      </c>
      <c r="F66" s="186">
        <f t="shared" si="27"/>
        <v>0.71479999999999999</v>
      </c>
      <c r="G66" s="186">
        <f t="shared" si="28"/>
        <v>0.28959999999999997</v>
      </c>
      <c r="H66" s="478">
        <v>0</v>
      </c>
      <c r="I66" s="1294">
        <f t="shared" si="21"/>
        <v>578.73</v>
      </c>
      <c r="J66" s="1295">
        <f t="shared" si="22"/>
        <v>28.161493315089835</v>
      </c>
      <c r="K66" s="1296">
        <f t="shared" si="15"/>
        <v>5058.5238303599999</v>
      </c>
      <c r="L66" s="1296">
        <f t="shared" si="23"/>
        <v>23030.047693762743</v>
      </c>
      <c r="M66" s="1297">
        <f t="shared" si="16"/>
        <v>23030.047693762743</v>
      </c>
      <c r="N66" s="1251">
        <f t="shared" si="24"/>
        <v>0.19892488097366726</v>
      </c>
      <c r="O66" s="1251">
        <f t="shared" si="24"/>
        <v>0.26585903447659598</v>
      </c>
      <c r="P66" s="1251">
        <f t="shared" si="24"/>
        <v>8.9228108703258049E-2</v>
      </c>
      <c r="Q66" s="1251">
        <f t="shared" si="24"/>
        <v>0</v>
      </c>
      <c r="R66" s="1251">
        <f t="shared" si="24"/>
        <v>0</v>
      </c>
      <c r="S66" s="1251">
        <f t="shared" si="24"/>
        <v>0</v>
      </c>
      <c r="T66" s="1251">
        <f t="shared" si="24"/>
        <v>0.4459879758464787</v>
      </c>
      <c r="U66" s="1284">
        <f t="shared" si="18"/>
        <v>1</v>
      </c>
      <c r="V66" s="1285">
        <f t="shared" si="29"/>
        <v>0.29028184578274857</v>
      </c>
      <c r="W66" s="1251">
        <f t="shared" si="25"/>
        <v>0.30317187715157518</v>
      </c>
      <c r="X66" s="1251">
        <f t="shared" si="25"/>
        <v>8.2805443243048754E-2</v>
      </c>
      <c r="Y66" s="1251">
        <f t="shared" si="25"/>
        <v>0</v>
      </c>
      <c r="Z66" s="1251">
        <f t="shared" si="25"/>
        <v>0</v>
      </c>
      <c r="AA66" s="1251">
        <f t="shared" si="25"/>
        <v>0</v>
      </c>
      <c r="AB66" s="1251">
        <f t="shared" si="25"/>
        <v>0.32374083382262742</v>
      </c>
      <c r="AC66" s="1284">
        <f t="shared" si="26"/>
        <v>0.99999999999999989</v>
      </c>
    </row>
    <row r="67" spans="1:29">
      <c r="A67" s="187">
        <f t="shared" si="20"/>
        <v>1967</v>
      </c>
      <c r="B67" s="1657">
        <v>9.0098299199999996</v>
      </c>
      <c r="C67" s="528">
        <v>876.63755217357675</v>
      </c>
      <c r="D67" s="1579">
        <v>0</v>
      </c>
      <c r="E67" s="1580">
        <v>0</v>
      </c>
      <c r="F67" s="186">
        <f t="shared" si="27"/>
        <v>0.71479999999999999</v>
      </c>
      <c r="G67" s="186">
        <f t="shared" si="28"/>
        <v>0.28959999999999997</v>
      </c>
      <c r="H67" s="478">
        <v>0</v>
      </c>
      <c r="I67" s="1294">
        <f t="shared" si="21"/>
        <v>578.73</v>
      </c>
      <c r="J67" s="1295">
        <f t="shared" si="22"/>
        <v>28.161493315089835</v>
      </c>
      <c r="K67" s="1296">
        <f t="shared" si="15"/>
        <v>5214.2588696016001</v>
      </c>
      <c r="L67" s="1296">
        <f t="shared" si="23"/>
        <v>24687.422565292898</v>
      </c>
      <c r="M67" s="1297">
        <f t="shared" si="16"/>
        <v>24687.422565292898</v>
      </c>
      <c r="N67" s="1251">
        <f t="shared" ref="N67:T82" si="30">N66</f>
        <v>0.19892488097366726</v>
      </c>
      <c r="O67" s="1251">
        <f t="shared" si="30"/>
        <v>0.26585903447659598</v>
      </c>
      <c r="P67" s="1251">
        <f t="shared" si="30"/>
        <v>8.9228108703258049E-2</v>
      </c>
      <c r="Q67" s="1251">
        <f t="shared" si="30"/>
        <v>0</v>
      </c>
      <c r="R67" s="1251">
        <f t="shared" si="30"/>
        <v>0</v>
      </c>
      <c r="S67" s="1251">
        <f t="shared" si="30"/>
        <v>0</v>
      </c>
      <c r="T67" s="1251">
        <f t="shared" si="30"/>
        <v>0.4459879758464787</v>
      </c>
      <c r="U67" s="1284">
        <f t="shared" si="18"/>
        <v>1</v>
      </c>
      <c r="V67" s="1285">
        <f t="shared" si="29"/>
        <v>0.29028184578274857</v>
      </c>
      <c r="W67" s="1251">
        <f t="shared" si="29"/>
        <v>0.30317187715157518</v>
      </c>
      <c r="X67" s="1251">
        <f t="shared" si="29"/>
        <v>8.2805443243048754E-2</v>
      </c>
      <c r="Y67" s="1251">
        <f t="shared" si="29"/>
        <v>0</v>
      </c>
      <c r="Z67" s="1251">
        <f t="shared" si="29"/>
        <v>0</v>
      </c>
      <c r="AA67" s="1251">
        <f t="shared" si="29"/>
        <v>0</v>
      </c>
      <c r="AB67" s="1251">
        <f t="shared" si="29"/>
        <v>0.32374083382262742</v>
      </c>
      <c r="AC67" s="1284">
        <f t="shared" si="26"/>
        <v>0.99999999999999989</v>
      </c>
    </row>
    <row r="68" spans="1:29">
      <c r="A68" s="187">
        <f t="shared" si="20"/>
        <v>1968</v>
      </c>
      <c r="B68" s="1657">
        <v>9.2808861600000014</v>
      </c>
      <c r="C68" s="528">
        <v>913.04820912190667</v>
      </c>
      <c r="D68" s="1579">
        <v>0</v>
      </c>
      <c r="E68" s="1580">
        <v>0</v>
      </c>
      <c r="F68" s="186">
        <f t="shared" si="27"/>
        <v>0.71479999999999999</v>
      </c>
      <c r="G68" s="186">
        <f t="shared" si="28"/>
        <v>0.28959999999999997</v>
      </c>
      <c r="H68" s="478">
        <v>0</v>
      </c>
      <c r="I68" s="1294">
        <f t="shared" si="21"/>
        <v>578.73</v>
      </c>
      <c r="J68" s="1295">
        <f t="shared" si="22"/>
        <v>28.161493315089835</v>
      </c>
      <c r="K68" s="1296">
        <f t="shared" si="15"/>
        <v>5371.1272473768013</v>
      </c>
      <c r="L68" s="1296">
        <f t="shared" si="23"/>
        <v>25712.801037541321</v>
      </c>
      <c r="M68" s="1297">
        <f t="shared" si="16"/>
        <v>25712.801037541321</v>
      </c>
      <c r="N68" s="1251">
        <f t="shared" si="30"/>
        <v>0.19892488097366726</v>
      </c>
      <c r="O68" s="1251">
        <f t="shared" si="30"/>
        <v>0.26585903447659598</v>
      </c>
      <c r="P68" s="1251">
        <f t="shared" si="30"/>
        <v>8.9228108703258049E-2</v>
      </c>
      <c r="Q68" s="1251">
        <f t="shared" si="30"/>
        <v>0</v>
      </c>
      <c r="R68" s="1251">
        <f t="shared" si="30"/>
        <v>0</v>
      </c>
      <c r="S68" s="1251">
        <f t="shared" si="30"/>
        <v>0</v>
      </c>
      <c r="T68" s="1251">
        <f t="shared" si="30"/>
        <v>0.4459879758464787</v>
      </c>
      <c r="U68" s="1284">
        <f t="shared" si="18"/>
        <v>1</v>
      </c>
      <c r="V68" s="1285">
        <f t="shared" ref="V68:AB83" si="31">V67</f>
        <v>0.29028184578274857</v>
      </c>
      <c r="W68" s="1251">
        <f t="shared" si="31"/>
        <v>0.30317187715157518</v>
      </c>
      <c r="X68" s="1251">
        <f t="shared" si="31"/>
        <v>8.2805443243048754E-2</v>
      </c>
      <c r="Y68" s="1251">
        <f t="shared" si="31"/>
        <v>0</v>
      </c>
      <c r="Z68" s="1251">
        <f t="shared" si="31"/>
        <v>0</v>
      </c>
      <c r="AA68" s="1251">
        <f t="shared" si="31"/>
        <v>0</v>
      </c>
      <c r="AB68" s="1251">
        <f t="shared" si="31"/>
        <v>0.32374083382262742</v>
      </c>
      <c r="AC68" s="1284">
        <f t="shared" si="26"/>
        <v>0.99999999999999989</v>
      </c>
    </row>
    <row r="69" spans="1:29">
      <c r="A69" s="187">
        <f t="shared" si="20"/>
        <v>1969</v>
      </c>
      <c r="B69" s="1657">
        <v>9.5539007199999997</v>
      </c>
      <c r="C69" s="528">
        <v>956.10601604260387</v>
      </c>
      <c r="D69" s="1579">
        <v>0</v>
      </c>
      <c r="E69" s="1580">
        <v>0</v>
      </c>
      <c r="F69" s="186">
        <f t="shared" si="27"/>
        <v>0.71479999999999999</v>
      </c>
      <c r="G69" s="186">
        <f t="shared" si="28"/>
        <v>0.28959999999999997</v>
      </c>
      <c r="H69" s="478">
        <v>0</v>
      </c>
      <c r="I69" s="1294">
        <f t="shared" si="21"/>
        <v>578.73</v>
      </c>
      <c r="J69" s="1295">
        <f t="shared" si="22"/>
        <v>28.161493315089835</v>
      </c>
      <c r="K69" s="1296">
        <f t="shared" si="15"/>
        <v>5529.1289636856</v>
      </c>
      <c r="L69" s="1296">
        <f t="shared" si="23"/>
        <v>26925.373179300965</v>
      </c>
      <c r="M69" s="1297">
        <f t="shared" si="16"/>
        <v>26925.373179300965</v>
      </c>
      <c r="N69" s="1251">
        <f t="shared" si="30"/>
        <v>0.19892488097366726</v>
      </c>
      <c r="O69" s="1251">
        <f t="shared" si="30"/>
        <v>0.26585903447659598</v>
      </c>
      <c r="P69" s="1251">
        <f t="shared" si="30"/>
        <v>8.9228108703258049E-2</v>
      </c>
      <c r="Q69" s="1251">
        <f t="shared" si="30"/>
        <v>0</v>
      </c>
      <c r="R69" s="1251">
        <f t="shared" si="30"/>
        <v>0</v>
      </c>
      <c r="S69" s="1251">
        <f t="shared" si="30"/>
        <v>0</v>
      </c>
      <c r="T69" s="1251">
        <f t="shared" si="30"/>
        <v>0.4459879758464787</v>
      </c>
      <c r="U69" s="1284">
        <f t="shared" si="18"/>
        <v>1</v>
      </c>
      <c r="V69" s="1285">
        <f t="shared" si="31"/>
        <v>0.29028184578274857</v>
      </c>
      <c r="W69" s="1251">
        <f t="shared" si="31"/>
        <v>0.30317187715157518</v>
      </c>
      <c r="X69" s="1251">
        <f t="shared" si="31"/>
        <v>8.2805443243048754E-2</v>
      </c>
      <c r="Y69" s="1251">
        <f t="shared" si="31"/>
        <v>0</v>
      </c>
      <c r="Z69" s="1251">
        <f t="shared" si="31"/>
        <v>0</v>
      </c>
      <c r="AA69" s="1251">
        <f t="shared" si="31"/>
        <v>0</v>
      </c>
      <c r="AB69" s="1251">
        <f t="shared" si="31"/>
        <v>0.32374083382262742</v>
      </c>
      <c r="AC69" s="1284">
        <f t="shared" si="26"/>
        <v>0.99999999999999989</v>
      </c>
    </row>
    <row r="70" spans="1:29">
      <c r="A70" s="187">
        <f t="shared" si="20"/>
        <v>1970</v>
      </c>
      <c r="B70" s="1657">
        <v>9.8288735999999997</v>
      </c>
      <c r="C70" s="528">
        <v>1006.2889052098111</v>
      </c>
      <c r="D70" s="1579">
        <v>0</v>
      </c>
      <c r="E70" s="1580">
        <v>0</v>
      </c>
      <c r="F70" s="186">
        <f t="shared" si="27"/>
        <v>0.71479999999999999</v>
      </c>
      <c r="G70" s="186">
        <f t="shared" si="28"/>
        <v>0.28959999999999997</v>
      </c>
      <c r="H70" s="478">
        <v>0</v>
      </c>
      <c r="I70" s="1294">
        <f t="shared" si="21"/>
        <v>578.73</v>
      </c>
      <c r="J70" s="1295">
        <f t="shared" si="22"/>
        <v>28.161493315089835</v>
      </c>
      <c r="K70" s="1296">
        <f t="shared" si="15"/>
        <v>5688.2640185279997</v>
      </c>
      <c r="L70" s="1296">
        <f t="shared" si="23"/>
        <v>28338.598277115165</v>
      </c>
      <c r="M70" s="1297">
        <f t="shared" si="16"/>
        <v>28338.598277115165</v>
      </c>
      <c r="N70" s="1251">
        <f t="shared" si="30"/>
        <v>0.19892488097366726</v>
      </c>
      <c r="O70" s="1251">
        <f t="shared" si="30"/>
        <v>0.26585903447659598</v>
      </c>
      <c r="P70" s="1251">
        <f t="shared" si="30"/>
        <v>8.9228108703258049E-2</v>
      </c>
      <c r="Q70" s="1251">
        <f t="shared" si="30"/>
        <v>0</v>
      </c>
      <c r="R70" s="1251">
        <f t="shared" si="30"/>
        <v>0</v>
      </c>
      <c r="S70" s="1251">
        <f t="shared" si="30"/>
        <v>0</v>
      </c>
      <c r="T70" s="1251">
        <f t="shared" si="30"/>
        <v>0.4459879758464787</v>
      </c>
      <c r="U70" s="1284">
        <f t="shared" si="18"/>
        <v>1</v>
      </c>
      <c r="V70" s="1285">
        <f t="shared" si="31"/>
        <v>0.29028184578274857</v>
      </c>
      <c r="W70" s="1251">
        <f t="shared" si="31"/>
        <v>0.30317187715157518</v>
      </c>
      <c r="X70" s="1251">
        <f t="shared" si="31"/>
        <v>8.2805443243048754E-2</v>
      </c>
      <c r="Y70" s="1251">
        <f t="shared" si="31"/>
        <v>0</v>
      </c>
      <c r="Z70" s="1251">
        <f t="shared" si="31"/>
        <v>0</v>
      </c>
      <c r="AA70" s="1251">
        <f t="shared" si="31"/>
        <v>0</v>
      </c>
      <c r="AB70" s="1251">
        <f t="shared" si="31"/>
        <v>0.32374083382262742</v>
      </c>
      <c r="AC70" s="1284">
        <f t="shared" si="26"/>
        <v>0.99999999999999989</v>
      </c>
    </row>
    <row r="71" spans="1:29">
      <c r="A71" s="187">
        <f t="shared" si="20"/>
        <v>1971</v>
      </c>
      <c r="B71" s="1657">
        <v>20.567820000000001</v>
      </c>
      <c r="C71" s="528">
        <v>1049.3477098940468</v>
      </c>
      <c r="D71" s="1579">
        <v>0</v>
      </c>
      <c r="E71" s="1580">
        <v>0</v>
      </c>
      <c r="F71" s="186">
        <f t="shared" si="27"/>
        <v>0.71479999999999999</v>
      </c>
      <c r="G71" s="186">
        <f t="shared" si="28"/>
        <v>0.28959999999999997</v>
      </c>
      <c r="H71" s="478">
        <v>0</v>
      </c>
      <c r="I71" s="1294">
        <f t="shared" si="21"/>
        <v>578.73</v>
      </c>
      <c r="J71" s="1295">
        <f t="shared" si="22"/>
        <v>28.161493315089835</v>
      </c>
      <c r="K71" s="1296">
        <f t="shared" si="15"/>
        <v>11903.214468600001</v>
      </c>
      <c r="L71" s="1296">
        <f t="shared" si="23"/>
        <v>29551.198517386027</v>
      </c>
      <c r="M71" s="1297">
        <f t="shared" si="16"/>
        <v>29551.198517386027</v>
      </c>
      <c r="N71" s="1251">
        <f t="shared" si="30"/>
        <v>0.19892488097366726</v>
      </c>
      <c r="O71" s="1251">
        <f t="shared" si="30"/>
        <v>0.26585903447659598</v>
      </c>
      <c r="P71" s="1251">
        <f t="shared" si="30"/>
        <v>8.9228108703258049E-2</v>
      </c>
      <c r="Q71" s="1251">
        <f t="shared" si="30"/>
        <v>0</v>
      </c>
      <c r="R71" s="1251">
        <f t="shared" si="30"/>
        <v>0</v>
      </c>
      <c r="S71" s="1251">
        <f t="shared" si="30"/>
        <v>0</v>
      </c>
      <c r="T71" s="1251">
        <f t="shared" si="30"/>
        <v>0.4459879758464787</v>
      </c>
      <c r="U71" s="1284">
        <f t="shared" si="18"/>
        <v>1</v>
      </c>
      <c r="V71" s="1285">
        <f t="shared" si="31"/>
        <v>0.29028184578274857</v>
      </c>
      <c r="W71" s="1251">
        <f t="shared" si="31"/>
        <v>0.30317187715157518</v>
      </c>
      <c r="X71" s="1251">
        <f t="shared" si="31"/>
        <v>8.2805443243048754E-2</v>
      </c>
      <c r="Y71" s="1251">
        <f t="shared" si="31"/>
        <v>0</v>
      </c>
      <c r="Z71" s="1251">
        <f t="shared" si="31"/>
        <v>0</v>
      </c>
      <c r="AA71" s="1251">
        <f t="shared" si="31"/>
        <v>0</v>
      </c>
      <c r="AB71" s="1251">
        <f t="shared" si="31"/>
        <v>0.32374083382262742</v>
      </c>
      <c r="AC71" s="1284">
        <f t="shared" si="26"/>
        <v>0.99999999999999989</v>
      </c>
    </row>
    <row r="72" spans="1:29">
      <c r="A72" s="187">
        <f t="shared" si="20"/>
        <v>1972</v>
      </c>
      <c r="B72" s="1657">
        <v>21.04466</v>
      </c>
      <c r="C72" s="528">
        <v>1066.7119174754762</v>
      </c>
      <c r="D72" s="1579">
        <v>0</v>
      </c>
      <c r="E72" s="1580">
        <v>0</v>
      </c>
      <c r="F72" s="186">
        <f t="shared" si="27"/>
        <v>0.71479999999999999</v>
      </c>
      <c r="G72" s="186">
        <f t="shared" si="28"/>
        <v>0.28959999999999997</v>
      </c>
      <c r="H72" s="478">
        <v>0</v>
      </c>
      <c r="I72" s="1294">
        <f t="shared" si="21"/>
        <v>578.73</v>
      </c>
      <c r="J72" s="1295">
        <f t="shared" si="22"/>
        <v>28.161493315089835</v>
      </c>
      <c r="K72" s="1296">
        <f t="shared" si="15"/>
        <v>12179.1760818</v>
      </c>
      <c r="L72" s="1296">
        <f t="shared" si="23"/>
        <v>30040.200533112282</v>
      </c>
      <c r="M72" s="1297">
        <f t="shared" si="16"/>
        <v>30040.200533112282</v>
      </c>
      <c r="N72" s="1251">
        <f t="shared" si="30"/>
        <v>0.19892488097366726</v>
      </c>
      <c r="O72" s="1251">
        <f t="shared" si="30"/>
        <v>0.26585903447659598</v>
      </c>
      <c r="P72" s="1251">
        <f t="shared" si="30"/>
        <v>8.9228108703258049E-2</v>
      </c>
      <c r="Q72" s="1251">
        <f t="shared" si="30"/>
        <v>0</v>
      </c>
      <c r="R72" s="1251">
        <f t="shared" si="30"/>
        <v>0</v>
      </c>
      <c r="S72" s="1251">
        <f t="shared" si="30"/>
        <v>0</v>
      </c>
      <c r="T72" s="1251">
        <f t="shared" si="30"/>
        <v>0.4459879758464787</v>
      </c>
      <c r="U72" s="1284">
        <f t="shared" si="18"/>
        <v>1</v>
      </c>
      <c r="V72" s="1285">
        <f t="shared" si="31"/>
        <v>0.29028184578274857</v>
      </c>
      <c r="W72" s="1251">
        <f t="shared" si="31"/>
        <v>0.30317187715157518</v>
      </c>
      <c r="X72" s="1251">
        <f t="shared" si="31"/>
        <v>8.2805443243048754E-2</v>
      </c>
      <c r="Y72" s="1251">
        <f t="shared" si="31"/>
        <v>0</v>
      </c>
      <c r="Z72" s="1251">
        <f t="shared" si="31"/>
        <v>0</v>
      </c>
      <c r="AA72" s="1251">
        <f t="shared" si="31"/>
        <v>0</v>
      </c>
      <c r="AB72" s="1251">
        <f t="shared" si="31"/>
        <v>0.32374083382262742</v>
      </c>
      <c r="AC72" s="1284">
        <f t="shared" si="26"/>
        <v>0.99999999999999989</v>
      </c>
    </row>
    <row r="73" spans="1:29">
      <c r="A73" s="187">
        <f t="shared" si="20"/>
        <v>1973</v>
      </c>
      <c r="B73" s="1657">
        <v>21.526959999999999</v>
      </c>
      <c r="C73" s="528">
        <v>1115.481962992131</v>
      </c>
      <c r="D73" s="1579">
        <v>0</v>
      </c>
      <c r="E73" s="1580">
        <v>0</v>
      </c>
      <c r="F73" s="186">
        <f t="shared" si="27"/>
        <v>0.71479999999999999</v>
      </c>
      <c r="G73" s="186">
        <f t="shared" si="28"/>
        <v>0.28959999999999997</v>
      </c>
      <c r="H73" s="478">
        <v>0</v>
      </c>
      <c r="I73" s="1294">
        <f t="shared" si="21"/>
        <v>578.73</v>
      </c>
      <c r="J73" s="1295">
        <f t="shared" si="22"/>
        <v>28.161493315089835</v>
      </c>
      <c r="K73" s="1296">
        <f t="shared" si="15"/>
        <v>12458.2975608</v>
      </c>
      <c r="L73" s="1296">
        <f t="shared" si="23"/>
        <v>31413.637843906185</v>
      </c>
      <c r="M73" s="1297">
        <f t="shared" si="16"/>
        <v>31413.637843906185</v>
      </c>
      <c r="N73" s="1251">
        <f t="shared" si="30"/>
        <v>0.19892488097366726</v>
      </c>
      <c r="O73" s="1251">
        <f t="shared" si="30"/>
        <v>0.26585903447659598</v>
      </c>
      <c r="P73" s="1251">
        <f t="shared" si="30"/>
        <v>8.9228108703258049E-2</v>
      </c>
      <c r="Q73" s="1251">
        <f t="shared" si="30"/>
        <v>0</v>
      </c>
      <c r="R73" s="1251">
        <f t="shared" si="30"/>
        <v>0</v>
      </c>
      <c r="S73" s="1251">
        <f t="shared" si="30"/>
        <v>0</v>
      </c>
      <c r="T73" s="1251">
        <f t="shared" si="30"/>
        <v>0.4459879758464787</v>
      </c>
      <c r="U73" s="1284">
        <f t="shared" si="18"/>
        <v>1</v>
      </c>
      <c r="V73" s="1285">
        <f t="shared" si="31"/>
        <v>0.29028184578274857</v>
      </c>
      <c r="W73" s="1251">
        <f t="shared" si="31"/>
        <v>0.30317187715157518</v>
      </c>
      <c r="X73" s="1251">
        <f t="shared" si="31"/>
        <v>8.2805443243048754E-2</v>
      </c>
      <c r="Y73" s="1251">
        <f t="shared" si="31"/>
        <v>0</v>
      </c>
      <c r="Z73" s="1251">
        <f t="shared" si="31"/>
        <v>0</v>
      </c>
      <c r="AA73" s="1251">
        <f t="shared" si="31"/>
        <v>0</v>
      </c>
      <c r="AB73" s="1251">
        <f t="shared" si="31"/>
        <v>0.32374083382262742</v>
      </c>
      <c r="AC73" s="1284">
        <f t="shared" si="26"/>
        <v>0.99999999999999989</v>
      </c>
    </row>
    <row r="74" spans="1:29">
      <c r="A74" s="187">
        <f t="shared" si="20"/>
        <v>1974</v>
      </c>
      <c r="B74" s="1657">
        <v>22.012900000000002</v>
      </c>
      <c r="C74" s="528">
        <v>1183.6496732532121</v>
      </c>
      <c r="D74" s="1579">
        <v>0</v>
      </c>
      <c r="E74" s="1580">
        <v>0</v>
      </c>
      <c r="F74" s="186">
        <f t="shared" si="27"/>
        <v>0.71479999999999999</v>
      </c>
      <c r="G74" s="186">
        <f t="shared" si="28"/>
        <v>0.28959999999999997</v>
      </c>
      <c r="H74" s="478">
        <v>0</v>
      </c>
      <c r="I74" s="1294">
        <f t="shared" si="21"/>
        <v>578.73</v>
      </c>
      <c r="J74" s="1295">
        <f t="shared" si="22"/>
        <v>28.161493315089835</v>
      </c>
      <c r="K74" s="1296">
        <f t="shared" si="15"/>
        <v>12739.525617000001</v>
      </c>
      <c r="L74" s="1296">
        <f t="shared" si="23"/>
        <v>33333.342360728602</v>
      </c>
      <c r="M74" s="1297">
        <f t="shared" si="16"/>
        <v>33333.342360728602</v>
      </c>
      <c r="N74" s="1251">
        <f t="shared" si="30"/>
        <v>0.19892488097366726</v>
      </c>
      <c r="O74" s="1251">
        <f t="shared" si="30"/>
        <v>0.26585903447659598</v>
      </c>
      <c r="P74" s="1251">
        <f t="shared" si="30"/>
        <v>8.9228108703258049E-2</v>
      </c>
      <c r="Q74" s="1251">
        <f t="shared" si="30"/>
        <v>0</v>
      </c>
      <c r="R74" s="1251">
        <f t="shared" si="30"/>
        <v>0</v>
      </c>
      <c r="S74" s="1251">
        <f t="shared" si="30"/>
        <v>0</v>
      </c>
      <c r="T74" s="1251">
        <f t="shared" si="30"/>
        <v>0.4459879758464787</v>
      </c>
      <c r="U74" s="1284">
        <f t="shared" si="18"/>
        <v>1</v>
      </c>
      <c r="V74" s="1285">
        <f t="shared" si="31"/>
        <v>0.29028184578274857</v>
      </c>
      <c r="W74" s="1251">
        <f t="shared" si="31"/>
        <v>0.30317187715157518</v>
      </c>
      <c r="X74" s="1251">
        <f t="shared" si="31"/>
        <v>8.2805443243048754E-2</v>
      </c>
      <c r="Y74" s="1251">
        <f t="shared" si="31"/>
        <v>0</v>
      </c>
      <c r="Z74" s="1251">
        <f t="shared" si="31"/>
        <v>0</v>
      </c>
      <c r="AA74" s="1251">
        <f t="shared" si="31"/>
        <v>0</v>
      </c>
      <c r="AB74" s="1251">
        <f t="shared" si="31"/>
        <v>0.32374083382262742</v>
      </c>
      <c r="AC74" s="1284">
        <f t="shared" si="26"/>
        <v>0.99999999999999989</v>
      </c>
    </row>
    <row r="75" spans="1:29">
      <c r="A75" s="187">
        <f t="shared" si="20"/>
        <v>1975</v>
      </c>
      <c r="B75" s="1657">
        <v>22.502480000000002</v>
      </c>
      <c r="C75" s="528">
        <v>1203.7178400604503</v>
      </c>
      <c r="D75" s="1579">
        <v>0</v>
      </c>
      <c r="E75" s="1580">
        <v>0</v>
      </c>
      <c r="F75" s="186">
        <f t="shared" si="27"/>
        <v>0.71479999999999999</v>
      </c>
      <c r="G75" s="186">
        <f t="shared" si="28"/>
        <v>0.28959999999999997</v>
      </c>
      <c r="H75" s="478">
        <v>0</v>
      </c>
      <c r="I75" s="1294">
        <f t="shared" si="21"/>
        <v>578.73</v>
      </c>
      <c r="J75" s="1295">
        <f t="shared" si="22"/>
        <v>28.161493315089835</v>
      </c>
      <c r="K75" s="1296">
        <f t="shared" si="15"/>
        <v>13022.860250400001</v>
      </c>
      <c r="L75" s="1296">
        <f t="shared" si="23"/>
        <v>33898.491906116746</v>
      </c>
      <c r="M75" s="1297">
        <f t="shared" si="16"/>
        <v>33898.491906116746</v>
      </c>
      <c r="N75" s="1251">
        <f t="shared" si="30"/>
        <v>0.19892488097366726</v>
      </c>
      <c r="O75" s="1251">
        <f t="shared" si="30"/>
        <v>0.26585903447659598</v>
      </c>
      <c r="P75" s="1251">
        <f t="shared" si="30"/>
        <v>8.9228108703258049E-2</v>
      </c>
      <c r="Q75" s="1251">
        <f t="shared" si="30"/>
        <v>0</v>
      </c>
      <c r="R75" s="1251">
        <f t="shared" si="30"/>
        <v>0</v>
      </c>
      <c r="S75" s="1251">
        <f t="shared" si="30"/>
        <v>0</v>
      </c>
      <c r="T75" s="1251">
        <f t="shared" si="30"/>
        <v>0.4459879758464787</v>
      </c>
      <c r="U75" s="1284">
        <f t="shared" si="18"/>
        <v>1</v>
      </c>
      <c r="V75" s="1285">
        <f t="shared" si="31"/>
        <v>0.29028184578274857</v>
      </c>
      <c r="W75" s="1251">
        <f t="shared" si="31"/>
        <v>0.30317187715157518</v>
      </c>
      <c r="X75" s="1251">
        <f t="shared" si="31"/>
        <v>8.2805443243048754E-2</v>
      </c>
      <c r="Y75" s="1251">
        <f t="shared" si="31"/>
        <v>0</v>
      </c>
      <c r="Z75" s="1251">
        <f t="shared" si="31"/>
        <v>0</v>
      </c>
      <c r="AA75" s="1251">
        <f t="shared" si="31"/>
        <v>0</v>
      </c>
      <c r="AB75" s="1251">
        <f t="shared" si="31"/>
        <v>0.32374083382262742</v>
      </c>
      <c r="AC75" s="1284">
        <f t="shared" si="26"/>
        <v>0.99999999999999989</v>
      </c>
    </row>
    <row r="76" spans="1:29">
      <c r="A76" s="187">
        <f t="shared" si="20"/>
        <v>1976</v>
      </c>
      <c r="B76" s="1657">
        <v>22.993880000000001</v>
      </c>
      <c r="C76" s="528">
        <v>1230.8003365426916</v>
      </c>
      <c r="D76" s="1579">
        <v>0</v>
      </c>
      <c r="E76" s="1580">
        <v>0</v>
      </c>
      <c r="F76" s="186">
        <f t="shared" si="27"/>
        <v>0.71479999999999999</v>
      </c>
      <c r="G76" s="186">
        <f t="shared" si="28"/>
        <v>0.28959999999999997</v>
      </c>
      <c r="H76" s="478">
        <v>0</v>
      </c>
      <c r="I76" s="1294">
        <f t="shared" si="21"/>
        <v>578.73</v>
      </c>
      <c r="J76" s="1295">
        <f t="shared" si="22"/>
        <v>28.161493315089835</v>
      </c>
      <c r="K76" s="1296">
        <f t="shared" si="15"/>
        <v>13307.248172400001</v>
      </c>
      <c r="L76" s="1296">
        <f t="shared" si="23"/>
        <v>34661.175449757327</v>
      </c>
      <c r="M76" s="1297">
        <f t="shared" si="16"/>
        <v>34661.175449757327</v>
      </c>
      <c r="N76" s="1251">
        <f t="shared" si="30"/>
        <v>0.19892488097366726</v>
      </c>
      <c r="O76" s="1251">
        <f t="shared" si="30"/>
        <v>0.26585903447659598</v>
      </c>
      <c r="P76" s="1251">
        <f t="shared" si="30"/>
        <v>8.9228108703258049E-2</v>
      </c>
      <c r="Q76" s="1251">
        <f t="shared" si="30"/>
        <v>0</v>
      </c>
      <c r="R76" s="1251">
        <f t="shared" si="30"/>
        <v>0</v>
      </c>
      <c r="S76" s="1251">
        <f t="shared" si="30"/>
        <v>0</v>
      </c>
      <c r="T76" s="1251">
        <f t="shared" si="30"/>
        <v>0.4459879758464787</v>
      </c>
      <c r="U76" s="1284">
        <f t="shared" si="18"/>
        <v>1</v>
      </c>
      <c r="V76" s="1285">
        <f t="shared" si="31"/>
        <v>0.29028184578274857</v>
      </c>
      <c r="W76" s="1251">
        <f t="shared" si="31"/>
        <v>0.30317187715157518</v>
      </c>
      <c r="X76" s="1251">
        <f t="shared" si="31"/>
        <v>8.2805443243048754E-2</v>
      </c>
      <c r="Y76" s="1251">
        <f t="shared" si="31"/>
        <v>0</v>
      </c>
      <c r="Z76" s="1251">
        <f t="shared" si="31"/>
        <v>0</v>
      </c>
      <c r="AA76" s="1251">
        <f t="shared" si="31"/>
        <v>0</v>
      </c>
      <c r="AB76" s="1251">
        <f t="shared" si="31"/>
        <v>0.32374083382262742</v>
      </c>
      <c r="AC76" s="1284">
        <f t="shared" si="26"/>
        <v>0.99999999999999989</v>
      </c>
    </row>
    <row r="77" spans="1:29">
      <c r="A77" s="187">
        <f t="shared" si="20"/>
        <v>1977</v>
      </c>
      <c r="B77" s="1657">
        <v>23.483460000000001</v>
      </c>
      <c r="C77" s="528">
        <v>1229.6429222577431</v>
      </c>
      <c r="D77" s="1579">
        <v>0</v>
      </c>
      <c r="E77" s="1580">
        <v>0</v>
      </c>
      <c r="F77" s="186">
        <f t="shared" si="27"/>
        <v>0.71479999999999999</v>
      </c>
      <c r="G77" s="186">
        <f t="shared" si="28"/>
        <v>0.28959999999999997</v>
      </c>
      <c r="H77" s="478">
        <v>0</v>
      </c>
      <c r="I77" s="1294">
        <f t="shared" si="21"/>
        <v>578.73</v>
      </c>
      <c r="J77" s="1295">
        <f t="shared" si="22"/>
        <v>28.161493315089835</v>
      </c>
      <c r="K77" s="1296">
        <f t="shared" si="15"/>
        <v>13590.582805800001</v>
      </c>
      <c r="L77" s="1296">
        <f t="shared" si="23"/>
        <v>34628.580935108963</v>
      </c>
      <c r="M77" s="1297">
        <f t="shared" si="16"/>
        <v>34628.580935108963</v>
      </c>
      <c r="N77" s="1251">
        <f t="shared" si="30"/>
        <v>0.19892488097366726</v>
      </c>
      <c r="O77" s="1251">
        <f t="shared" si="30"/>
        <v>0.26585903447659598</v>
      </c>
      <c r="P77" s="1251">
        <f t="shared" si="30"/>
        <v>8.9228108703258049E-2</v>
      </c>
      <c r="Q77" s="1251">
        <f t="shared" si="30"/>
        <v>0</v>
      </c>
      <c r="R77" s="1251">
        <f t="shared" si="30"/>
        <v>0</v>
      </c>
      <c r="S77" s="1251">
        <f t="shared" si="30"/>
        <v>0</v>
      </c>
      <c r="T77" s="1251">
        <f t="shared" si="30"/>
        <v>0.4459879758464787</v>
      </c>
      <c r="U77" s="1284">
        <f t="shared" si="18"/>
        <v>1</v>
      </c>
      <c r="V77" s="1285">
        <f t="shared" si="31"/>
        <v>0.29028184578274857</v>
      </c>
      <c r="W77" s="1251">
        <f t="shared" si="31"/>
        <v>0.30317187715157518</v>
      </c>
      <c r="X77" s="1251">
        <f t="shared" si="31"/>
        <v>8.2805443243048754E-2</v>
      </c>
      <c r="Y77" s="1251">
        <f t="shared" si="31"/>
        <v>0</v>
      </c>
      <c r="Z77" s="1251">
        <f t="shared" si="31"/>
        <v>0</v>
      </c>
      <c r="AA77" s="1251">
        <f t="shared" si="31"/>
        <v>0</v>
      </c>
      <c r="AB77" s="1251">
        <f t="shared" si="31"/>
        <v>0.32374083382262742</v>
      </c>
      <c r="AC77" s="1284">
        <f t="shared" si="26"/>
        <v>0.99999999999999989</v>
      </c>
    </row>
    <row r="78" spans="1:29">
      <c r="A78" s="187">
        <f t="shared" si="20"/>
        <v>1978</v>
      </c>
      <c r="B78" s="1657">
        <v>23.983049999999999</v>
      </c>
      <c r="C78" s="528">
        <v>1266.711110256156</v>
      </c>
      <c r="D78" s="1579">
        <v>0</v>
      </c>
      <c r="E78" s="1580">
        <v>0</v>
      </c>
      <c r="F78" s="186">
        <f t="shared" si="27"/>
        <v>0.71479999999999999</v>
      </c>
      <c r="G78" s="186">
        <f t="shared" si="28"/>
        <v>0.28959999999999997</v>
      </c>
      <c r="H78" s="478">
        <v>0</v>
      </c>
      <c r="I78" s="1294">
        <f t="shared" si="21"/>
        <v>578.73</v>
      </c>
      <c r="J78" s="1295">
        <f t="shared" si="22"/>
        <v>28.161493315089835</v>
      </c>
      <c r="K78" s="1296">
        <f t="shared" si="15"/>
        <v>13879.710526499999</v>
      </c>
      <c r="L78" s="1296">
        <f t="shared" si="23"/>
        <v>35672.476463628758</v>
      </c>
      <c r="M78" s="1297">
        <f t="shared" si="16"/>
        <v>35672.476463628758</v>
      </c>
      <c r="N78" s="1251">
        <f t="shared" si="30"/>
        <v>0.19892488097366726</v>
      </c>
      <c r="O78" s="1251">
        <f t="shared" si="30"/>
        <v>0.26585903447659598</v>
      </c>
      <c r="P78" s="1251">
        <f t="shared" si="30"/>
        <v>8.9228108703258049E-2</v>
      </c>
      <c r="Q78" s="1251">
        <f t="shared" si="30"/>
        <v>0</v>
      </c>
      <c r="R78" s="1251">
        <f t="shared" si="30"/>
        <v>0</v>
      </c>
      <c r="S78" s="1251">
        <f t="shared" si="30"/>
        <v>0</v>
      </c>
      <c r="T78" s="1251">
        <f t="shared" si="30"/>
        <v>0.4459879758464787</v>
      </c>
      <c r="U78" s="1284">
        <f t="shared" si="18"/>
        <v>1</v>
      </c>
      <c r="V78" s="1285">
        <f t="shared" si="31"/>
        <v>0.29028184578274857</v>
      </c>
      <c r="W78" s="1251">
        <f t="shared" si="31"/>
        <v>0.30317187715157518</v>
      </c>
      <c r="X78" s="1251">
        <f t="shared" si="31"/>
        <v>8.2805443243048754E-2</v>
      </c>
      <c r="Y78" s="1251">
        <f t="shared" si="31"/>
        <v>0</v>
      </c>
      <c r="Z78" s="1251">
        <f t="shared" si="31"/>
        <v>0</v>
      </c>
      <c r="AA78" s="1251">
        <f t="shared" si="31"/>
        <v>0</v>
      </c>
      <c r="AB78" s="1251">
        <f t="shared" si="31"/>
        <v>0.32374083382262742</v>
      </c>
      <c r="AC78" s="1284">
        <f t="shared" si="26"/>
        <v>0.99999999999999989</v>
      </c>
    </row>
    <row r="79" spans="1:29">
      <c r="A79" s="187">
        <f t="shared" si="20"/>
        <v>1979</v>
      </c>
      <c r="B79" s="1657">
        <v>24.516309999999997</v>
      </c>
      <c r="C79" s="528">
        <v>1314.725843177443</v>
      </c>
      <c r="D79" s="1579">
        <v>0</v>
      </c>
      <c r="E79" s="1580">
        <v>0</v>
      </c>
      <c r="F79" s="186">
        <f t="shared" si="27"/>
        <v>0.71479999999999999</v>
      </c>
      <c r="G79" s="186">
        <f t="shared" si="28"/>
        <v>0.28959999999999997</v>
      </c>
      <c r="H79" s="478">
        <v>0</v>
      </c>
      <c r="I79" s="1294">
        <f t="shared" si="21"/>
        <v>578.73</v>
      </c>
      <c r="J79" s="1295">
        <f t="shared" si="22"/>
        <v>28.161493315089835</v>
      </c>
      <c r="K79" s="1296">
        <f t="shared" si="15"/>
        <v>14188.324086299999</v>
      </c>
      <c r="L79" s="1296">
        <f t="shared" si="23"/>
        <v>37024.643043817407</v>
      </c>
      <c r="M79" s="1297">
        <f t="shared" si="16"/>
        <v>37024.643043817407</v>
      </c>
      <c r="N79" s="1251">
        <f t="shared" si="30"/>
        <v>0.19892488097366726</v>
      </c>
      <c r="O79" s="1251">
        <f t="shared" si="30"/>
        <v>0.26585903447659598</v>
      </c>
      <c r="P79" s="1251">
        <f t="shared" si="30"/>
        <v>8.9228108703258049E-2</v>
      </c>
      <c r="Q79" s="1251">
        <f t="shared" si="30"/>
        <v>0</v>
      </c>
      <c r="R79" s="1251">
        <f t="shared" si="30"/>
        <v>0</v>
      </c>
      <c r="S79" s="1251">
        <f t="shared" si="30"/>
        <v>0</v>
      </c>
      <c r="T79" s="1251">
        <f t="shared" si="30"/>
        <v>0.4459879758464787</v>
      </c>
      <c r="U79" s="1284">
        <f t="shared" si="18"/>
        <v>1</v>
      </c>
      <c r="V79" s="1285">
        <f t="shared" si="31"/>
        <v>0.29028184578274857</v>
      </c>
      <c r="W79" s="1251">
        <f t="shared" si="31"/>
        <v>0.30317187715157518</v>
      </c>
      <c r="X79" s="1251">
        <f t="shared" si="31"/>
        <v>8.2805443243048754E-2</v>
      </c>
      <c r="Y79" s="1251">
        <f t="shared" si="31"/>
        <v>0</v>
      </c>
      <c r="Z79" s="1251">
        <f t="shared" si="31"/>
        <v>0</v>
      </c>
      <c r="AA79" s="1251">
        <f t="shared" si="31"/>
        <v>0</v>
      </c>
      <c r="AB79" s="1251">
        <f t="shared" si="31"/>
        <v>0.32374083382262742</v>
      </c>
      <c r="AC79" s="1284">
        <f t="shared" si="26"/>
        <v>0.99999999999999989</v>
      </c>
    </row>
    <row r="80" spans="1:29">
      <c r="A80" s="187">
        <f t="shared" si="20"/>
        <v>1980</v>
      </c>
      <c r="B80" s="1657">
        <v>25.094160000000002</v>
      </c>
      <c r="C80" s="528">
        <v>1401.7683862069005</v>
      </c>
      <c r="D80" s="1579">
        <v>0</v>
      </c>
      <c r="E80" s="1580">
        <v>0</v>
      </c>
      <c r="F80" s="186">
        <f t="shared" si="27"/>
        <v>0.71479999999999999</v>
      </c>
      <c r="G80" s="186">
        <f t="shared" si="28"/>
        <v>0.28959999999999997</v>
      </c>
      <c r="H80" s="478">
        <v>0</v>
      </c>
      <c r="I80" s="1294">
        <f t="shared" si="21"/>
        <v>578.73</v>
      </c>
      <c r="J80" s="1295">
        <f t="shared" si="22"/>
        <v>28.161493315089835</v>
      </c>
      <c r="K80" s="1296">
        <f t="shared" si="15"/>
        <v>14522.743216800001</v>
      </c>
      <c r="L80" s="1296">
        <f t="shared" si="23"/>
        <v>39475.891037469897</v>
      </c>
      <c r="M80" s="1297">
        <f t="shared" si="16"/>
        <v>39475.891037469897</v>
      </c>
      <c r="N80" s="1251">
        <f t="shared" si="30"/>
        <v>0.19892488097366726</v>
      </c>
      <c r="O80" s="1251">
        <f t="shared" si="30"/>
        <v>0.26585903447659598</v>
      </c>
      <c r="P80" s="1251">
        <f t="shared" si="30"/>
        <v>8.9228108703258049E-2</v>
      </c>
      <c r="Q80" s="1251">
        <f t="shared" si="30"/>
        <v>0</v>
      </c>
      <c r="R80" s="1251">
        <f t="shared" si="30"/>
        <v>0</v>
      </c>
      <c r="S80" s="1251">
        <f t="shared" si="30"/>
        <v>0</v>
      </c>
      <c r="T80" s="1251">
        <f t="shared" si="30"/>
        <v>0.4459879758464787</v>
      </c>
      <c r="U80" s="1284">
        <f t="shared" si="18"/>
        <v>1</v>
      </c>
      <c r="V80" s="1285">
        <f t="shared" si="31"/>
        <v>0.29028184578274857</v>
      </c>
      <c r="W80" s="1251">
        <f t="shared" si="31"/>
        <v>0.30317187715157518</v>
      </c>
      <c r="X80" s="1251">
        <f t="shared" si="31"/>
        <v>8.2805443243048754E-2</v>
      </c>
      <c r="Y80" s="1251">
        <f t="shared" si="31"/>
        <v>0</v>
      </c>
      <c r="Z80" s="1251">
        <f t="shared" si="31"/>
        <v>0</v>
      </c>
      <c r="AA80" s="1251">
        <f t="shared" si="31"/>
        <v>0</v>
      </c>
      <c r="AB80" s="1251">
        <f t="shared" si="31"/>
        <v>0.32374083382262742</v>
      </c>
      <c r="AC80" s="1284">
        <f t="shared" si="26"/>
        <v>0.99999999999999989</v>
      </c>
    </row>
    <row r="81" spans="1:29">
      <c r="A81" s="187">
        <f t="shared" si="20"/>
        <v>1981</v>
      </c>
      <c r="B81" s="1657">
        <v>25.712049999999998</v>
      </c>
      <c r="C81" s="528">
        <v>1476.9135086140063</v>
      </c>
      <c r="D81" s="1579">
        <v>0</v>
      </c>
      <c r="E81" s="1580">
        <v>0</v>
      </c>
      <c r="F81" s="186">
        <f t="shared" si="27"/>
        <v>0.71479999999999999</v>
      </c>
      <c r="G81" s="186">
        <f t="shared" si="28"/>
        <v>0.28959999999999997</v>
      </c>
      <c r="H81" s="478">
        <v>0</v>
      </c>
      <c r="I81" s="1294">
        <f t="shared" si="21"/>
        <v>578.73</v>
      </c>
      <c r="J81" s="1295">
        <f t="shared" si="22"/>
        <v>28.161493315089835</v>
      </c>
      <c r="K81" s="1296">
        <f t="shared" si="15"/>
        <v>14880.3346965</v>
      </c>
      <c r="L81" s="1296">
        <f t="shared" si="23"/>
        <v>41592.089899799212</v>
      </c>
      <c r="M81" s="1297">
        <f t="shared" si="16"/>
        <v>41592.089899799212</v>
      </c>
      <c r="N81" s="1251">
        <f t="shared" si="30"/>
        <v>0.19892488097366726</v>
      </c>
      <c r="O81" s="1251">
        <f t="shared" si="30"/>
        <v>0.26585903447659598</v>
      </c>
      <c r="P81" s="1251">
        <f t="shared" si="30"/>
        <v>8.9228108703258049E-2</v>
      </c>
      <c r="Q81" s="1251">
        <f t="shared" si="30"/>
        <v>0</v>
      </c>
      <c r="R81" s="1251">
        <f t="shared" si="30"/>
        <v>0</v>
      </c>
      <c r="S81" s="1251">
        <f t="shared" si="30"/>
        <v>0</v>
      </c>
      <c r="T81" s="1251">
        <f t="shared" si="30"/>
        <v>0.4459879758464787</v>
      </c>
      <c r="U81" s="1284">
        <f t="shared" si="18"/>
        <v>1</v>
      </c>
      <c r="V81" s="1285">
        <f t="shared" si="31"/>
        <v>0.29028184578274857</v>
      </c>
      <c r="W81" s="1251">
        <f t="shared" si="31"/>
        <v>0.30317187715157518</v>
      </c>
      <c r="X81" s="1251">
        <f t="shared" si="31"/>
        <v>8.2805443243048754E-2</v>
      </c>
      <c r="Y81" s="1251">
        <f t="shared" si="31"/>
        <v>0</v>
      </c>
      <c r="Z81" s="1251">
        <f t="shared" si="31"/>
        <v>0</v>
      </c>
      <c r="AA81" s="1251">
        <f t="shared" si="31"/>
        <v>0</v>
      </c>
      <c r="AB81" s="1251">
        <f t="shared" si="31"/>
        <v>0.32374083382262742</v>
      </c>
      <c r="AC81" s="1284">
        <f t="shared" si="26"/>
        <v>0.99999999999999989</v>
      </c>
    </row>
    <row r="82" spans="1:29">
      <c r="A82" s="187">
        <f t="shared" si="20"/>
        <v>1982</v>
      </c>
      <c r="B82" s="1657">
        <v>26.364520000000002</v>
      </c>
      <c r="C82" s="528">
        <v>1471.2511585558661</v>
      </c>
      <c r="D82" s="1579">
        <v>0</v>
      </c>
      <c r="E82" s="1580">
        <v>0</v>
      </c>
      <c r="F82" s="186">
        <f t="shared" si="27"/>
        <v>0.71479999999999999</v>
      </c>
      <c r="G82" s="186">
        <f t="shared" si="28"/>
        <v>0.28959999999999997</v>
      </c>
      <c r="H82" s="478">
        <v>0</v>
      </c>
      <c r="I82" s="1294">
        <f t="shared" si="21"/>
        <v>578.73</v>
      </c>
      <c r="J82" s="1295">
        <f t="shared" si="22"/>
        <v>28.161493315089835</v>
      </c>
      <c r="K82" s="1296">
        <f t="shared" si="15"/>
        <v>15257.938659600002</v>
      </c>
      <c r="L82" s="1296">
        <f t="shared" si="23"/>
        <v>41432.6296664892</v>
      </c>
      <c r="M82" s="1297">
        <f t="shared" si="16"/>
        <v>41432.6296664892</v>
      </c>
      <c r="N82" s="1251">
        <f t="shared" si="30"/>
        <v>0.19892488097366726</v>
      </c>
      <c r="O82" s="1251">
        <f t="shared" si="30"/>
        <v>0.26585903447659598</v>
      </c>
      <c r="P82" s="1251">
        <f t="shared" si="30"/>
        <v>8.9228108703258049E-2</v>
      </c>
      <c r="Q82" s="1251">
        <f t="shared" si="30"/>
        <v>0</v>
      </c>
      <c r="R82" s="1251">
        <f t="shared" si="30"/>
        <v>0</v>
      </c>
      <c r="S82" s="1251">
        <f t="shared" si="30"/>
        <v>0</v>
      </c>
      <c r="T82" s="1251">
        <f t="shared" si="30"/>
        <v>0.4459879758464787</v>
      </c>
      <c r="U82" s="1284">
        <f t="shared" ref="U82:U113" si="32">SUM(N82:T82)</f>
        <v>1</v>
      </c>
      <c r="V82" s="1285">
        <f t="shared" si="31"/>
        <v>0.29028184578274857</v>
      </c>
      <c r="W82" s="1251">
        <f t="shared" si="31"/>
        <v>0.30317187715157518</v>
      </c>
      <c r="X82" s="1251">
        <f t="shared" si="31"/>
        <v>8.2805443243048754E-2</v>
      </c>
      <c r="Y82" s="1251">
        <f t="shared" si="31"/>
        <v>0</v>
      </c>
      <c r="Z82" s="1251">
        <f t="shared" si="31"/>
        <v>0</v>
      </c>
      <c r="AA82" s="1251">
        <f t="shared" si="31"/>
        <v>0</v>
      </c>
      <c r="AB82" s="1251">
        <f t="shared" si="31"/>
        <v>0.32374083382262742</v>
      </c>
      <c r="AC82" s="1284">
        <f t="shared" si="26"/>
        <v>0.99999999999999989</v>
      </c>
    </row>
    <row r="83" spans="1:29">
      <c r="A83" s="187">
        <f t="shared" ref="A83:A114" si="33">A82+1</f>
        <v>1983</v>
      </c>
      <c r="B83" s="1657">
        <v>27.048839999999998</v>
      </c>
      <c r="C83" s="528">
        <v>1444.0838515447542</v>
      </c>
      <c r="D83" s="1579">
        <v>0</v>
      </c>
      <c r="E83" s="1580">
        <v>0</v>
      </c>
      <c r="F83" s="186">
        <f t="shared" si="27"/>
        <v>0.71479999999999999</v>
      </c>
      <c r="G83" s="186">
        <f t="shared" si="28"/>
        <v>0.28959999999999997</v>
      </c>
      <c r="H83" s="478">
        <v>0</v>
      </c>
      <c r="I83" s="1294">
        <f t="shared" si="21"/>
        <v>578.73</v>
      </c>
      <c r="J83" s="1295">
        <f t="shared" si="22"/>
        <v>28.161493315089835</v>
      </c>
      <c r="K83" s="1296">
        <f t="shared" si="15"/>
        <v>15653.9751732</v>
      </c>
      <c r="L83" s="1296">
        <f t="shared" si="23"/>
        <v>40667.55773170678</v>
      </c>
      <c r="M83" s="1297">
        <f t="shared" si="16"/>
        <v>40667.55773170678</v>
      </c>
      <c r="N83" s="1251">
        <f t="shared" ref="N83:T98" si="34">N82</f>
        <v>0.19892488097366726</v>
      </c>
      <c r="O83" s="1251">
        <f t="shared" si="34"/>
        <v>0.26585903447659598</v>
      </c>
      <c r="P83" s="1251">
        <f t="shared" si="34"/>
        <v>8.9228108703258049E-2</v>
      </c>
      <c r="Q83" s="1251">
        <f t="shared" si="34"/>
        <v>0</v>
      </c>
      <c r="R83" s="1251">
        <f t="shared" si="34"/>
        <v>0</v>
      </c>
      <c r="S83" s="1251">
        <f t="shared" si="34"/>
        <v>0</v>
      </c>
      <c r="T83" s="1251">
        <f t="shared" si="34"/>
        <v>0.4459879758464787</v>
      </c>
      <c r="U83" s="1284">
        <f t="shared" si="32"/>
        <v>1</v>
      </c>
      <c r="V83" s="1285">
        <f t="shared" si="31"/>
        <v>0.29028184578274857</v>
      </c>
      <c r="W83" s="1251">
        <f t="shared" si="31"/>
        <v>0.30317187715157518</v>
      </c>
      <c r="X83" s="1251">
        <f t="shared" si="31"/>
        <v>8.2805443243048754E-2</v>
      </c>
      <c r="Y83" s="1251">
        <f t="shared" si="31"/>
        <v>0</v>
      </c>
      <c r="Z83" s="1251">
        <f t="shared" si="31"/>
        <v>0</v>
      </c>
      <c r="AA83" s="1251">
        <f t="shared" si="31"/>
        <v>0</v>
      </c>
      <c r="AB83" s="1251">
        <f t="shared" si="31"/>
        <v>0.32374083382262742</v>
      </c>
      <c r="AC83" s="1284">
        <f t="shared" si="26"/>
        <v>0.99999999999999989</v>
      </c>
    </row>
    <row r="84" spans="1:29">
      <c r="A84" s="187">
        <f t="shared" si="33"/>
        <v>1984</v>
      </c>
      <c r="B84" s="1657">
        <v>27.759549999999997</v>
      </c>
      <c r="C84" s="528">
        <v>1517.7193465317748</v>
      </c>
      <c r="D84" s="1579">
        <v>0</v>
      </c>
      <c r="E84" s="1580">
        <v>0</v>
      </c>
      <c r="F84" s="186">
        <f t="shared" si="27"/>
        <v>0.71479999999999999</v>
      </c>
      <c r="G84" s="186">
        <f t="shared" si="28"/>
        <v>0.28959999999999997</v>
      </c>
      <c r="H84" s="478">
        <v>0</v>
      </c>
      <c r="I84" s="1294">
        <f t="shared" si="21"/>
        <v>578.73</v>
      </c>
      <c r="J84" s="1295">
        <f t="shared" si="22"/>
        <v>28.161493315089835</v>
      </c>
      <c r="K84" s="1296">
        <f t="shared" si="15"/>
        <v>16065.284371499998</v>
      </c>
      <c r="L84" s="1296">
        <f t="shared" si="23"/>
        <v>42741.24323153709</v>
      </c>
      <c r="M84" s="1297">
        <f t="shared" si="16"/>
        <v>42741.24323153709</v>
      </c>
      <c r="N84" s="1251">
        <f t="shared" si="34"/>
        <v>0.19892488097366726</v>
      </c>
      <c r="O84" s="1251">
        <f t="shared" si="34"/>
        <v>0.26585903447659598</v>
      </c>
      <c r="P84" s="1251">
        <f t="shared" si="34"/>
        <v>8.9228108703258049E-2</v>
      </c>
      <c r="Q84" s="1251">
        <f t="shared" si="34"/>
        <v>0</v>
      </c>
      <c r="R84" s="1251">
        <f t="shared" si="34"/>
        <v>0</v>
      </c>
      <c r="S84" s="1251">
        <f t="shared" si="34"/>
        <v>0</v>
      </c>
      <c r="T84" s="1251">
        <f t="shared" si="34"/>
        <v>0.4459879758464787</v>
      </c>
      <c r="U84" s="1284">
        <f t="shared" si="32"/>
        <v>1</v>
      </c>
      <c r="V84" s="1285">
        <f t="shared" ref="V84:AB99" si="35">V83</f>
        <v>0.29028184578274857</v>
      </c>
      <c r="W84" s="1251">
        <f t="shared" si="35"/>
        <v>0.30317187715157518</v>
      </c>
      <c r="X84" s="1251">
        <f t="shared" si="35"/>
        <v>8.2805443243048754E-2</v>
      </c>
      <c r="Y84" s="1251">
        <f t="shared" si="35"/>
        <v>0</v>
      </c>
      <c r="Z84" s="1251">
        <f t="shared" si="35"/>
        <v>0</v>
      </c>
      <c r="AA84" s="1251">
        <f t="shared" si="35"/>
        <v>0</v>
      </c>
      <c r="AB84" s="1251">
        <f t="shared" si="35"/>
        <v>0.32374083382262742</v>
      </c>
      <c r="AC84" s="1284">
        <f t="shared" si="26"/>
        <v>0.99999999999999989</v>
      </c>
    </row>
    <row r="85" spans="1:29">
      <c r="A85" s="187">
        <f t="shared" si="33"/>
        <v>1985</v>
      </c>
      <c r="B85" s="1657">
        <v>28.490279999999998</v>
      </c>
      <c r="C85" s="528">
        <v>1499.3324237484292</v>
      </c>
      <c r="D85" s="1579">
        <v>0</v>
      </c>
      <c r="E85" s="1580">
        <v>0</v>
      </c>
      <c r="F85" s="186">
        <f t="shared" si="27"/>
        <v>0.71479999999999999</v>
      </c>
      <c r="G85" s="186">
        <f t="shared" si="28"/>
        <v>0.28959999999999997</v>
      </c>
      <c r="H85" s="478">
        <v>0</v>
      </c>
      <c r="I85" s="1294">
        <f t="shared" si="21"/>
        <v>578.73</v>
      </c>
      <c r="J85" s="1295">
        <f t="shared" si="22"/>
        <v>28.161493315089835</v>
      </c>
      <c r="K85" s="1296">
        <f t="shared" si="15"/>
        <v>16488.1797444</v>
      </c>
      <c r="L85" s="1296">
        <f t="shared" si="23"/>
        <v>42223.440028488825</v>
      </c>
      <c r="M85" s="1297">
        <f t="shared" si="16"/>
        <v>42223.440028488825</v>
      </c>
      <c r="N85" s="1251">
        <f t="shared" si="34"/>
        <v>0.19892488097366726</v>
      </c>
      <c r="O85" s="1251">
        <f t="shared" si="34"/>
        <v>0.26585903447659598</v>
      </c>
      <c r="P85" s="1251">
        <f t="shared" si="34"/>
        <v>8.9228108703258049E-2</v>
      </c>
      <c r="Q85" s="1251">
        <f t="shared" si="34"/>
        <v>0</v>
      </c>
      <c r="R85" s="1251">
        <f t="shared" si="34"/>
        <v>0</v>
      </c>
      <c r="S85" s="1251">
        <f t="shared" si="34"/>
        <v>0</v>
      </c>
      <c r="T85" s="1251">
        <f t="shared" si="34"/>
        <v>0.4459879758464787</v>
      </c>
      <c r="U85" s="1284">
        <f t="shared" si="32"/>
        <v>1</v>
      </c>
      <c r="V85" s="1285">
        <f t="shared" si="35"/>
        <v>0.29028184578274857</v>
      </c>
      <c r="W85" s="1251">
        <f t="shared" si="35"/>
        <v>0.30317187715157518</v>
      </c>
      <c r="X85" s="1251">
        <f t="shared" si="35"/>
        <v>8.2805443243048754E-2</v>
      </c>
      <c r="Y85" s="1251">
        <f t="shared" si="35"/>
        <v>0</v>
      </c>
      <c r="Z85" s="1251">
        <f t="shared" si="35"/>
        <v>0</v>
      </c>
      <c r="AA85" s="1251">
        <f t="shared" si="35"/>
        <v>0</v>
      </c>
      <c r="AB85" s="1251">
        <f t="shared" si="35"/>
        <v>0.32374083382262742</v>
      </c>
      <c r="AC85" s="1284">
        <f t="shared" si="26"/>
        <v>0.99999999999999989</v>
      </c>
    </row>
    <row r="86" spans="1:29">
      <c r="A86" s="187">
        <f t="shared" si="33"/>
        <v>1986</v>
      </c>
      <c r="B86" s="1657">
        <v>29.230110000000003</v>
      </c>
      <c r="C86" s="528">
        <v>1499.5998263576867</v>
      </c>
      <c r="D86" s="1579">
        <v>0</v>
      </c>
      <c r="E86" s="1580">
        <v>0</v>
      </c>
      <c r="F86" s="186">
        <f t="shared" si="27"/>
        <v>0.71479999999999999</v>
      </c>
      <c r="G86" s="186">
        <f t="shared" si="28"/>
        <v>0.28959999999999997</v>
      </c>
      <c r="H86" s="478">
        <v>0</v>
      </c>
      <c r="I86" s="1294">
        <f t="shared" si="21"/>
        <v>578.73</v>
      </c>
      <c r="J86" s="1295">
        <f t="shared" si="22"/>
        <v>28.161493315089835</v>
      </c>
      <c r="K86" s="1296">
        <f t="shared" si="15"/>
        <v>16916.341560300003</v>
      </c>
      <c r="L86" s="1296">
        <f t="shared" si="23"/>
        <v>42230.970485281869</v>
      </c>
      <c r="M86" s="1297">
        <f t="shared" si="16"/>
        <v>42230.970485281869</v>
      </c>
      <c r="N86" s="1251">
        <f t="shared" si="34"/>
        <v>0.19892488097366726</v>
      </c>
      <c r="O86" s="1251">
        <f t="shared" si="34"/>
        <v>0.26585903447659598</v>
      </c>
      <c r="P86" s="1251">
        <f t="shared" si="34"/>
        <v>8.9228108703258049E-2</v>
      </c>
      <c r="Q86" s="1251">
        <f t="shared" si="34"/>
        <v>0</v>
      </c>
      <c r="R86" s="1251">
        <f t="shared" si="34"/>
        <v>0</v>
      </c>
      <c r="S86" s="1251">
        <f t="shared" si="34"/>
        <v>0</v>
      </c>
      <c r="T86" s="1251">
        <f t="shared" si="34"/>
        <v>0.4459879758464787</v>
      </c>
      <c r="U86" s="1284">
        <f t="shared" si="32"/>
        <v>1</v>
      </c>
      <c r="V86" s="1285">
        <f t="shared" si="35"/>
        <v>0.29028184578274857</v>
      </c>
      <c r="W86" s="1251">
        <f t="shared" si="35"/>
        <v>0.30317187715157518</v>
      </c>
      <c r="X86" s="1251">
        <f t="shared" si="35"/>
        <v>8.2805443243048754E-2</v>
      </c>
      <c r="Y86" s="1251">
        <f t="shared" si="35"/>
        <v>0</v>
      </c>
      <c r="Z86" s="1251">
        <f t="shared" si="35"/>
        <v>0</v>
      </c>
      <c r="AA86" s="1251">
        <f t="shared" si="35"/>
        <v>0</v>
      </c>
      <c r="AB86" s="1251">
        <f t="shared" si="35"/>
        <v>0.32374083382262742</v>
      </c>
      <c r="AC86" s="1284">
        <f t="shared" si="26"/>
        <v>0.99999999999999989</v>
      </c>
    </row>
    <row r="87" spans="1:29">
      <c r="A87" s="187">
        <f t="shared" si="33"/>
        <v>1987</v>
      </c>
      <c r="B87" s="1657">
        <v>29.96903</v>
      </c>
      <c r="C87" s="528">
        <v>1531.1024480840374</v>
      </c>
      <c r="D87" s="1579">
        <v>0</v>
      </c>
      <c r="E87" s="1580">
        <v>0</v>
      </c>
      <c r="F87" s="186">
        <f t="shared" si="27"/>
        <v>0.71479999999999999</v>
      </c>
      <c r="G87" s="186">
        <f t="shared" si="28"/>
        <v>0.28959999999999997</v>
      </c>
      <c r="H87" s="478">
        <v>0</v>
      </c>
      <c r="I87" s="1294">
        <f t="shared" si="21"/>
        <v>578.73</v>
      </c>
      <c r="J87" s="1295">
        <f t="shared" si="22"/>
        <v>28.161493315089835</v>
      </c>
      <c r="K87" s="1296">
        <f t="shared" si="15"/>
        <v>17343.976731900002</v>
      </c>
      <c r="L87" s="1296">
        <f t="shared" si="23"/>
        <v>43118.131356436301</v>
      </c>
      <c r="M87" s="1297">
        <f t="shared" si="16"/>
        <v>43118.131356436301</v>
      </c>
      <c r="N87" s="1251">
        <f t="shared" si="34"/>
        <v>0.19892488097366726</v>
      </c>
      <c r="O87" s="1251">
        <f t="shared" si="34"/>
        <v>0.26585903447659598</v>
      </c>
      <c r="P87" s="1251">
        <f t="shared" si="34"/>
        <v>8.9228108703258049E-2</v>
      </c>
      <c r="Q87" s="1251">
        <f t="shared" si="34"/>
        <v>0</v>
      </c>
      <c r="R87" s="1251">
        <f t="shared" si="34"/>
        <v>0</v>
      </c>
      <c r="S87" s="1251">
        <f t="shared" si="34"/>
        <v>0</v>
      </c>
      <c r="T87" s="1251">
        <f t="shared" si="34"/>
        <v>0.4459879758464787</v>
      </c>
      <c r="U87" s="1284">
        <f t="shared" si="32"/>
        <v>1</v>
      </c>
      <c r="V87" s="1285">
        <f t="shared" si="35"/>
        <v>0.29028184578274857</v>
      </c>
      <c r="W87" s="1251">
        <f t="shared" si="35"/>
        <v>0.30317187715157518</v>
      </c>
      <c r="X87" s="1251">
        <f t="shared" si="35"/>
        <v>8.2805443243048754E-2</v>
      </c>
      <c r="Y87" s="1251">
        <f t="shared" si="35"/>
        <v>0</v>
      </c>
      <c r="Z87" s="1251">
        <f t="shared" si="35"/>
        <v>0</v>
      </c>
      <c r="AA87" s="1251">
        <f t="shared" si="35"/>
        <v>0</v>
      </c>
      <c r="AB87" s="1251">
        <f t="shared" si="35"/>
        <v>0.32374083382262742</v>
      </c>
      <c r="AC87" s="1284">
        <f t="shared" si="26"/>
        <v>0.99999999999999989</v>
      </c>
    </row>
    <row r="88" spans="1:29">
      <c r="A88" s="187">
        <f t="shared" si="33"/>
        <v>1988</v>
      </c>
      <c r="B88" s="1657">
        <v>30.692480000000003</v>
      </c>
      <c r="C88" s="528">
        <v>1595.4107803645509</v>
      </c>
      <c r="D88" s="1579">
        <v>0</v>
      </c>
      <c r="E88" s="1580">
        <v>0</v>
      </c>
      <c r="F88" s="186">
        <f t="shared" si="27"/>
        <v>0.71479999999999999</v>
      </c>
      <c r="G88" s="186">
        <f t="shared" si="28"/>
        <v>0.28959999999999997</v>
      </c>
      <c r="H88" s="478">
        <v>0</v>
      </c>
      <c r="I88" s="1294">
        <f t="shared" si="21"/>
        <v>578.73</v>
      </c>
      <c r="J88" s="1295">
        <f t="shared" si="22"/>
        <v>28.161493315089835</v>
      </c>
      <c r="K88" s="1296">
        <f t="shared" si="15"/>
        <v>17762.658950400004</v>
      </c>
      <c r="L88" s="1296">
        <f t="shared" si="23"/>
        <v>44929.15002605856</v>
      </c>
      <c r="M88" s="1297">
        <f t="shared" si="16"/>
        <v>44929.15002605856</v>
      </c>
      <c r="N88" s="1251">
        <f t="shared" si="34"/>
        <v>0.19892488097366726</v>
      </c>
      <c r="O88" s="1251">
        <f t="shared" si="34"/>
        <v>0.26585903447659598</v>
      </c>
      <c r="P88" s="1251">
        <f t="shared" si="34"/>
        <v>8.9228108703258049E-2</v>
      </c>
      <c r="Q88" s="1251">
        <f t="shared" si="34"/>
        <v>0</v>
      </c>
      <c r="R88" s="1251">
        <f t="shared" si="34"/>
        <v>0</v>
      </c>
      <c r="S88" s="1251">
        <f t="shared" si="34"/>
        <v>0</v>
      </c>
      <c r="T88" s="1251">
        <f t="shared" si="34"/>
        <v>0.4459879758464787</v>
      </c>
      <c r="U88" s="1284">
        <f t="shared" si="32"/>
        <v>1</v>
      </c>
      <c r="V88" s="1285">
        <f t="shared" si="35"/>
        <v>0.29028184578274857</v>
      </c>
      <c r="W88" s="1251">
        <f t="shared" si="35"/>
        <v>0.30317187715157518</v>
      </c>
      <c r="X88" s="1251">
        <f t="shared" si="35"/>
        <v>8.2805443243048754E-2</v>
      </c>
      <c r="Y88" s="1251">
        <f t="shared" si="35"/>
        <v>0</v>
      </c>
      <c r="Z88" s="1251">
        <f t="shared" si="35"/>
        <v>0</v>
      </c>
      <c r="AA88" s="1251">
        <f t="shared" si="35"/>
        <v>0</v>
      </c>
      <c r="AB88" s="1251">
        <f t="shared" si="35"/>
        <v>0.32374083382262742</v>
      </c>
      <c r="AC88" s="1284">
        <f t="shared" si="26"/>
        <v>0.99999999999999989</v>
      </c>
    </row>
    <row r="89" spans="1:29">
      <c r="A89" s="187">
        <f t="shared" si="33"/>
        <v>1989</v>
      </c>
      <c r="B89" s="1657">
        <v>31.386810000000001</v>
      </c>
      <c r="C89" s="528">
        <v>1633.6174250036995</v>
      </c>
      <c r="D89" s="1579">
        <v>0</v>
      </c>
      <c r="E89" s="1580">
        <v>0</v>
      </c>
      <c r="F89" s="186">
        <f t="shared" si="27"/>
        <v>0.71479999999999999</v>
      </c>
      <c r="G89" s="186">
        <f t="shared" si="28"/>
        <v>0.28959999999999997</v>
      </c>
      <c r="H89" s="478">
        <v>0</v>
      </c>
      <c r="I89" s="1294">
        <f t="shared" si="21"/>
        <v>578.73</v>
      </c>
      <c r="J89" s="1295">
        <f t="shared" si="22"/>
        <v>28.161493315089835</v>
      </c>
      <c r="K89" s="1296">
        <f t="shared" si="15"/>
        <v>18164.488551300001</v>
      </c>
      <c r="L89" s="1296">
        <f t="shared" si="23"/>
        <v>46005.106193655956</v>
      </c>
      <c r="M89" s="1297">
        <f t="shared" si="16"/>
        <v>46005.106193655956</v>
      </c>
      <c r="N89" s="1251">
        <f t="shared" si="34"/>
        <v>0.19892488097366726</v>
      </c>
      <c r="O89" s="1251">
        <f t="shared" si="34"/>
        <v>0.26585903447659598</v>
      </c>
      <c r="P89" s="1251">
        <f t="shared" si="34"/>
        <v>8.9228108703258049E-2</v>
      </c>
      <c r="Q89" s="1251">
        <f t="shared" si="34"/>
        <v>0</v>
      </c>
      <c r="R89" s="1251">
        <f t="shared" si="34"/>
        <v>0</v>
      </c>
      <c r="S89" s="1251">
        <f t="shared" si="34"/>
        <v>0</v>
      </c>
      <c r="T89" s="1251">
        <f t="shared" si="34"/>
        <v>0.4459879758464787</v>
      </c>
      <c r="U89" s="1284">
        <f t="shared" si="32"/>
        <v>1</v>
      </c>
      <c r="V89" s="1285">
        <f t="shared" si="35"/>
        <v>0.29028184578274857</v>
      </c>
      <c r="W89" s="1251">
        <f t="shared" si="35"/>
        <v>0.30317187715157518</v>
      </c>
      <c r="X89" s="1251">
        <f t="shared" si="35"/>
        <v>8.2805443243048754E-2</v>
      </c>
      <c r="Y89" s="1251">
        <f t="shared" si="35"/>
        <v>0</v>
      </c>
      <c r="Z89" s="1251">
        <f t="shared" si="35"/>
        <v>0</v>
      </c>
      <c r="AA89" s="1251">
        <f t="shared" si="35"/>
        <v>0</v>
      </c>
      <c r="AB89" s="1251">
        <f t="shared" si="35"/>
        <v>0.32374083382262742</v>
      </c>
      <c r="AC89" s="1284">
        <f t="shared" si="26"/>
        <v>0.99999999999999989</v>
      </c>
    </row>
    <row r="90" spans="1:29">
      <c r="A90" s="187">
        <f t="shared" si="33"/>
        <v>1990</v>
      </c>
      <c r="B90" s="1657">
        <v>32.032000000000004</v>
      </c>
      <c r="C90" s="528">
        <v>1628.4260228263977</v>
      </c>
      <c r="D90" s="1579">
        <v>0</v>
      </c>
      <c r="E90" s="1580">
        <v>0</v>
      </c>
      <c r="F90" s="186">
        <f t="shared" si="27"/>
        <v>0.71479999999999999</v>
      </c>
      <c r="G90" s="186">
        <f t="shared" si="28"/>
        <v>0.28959999999999997</v>
      </c>
      <c r="H90" s="478">
        <v>0</v>
      </c>
      <c r="I90" s="1294">
        <f t="shared" si="21"/>
        <v>578.73</v>
      </c>
      <c r="J90" s="1295">
        <f t="shared" si="22"/>
        <v>28.161493315089835</v>
      </c>
      <c r="K90" s="1296">
        <f t="shared" si="15"/>
        <v>18537.879360000003</v>
      </c>
      <c r="L90" s="1296">
        <f t="shared" si="23"/>
        <v>45858.908555943926</v>
      </c>
      <c r="M90" s="1297">
        <f t="shared" si="16"/>
        <v>45858.908555943926</v>
      </c>
      <c r="N90" s="1251">
        <f t="shared" si="34"/>
        <v>0.19892488097366726</v>
      </c>
      <c r="O90" s="1251">
        <f t="shared" si="34"/>
        <v>0.26585903447659598</v>
      </c>
      <c r="P90" s="1251">
        <f t="shared" si="34"/>
        <v>8.9228108703258049E-2</v>
      </c>
      <c r="Q90" s="1251">
        <f t="shared" si="34"/>
        <v>0</v>
      </c>
      <c r="R90" s="1251">
        <f t="shared" si="34"/>
        <v>0</v>
      </c>
      <c r="S90" s="1251">
        <f t="shared" si="34"/>
        <v>0</v>
      </c>
      <c r="T90" s="1251">
        <f t="shared" si="34"/>
        <v>0.4459879758464787</v>
      </c>
      <c r="U90" s="1284">
        <f t="shared" si="32"/>
        <v>1</v>
      </c>
      <c r="V90" s="1285">
        <f t="shared" si="35"/>
        <v>0.29028184578274857</v>
      </c>
      <c r="W90" s="1251">
        <f t="shared" si="35"/>
        <v>0.30317187715157518</v>
      </c>
      <c r="X90" s="1251">
        <f t="shared" si="35"/>
        <v>8.2805443243048754E-2</v>
      </c>
      <c r="Y90" s="1251">
        <f t="shared" si="35"/>
        <v>0</v>
      </c>
      <c r="Z90" s="1251">
        <f t="shared" si="35"/>
        <v>0</v>
      </c>
      <c r="AA90" s="1251">
        <f t="shared" si="35"/>
        <v>0</v>
      </c>
      <c r="AB90" s="1251">
        <f t="shared" si="35"/>
        <v>0.32374083382262742</v>
      </c>
      <c r="AC90" s="1284">
        <f t="shared" si="26"/>
        <v>0.99999999999999989</v>
      </c>
    </row>
    <row r="91" spans="1:29">
      <c r="A91" s="187">
        <f t="shared" si="33"/>
        <v>1991</v>
      </c>
      <c r="B91" s="1657">
        <v>32.69903</v>
      </c>
      <c r="C91" s="528">
        <v>1611.8450654448757</v>
      </c>
      <c r="D91" s="1579">
        <v>0</v>
      </c>
      <c r="E91" s="1580">
        <v>0</v>
      </c>
      <c r="F91" s="186">
        <f t="shared" si="27"/>
        <v>0.71479999999999999</v>
      </c>
      <c r="G91" s="186">
        <f t="shared" si="28"/>
        <v>0.28959999999999997</v>
      </c>
      <c r="H91" s="478">
        <v>0</v>
      </c>
      <c r="I91" s="1294">
        <f t="shared" si="21"/>
        <v>578.73</v>
      </c>
      <c r="J91" s="1295">
        <f t="shared" si="22"/>
        <v>28.161493315089835</v>
      </c>
      <c r="K91" s="1296">
        <f t="shared" si="15"/>
        <v>18923.909631900002</v>
      </c>
      <c r="L91" s="1296">
        <f t="shared" si="23"/>
        <v>45391.964035486402</v>
      </c>
      <c r="M91" s="1297">
        <f t="shared" si="16"/>
        <v>45391.964035486402</v>
      </c>
      <c r="N91" s="1251">
        <f t="shared" si="34"/>
        <v>0.19892488097366726</v>
      </c>
      <c r="O91" s="1251">
        <f t="shared" si="34"/>
        <v>0.26585903447659598</v>
      </c>
      <c r="P91" s="1251">
        <f t="shared" si="34"/>
        <v>8.9228108703258049E-2</v>
      </c>
      <c r="Q91" s="1251">
        <f t="shared" si="34"/>
        <v>0</v>
      </c>
      <c r="R91" s="1251">
        <f t="shared" si="34"/>
        <v>0</v>
      </c>
      <c r="S91" s="1251">
        <f t="shared" si="34"/>
        <v>0</v>
      </c>
      <c r="T91" s="1251">
        <f t="shared" si="34"/>
        <v>0.4459879758464787</v>
      </c>
      <c r="U91" s="1284">
        <f t="shared" si="32"/>
        <v>1</v>
      </c>
      <c r="V91" s="1285">
        <f t="shared" si="35"/>
        <v>0.29028184578274857</v>
      </c>
      <c r="W91" s="1251">
        <f t="shared" si="35"/>
        <v>0.30317187715157518</v>
      </c>
      <c r="X91" s="1251">
        <f t="shared" si="35"/>
        <v>8.2805443243048754E-2</v>
      </c>
      <c r="Y91" s="1251">
        <f t="shared" si="35"/>
        <v>0</v>
      </c>
      <c r="Z91" s="1251">
        <f t="shared" si="35"/>
        <v>0</v>
      </c>
      <c r="AA91" s="1251">
        <f t="shared" si="35"/>
        <v>0</v>
      </c>
      <c r="AB91" s="1251">
        <f t="shared" si="35"/>
        <v>0.32374083382262742</v>
      </c>
      <c r="AC91" s="1284">
        <f t="shared" si="26"/>
        <v>0.99999999999999989</v>
      </c>
    </row>
    <row r="92" spans="1:29">
      <c r="A92" s="187">
        <f t="shared" si="33"/>
        <v>1992</v>
      </c>
      <c r="B92" s="1657">
        <v>33.388809999999999</v>
      </c>
      <c r="C92" s="528">
        <v>1577.3990194337794</v>
      </c>
      <c r="D92" s="1579">
        <v>0</v>
      </c>
      <c r="E92" s="1580">
        <v>0</v>
      </c>
      <c r="F92" s="186">
        <f t="shared" si="27"/>
        <v>0.71479999999999999</v>
      </c>
      <c r="G92" s="186">
        <f t="shared" si="28"/>
        <v>0.28959999999999997</v>
      </c>
      <c r="H92" s="478">
        <v>0</v>
      </c>
      <c r="I92" s="1294">
        <f t="shared" si="21"/>
        <v>578.73</v>
      </c>
      <c r="J92" s="1295">
        <f t="shared" si="22"/>
        <v>28.161493315089835</v>
      </c>
      <c r="K92" s="1296">
        <f t="shared" si="15"/>
        <v>19323.106011299998</v>
      </c>
      <c r="L92" s="1296">
        <f t="shared" si="23"/>
        <v>44421.911941013641</v>
      </c>
      <c r="M92" s="1297">
        <f t="shared" si="16"/>
        <v>44421.911941013641</v>
      </c>
      <c r="N92" s="1251">
        <f t="shared" si="34"/>
        <v>0.19892488097366726</v>
      </c>
      <c r="O92" s="1251">
        <f t="shared" si="34"/>
        <v>0.26585903447659598</v>
      </c>
      <c r="P92" s="1251">
        <f t="shared" si="34"/>
        <v>8.9228108703258049E-2</v>
      </c>
      <c r="Q92" s="1251">
        <f t="shared" si="34"/>
        <v>0</v>
      </c>
      <c r="R92" s="1251">
        <f t="shared" si="34"/>
        <v>0</v>
      </c>
      <c r="S92" s="1251">
        <f t="shared" si="34"/>
        <v>0</v>
      </c>
      <c r="T92" s="1251">
        <f t="shared" si="34"/>
        <v>0.4459879758464787</v>
      </c>
      <c r="U92" s="1284">
        <f t="shared" si="32"/>
        <v>1</v>
      </c>
      <c r="V92" s="1285">
        <f t="shared" si="35"/>
        <v>0.29028184578274857</v>
      </c>
      <c r="W92" s="1251">
        <f t="shared" si="35"/>
        <v>0.30317187715157518</v>
      </c>
      <c r="X92" s="1251">
        <f t="shared" si="35"/>
        <v>8.2805443243048754E-2</v>
      </c>
      <c r="Y92" s="1251">
        <f t="shared" si="35"/>
        <v>0</v>
      </c>
      <c r="Z92" s="1251">
        <f t="shared" si="35"/>
        <v>0</v>
      </c>
      <c r="AA92" s="1251">
        <f t="shared" si="35"/>
        <v>0</v>
      </c>
      <c r="AB92" s="1251">
        <f t="shared" si="35"/>
        <v>0.32374083382262742</v>
      </c>
      <c r="AC92" s="1284">
        <f t="shared" si="26"/>
        <v>0.99999999999999989</v>
      </c>
    </row>
    <row r="93" spans="1:29">
      <c r="A93" s="187">
        <f t="shared" si="33"/>
        <v>1993</v>
      </c>
      <c r="B93" s="1657">
        <v>34.101339999999993</v>
      </c>
      <c r="C93" s="528">
        <v>1596.8565504459618</v>
      </c>
      <c r="D93" s="1579">
        <v>0</v>
      </c>
      <c r="E93" s="1580">
        <v>0</v>
      </c>
      <c r="F93" s="186">
        <f t="shared" si="27"/>
        <v>0.71479999999999999</v>
      </c>
      <c r="G93" s="186">
        <f t="shared" si="28"/>
        <v>0.28959999999999997</v>
      </c>
      <c r="H93" s="478">
        <v>0</v>
      </c>
      <c r="I93" s="1294">
        <f t="shared" si="21"/>
        <v>578.73</v>
      </c>
      <c r="J93" s="1295">
        <f t="shared" si="22"/>
        <v>28.161493315089835</v>
      </c>
      <c r="K93" s="1296">
        <f t="shared" si="15"/>
        <v>19735.468498199996</v>
      </c>
      <c r="L93" s="1296">
        <f t="shared" si="23"/>
        <v>44969.865070541367</v>
      </c>
      <c r="M93" s="1297">
        <f t="shared" si="16"/>
        <v>44969.865070541367</v>
      </c>
      <c r="N93" s="1251">
        <f t="shared" si="34"/>
        <v>0.19892488097366726</v>
      </c>
      <c r="O93" s="1251">
        <f t="shared" si="34"/>
        <v>0.26585903447659598</v>
      </c>
      <c r="P93" s="1251">
        <f t="shared" si="34"/>
        <v>8.9228108703258049E-2</v>
      </c>
      <c r="Q93" s="1251">
        <f t="shared" si="34"/>
        <v>0</v>
      </c>
      <c r="R93" s="1251">
        <f t="shared" si="34"/>
        <v>0</v>
      </c>
      <c r="S93" s="1251">
        <f t="shared" si="34"/>
        <v>0</v>
      </c>
      <c r="T93" s="1251">
        <f t="shared" si="34"/>
        <v>0.4459879758464787</v>
      </c>
      <c r="U93" s="1284">
        <f t="shared" si="32"/>
        <v>1</v>
      </c>
      <c r="V93" s="1285">
        <f t="shared" si="35"/>
        <v>0.29028184578274857</v>
      </c>
      <c r="W93" s="1251">
        <f t="shared" si="35"/>
        <v>0.30317187715157518</v>
      </c>
      <c r="X93" s="1251">
        <f t="shared" si="35"/>
        <v>8.2805443243048754E-2</v>
      </c>
      <c r="Y93" s="1251">
        <f t="shared" si="35"/>
        <v>0</v>
      </c>
      <c r="Z93" s="1251">
        <f t="shared" si="35"/>
        <v>0</v>
      </c>
      <c r="AA93" s="1251">
        <f t="shared" si="35"/>
        <v>0</v>
      </c>
      <c r="AB93" s="1251">
        <f t="shared" si="35"/>
        <v>0.32374083382262742</v>
      </c>
      <c r="AC93" s="1284">
        <f t="shared" si="26"/>
        <v>0.99999999999999989</v>
      </c>
    </row>
    <row r="94" spans="1:29">
      <c r="A94" s="187">
        <f t="shared" si="33"/>
        <v>1994</v>
      </c>
      <c r="B94" s="1657">
        <v>34.837530000000001</v>
      </c>
      <c r="C94" s="528">
        <v>1647.9559768112579</v>
      </c>
      <c r="D94" s="1579">
        <v>0</v>
      </c>
      <c r="E94" s="1580">
        <v>0</v>
      </c>
      <c r="F94" s="186">
        <f t="shared" si="27"/>
        <v>0.71479999999999999</v>
      </c>
      <c r="G94" s="186">
        <f t="shared" si="28"/>
        <v>0.28959999999999997</v>
      </c>
      <c r="H94" s="478">
        <v>0</v>
      </c>
      <c r="I94" s="1294">
        <f t="shared" si="21"/>
        <v>578.73</v>
      </c>
      <c r="J94" s="1295">
        <f t="shared" si="22"/>
        <v>28.161493315089835</v>
      </c>
      <c r="K94" s="1296">
        <f t="shared" si="15"/>
        <v>20161.523736900002</v>
      </c>
      <c r="L94" s="1296">
        <f t="shared" si="23"/>
        <v>46408.901224532579</v>
      </c>
      <c r="M94" s="1297">
        <f t="shared" si="16"/>
        <v>46408.901224532579</v>
      </c>
      <c r="N94" s="1251">
        <f t="shared" si="34"/>
        <v>0.19892488097366726</v>
      </c>
      <c r="O94" s="1251">
        <f t="shared" si="34"/>
        <v>0.26585903447659598</v>
      </c>
      <c r="P94" s="1251">
        <f t="shared" si="34"/>
        <v>8.9228108703258049E-2</v>
      </c>
      <c r="Q94" s="1251">
        <f t="shared" si="34"/>
        <v>0</v>
      </c>
      <c r="R94" s="1251">
        <f t="shared" si="34"/>
        <v>0</v>
      </c>
      <c r="S94" s="1251">
        <f t="shared" si="34"/>
        <v>0</v>
      </c>
      <c r="T94" s="1251">
        <f t="shared" si="34"/>
        <v>0.4459879758464787</v>
      </c>
      <c r="U94" s="1284">
        <f t="shared" si="32"/>
        <v>1</v>
      </c>
      <c r="V94" s="1285">
        <f t="shared" si="35"/>
        <v>0.29028184578274857</v>
      </c>
      <c r="W94" s="1251">
        <f t="shared" si="35"/>
        <v>0.30317187715157518</v>
      </c>
      <c r="X94" s="1251">
        <f t="shared" si="35"/>
        <v>8.2805443243048754E-2</v>
      </c>
      <c r="Y94" s="1251">
        <f t="shared" si="35"/>
        <v>0</v>
      </c>
      <c r="Z94" s="1251">
        <f t="shared" si="35"/>
        <v>0</v>
      </c>
      <c r="AA94" s="1251">
        <f t="shared" si="35"/>
        <v>0</v>
      </c>
      <c r="AB94" s="1251">
        <f t="shared" si="35"/>
        <v>0.32374083382262742</v>
      </c>
      <c r="AC94" s="1284">
        <f t="shared" si="26"/>
        <v>0.99999999999999989</v>
      </c>
    </row>
    <row r="95" spans="1:29">
      <c r="A95" s="187">
        <f t="shared" si="33"/>
        <v>1995</v>
      </c>
      <c r="B95" s="1657">
        <v>35.599199999999996</v>
      </c>
      <c r="C95" s="528">
        <v>1699.0425365830638</v>
      </c>
      <c r="D95" s="1579">
        <v>0</v>
      </c>
      <c r="E95" s="1580">
        <v>0</v>
      </c>
      <c r="F95" s="186">
        <f t="shared" si="27"/>
        <v>0.71479999999999999</v>
      </c>
      <c r="G95" s="186">
        <f t="shared" si="28"/>
        <v>0.28959999999999997</v>
      </c>
      <c r="H95" s="478">
        <v>0</v>
      </c>
      <c r="I95" s="1294">
        <f t="shared" si="21"/>
        <v>578.73</v>
      </c>
      <c r="J95" s="1295">
        <f t="shared" si="22"/>
        <v>28.161493315089835</v>
      </c>
      <c r="K95" s="1296">
        <f t="shared" si="15"/>
        <v>20602.325015999999</v>
      </c>
      <c r="L95" s="1296">
        <f t="shared" si="23"/>
        <v>47847.575036037226</v>
      </c>
      <c r="M95" s="1297">
        <f t="shared" si="16"/>
        <v>47847.575036037226</v>
      </c>
      <c r="N95" s="1251">
        <f t="shared" si="34"/>
        <v>0.19892488097366726</v>
      </c>
      <c r="O95" s="1251">
        <f t="shared" si="34"/>
        <v>0.26585903447659598</v>
      </c>
      <c r="P95" s="1251">
        <f t="shared" si="34"/>
        <v>8.9228108703258049E-2</v>
      </c>
      <c r="Q95" s="1251">
        <f t="shared" si="34"/>
        <v>0</v>
      </c>
      <c r="R95" s="1251">
        <f t="shared" si="34"/>
        <v>0</v>
      </c>
      <c r="S95" s="1251">
        <f t="shared" si="34"/>
        <v>0</v>
      </c>
      <c r="T95" s="1251">
        <f t="shared" si="34"/>
        <v>0.4459879758464787</v>
      </c>
      <c r="U95" s="1284">
        <f t="shared" si="32"/>
        <v>1</v>
      </c>
      <c r="V95" s="1285">
        <f t="shared" si="35"/>
        <v>0.29028184578274857</v>
      </c>
      <c r="W95" s="1251">
        <f t="shared" si="35"/>
        <v>0.30317187715157518</v>
      </c>
      <c r="X95" s="1251">
        <f t="shared" si="35"/>
        <v>8.2805443243048754E-2</v>
      </c>
      <c r="Y95" s="1251">
        <f t="shared" si="35"/>
        <v>0</v>
      </c>
      <c r="Z95" s="1251">
        <f t="shared" si="35"/>
        <v>0</v>
      </c>
      <c r="AA95" s="1251">
        <f t="shared" si="35"/>
        <v>0</v>
      </c>
      <c r="AB95" s="1251">
        <f t="shared" si="35"/>
        <v>0.32374083382262742</v>
      </c>
      <c r="AC95" s="1284">
        <f t="shared" si="26"/>
        <v>0.99999999999999989</v>
      </c>
    </row>
    <row r="96" spans="1:29">
      <c r="A96" s="187">
        <f t="shared" si="33"/>
        <v>1996</v>
      </c>
      <c r="B96" s="1657">
        <v>36.4</v>
      </c>
      <c r="C96" s="528">
        <v>1772.1013480030836</v>
      </c>
      <c r="D96" s="1579">
        <v>0</v>
      </c>
      <c r="E96" s="1580">
        <v>0</v>
      </c>
      <c r="F96" s="186">
        <f t="shared" si="27"/>
        <v>0.71479999999999999</v>
      </c>
      <c r="G96" s="186">
        <f t="shared" si="28"/>
        <v>0.28959999999999997</v>
      </c>
      <c r="H96" s="478">
        <v>0</v>
      </c>
      <c r="I96" s="1294">
        <f t="shared" si="21"/>
        <v>578.73</v>
      </c>
      <c r="J96" s="1295">
        <f t="shared" si="22"/>
        <v>28.161493315089835</v>
      </c>
      <c r="K96" s="1296">
        <f t="shared" si="15"/>
        <v>21065.772000000001</v>
      </c>
      <c r="L96" s="1296">
        <f t="shared" si="23"/>
        <v>49905.020265450526</v>
      </c>
      <c r="M96" s="1297">
        <f t="shared" si="16"/>
        <v>49905.020265450526</v>
      </c>
      <c r="N96" s="1251">
        <f t="shared" si="34"/>
        <v>0.19892488097366726</v>
      </c>
      <c r="O96" s="1251">
        <f t="shared" si="34"/>
        <v>0.26585903447659598</v>
      </c>
      <c r="P96" s="1251">
        <f t="shared" si="34"/>
        <v>8.9228108703258049E-2</v>
      </c>
      <c r="Q96" s="1251">
        <f t="shared" si="34"/>
        <v>0</v>
      </c>
      <c r="R96" s="1251">
        <f t="shared" si="34"/>
        <v>0</v>
      </c>
      <c r="S96" s="1251">
        <f t="shared" si="34"/>
        <v>0</v>
      </c>
      <c r="T96" s="1251">
        <f t="shared" si="34"/>
        <v>0.4459879758464787</v>
      </c>
      <c r="U96" s="1284">
        <f t="shared" si="32"/>
        <v>1</v>
      </c>
      <c r="V96" s="1285">
        <f t="shared" si="35"/>
        <v>0.29028184578274857</v>
      </c>
      <c r="W96" s="1251">
        <f t="shared" si="35"/>
        <v>0.30317187715157518</v>
      </c>
      <c r="X96" s="1251">
        <f t="shared" si="35"/>
        <v>8.2805443243048754E-2</v>
      </c>
      <c r="Y96" s="1251">
        <f t="shared" si="35"/>
        <v>0</v>
      </c>
      <c r="Z96" s="1251">
        <f t="shared" si="35"/>
        <v>0</v>
      </c>
      <c r="AA96" s="1251">
        <f t="shared" si="35"/>
        <v>0</v>
      </c>
      <c r="AB96" s="1251">
        <f t="shared" si="35"/>
        <v>0.32374083382262742</v>
      </c>
      <c r="AC96" s="1284">
        <f t="shared" si="26"/>
        <v>0.99999999999999989</v>
      </c>
    </row>
    <row r="97" spans="1:29">
      <c r="A97" s="187">
        <f t="shared" si="33"/>
        <v>1997</v>
      </c>
      <c r="B97" s="1657">
        <v>37.242660000000001</v>
      </c>
      <c r="C97" s="528">
        <v>1818.1760205488283</v>
      </c>
      <c r="D97" s="1579">
        <v>0</v>
      </c>
      <c r="E97" s="1580">
        <v>0</v>
      </c>
      <c r="F97" s="186">
        <f t="shared" si="27"/>
        <v>0.71479999999999999</v>
      </c>
      <c r="G97" s="186">
        <f t="shared" si="28"/>
        <v>0.28959999999999997</v>
      </c>
      <c r="H97" s="478">
        <v>0</v>
      </c>
      <c r="I97" s="1294">
        <f t="shared" si="21"/>
        <v>578.73</v>
      </c>
      <c r="J97" s="1295">
        <f t="shared" si="22"/>
        <v>28.161493315089835</v>
      </c>
      <c r="K97" s="1296">
        <f t="shared" si="15"/>
        <v>21553.444621800001</v>
      </c>
      <c r="L97" s="1296">
        <f t="shared" si="23"/>
        <v>51202.551848342468</v>
      </c>
      <c r="M97" s="1297">
        <f t="shared" si="16"/>
        <v>51202.551848342468</v>
      </c>
      <c r="N97" s="1251">
        <f t="shared" si="34"/>
        <v>0.19892488097366726</v>
      </c>
      <c r="O97" s="1251">
        <f t="shared" si="34"/>
        <v>0.26585903447659598</v>
      </c>
      <c r="P97" s="1251">
        <f t="shared" si="34"/>
        <v>8.9228108703258049E-2</v>
      </c>
      <c r="Q97" s="1251">
        <f t="shared" si="34"/>
        <v>0</v>
      </c>
      <c r="R97" s="1251">
        <f t="shared" si="34"/>
        <v>0</v>
      </c>
      <c r="S97" s="1251">
        <f t="shared" si="34"/>
        <v>0</v>
      </c>
      <c r="T97" s="1251">
        <f t="shared" si="34"/>
        <v>0.4459879758464787</v>
      </c>
      <c r="U97" s="1284">
        <f t="shared" si="32"/>
        <v>1</v>
      </c>
      <c r="V97" s="1285">
        <f t="shared" si="35"/>
        <v>0.29028184578274857</v>
      </c>
      <c r="W97" s="1251">
        <f t="shared" si="35"/>
        <v>0.30317187715157518</v>
      </c>
      <c r="X97" s="1251">
        <f t="shared" si="35"/>
        <v>8.2805443243048754E-2</v>
      </c>
      <c r="Y97" s="1251">
        <f t="shared" si="35"/>
        <v>0</v>
      </c>
      <c r="Z97" s="1251">
        <f t="shared" si="35"/>
        <v>0</v>
      </c>
      <c r="AA97" s="1251">
        <f t="shared" si="35"/>
        <v>0</v>
      </c>
      <c r="AB97" s="1251">
        <f t="shared" si="35"/>
        <v>0.32374083382262742</v>
      </c>
      <c r="AC97" s="1284">
        <f t="shared" si="26"/>
        <v>0.99999999999999989</v>
      </c>
    </row>
    <row r="98" spans="1:29">
      <c r="A98" s="187">
        <f t="shared" si="33"/>
        <v>1998</v>
      </c>
      <c r="B98" s="1657">
        <v>38.128999999999998</v>
      </c>
      <c r="C98" s="528">
        <v>1827.2669171060654</v>
      </c>
      <c r="D98" s="1579">
        <v>0</v>
      </c>
      <c r="E98" s="1580">
        <v>0</v>
      </c>
      <c r="F98" s="186">
        <f t="shared" si="27"/>
        <v>0.71479999999999999</v>
      </c>
      <c r="G98" s="186">
        <f t="shared" si="28"/>
        <v>0.28959999999999997</v>
      </c>
      <c r="H98" s="478">
        <v>0</v>
      </c>
      <c r="I98" s="1294">
        <f t="shared" si="21"/>
        <v>578.73</v>
      </c>
      <c r="J98" s="1295">
        <f t="shared" si="22"/>
        <v>28.161493315089835</v>
      </c>
      <c r="K98" s="1296">
        <f t="shared" si="15"/>
        <v>22066.39617</v>
      </c>
      <c r="L98" s="1296">
        <f t="shared" si="23"/>
        <v>51458.56507096727</v>
      </c>
      <c r="M98" s="1297">
        <f t="shared" si="16"/>
        <v>51458.56507096727</v>
      </c>
      <c r="N98" s="1251">
        <f t="shared" si="34"/>
        <v>0.19892488097366726</v>
      </c>
      <c r="O98" s="1251">
        <f t="shared" si="34"/>
        <v>0.26585903447659598</v>
      </c>
      <c r="P98" s="1251">
        <f t="shared" si="34"/>
        <v>8.9228108703258049E-2</v>
      </c>
      <c r="Q98" s="1251">
        <f t="shared" si="34"/>
        <v>0</v>
      </c>
      <c r="R98" s="1251">
        <f t="shared" si="34"/>
        <v>0</v>
      </c>
      <c r="S98" s="1251">
        <f t="shared" si="34"/>
        <v>0</v>
      </c>
      <c r="T98" s="1251">
        <f t="shared" si="34"/>
        <v>0.4459879758464787</v>
      </c>
      <c r="U98" s="1284">
        <f t="shared" si="32"/>
        <v>1</v>
      </c>
      <c r="V98" s="1285">
        <f t="shared" si="35"/>
        <v>0.29028184578274857</v>
      </c>
      <c r="W98" s="1251">
        <f t="shared" si="35"/>
        <v>0.30317187715157518</v>
      </c>
      <c r="X98" s="1251">
        <f t="shared" si="35"/>
        <v>8.2805443243048754E-2</v>
      </c>
      <c r="Y98" s="1251">
        <f t="shared" si="35"/>
        <v>0</v>
      </c>
      <c r="Z98" s="1251">
        <f t="shared" si="35"/>
        <v>0</v>
      </c>
      <c r="AA98" s="1251">
        <f t="shared" si="35"/>
        <v>0</v>
      </c>
      <c r="AB98" s="1251">
        <f t="shared" si="35"/>
        <v>0.32374083382262742</v>
      </c>
      <c r="AC98" s="1284">
        <f t="shared" si="26"/>
        <v>0.99999999999999989</v>
      </c>
    </row>
    <row r="99" spans="1:29" ht="13.9" customHeight="1" thickBot="1">
      <c r="A99" s="187">
        <f t="shared" si="33"/>
        <v>1999</v>
      </c>
      <c r="B99" s="1657">
        <v>39.059930000000001</v>
      </c>
      <c r="C99" s="528">
        <v>1871.1212545027383</v>
      </c>
      <c r="D99" s="1579">
        <v>0</v>
      </c>
      <c r="E99" s="1580">
        <v>0</v>
      </c>
      <c r="F99" s="186">
        <f t="shared" si="27"/>
        <v>0.71479999999999999</v>
      </c>
      <c r="G99" s="186">
        <f t="shared" si="28"/>
        <v>0.28959999999999997</v>
      </c>
      <c r="H99" s="478">
        <v>0</v>
      </c>
      <c r="I99" s="1294">
        <f t="shared" si="21"/>
        <v>578.73</v>
      </c>
      <c r="J99" s="1295">
        <f t="shared" si="22"/>
        <v>28.161493315089835</v>
      </c>
      <c r="K99" s="1296">
        <f t="shared" si="15"/>
        <v>22605.153288900001</v>
      </c>
      <c r="L99" s="1296">
        <f t="shared" si="23"/>
        <v>52693.568700401374</v>
      </c>
      <c r="M99" s="1297">
        <f t="shared" si="16"/>
        <v>52693.568700401374</v>
      </c>
      <c r="N99" s="1251">
        <f t="shared" ref="N99:T114" si="36">N98</f>
        <v>0.19892488097366726</v>
      </c>
      <c r="O99" s="1251">
        <f t="shared" si="36"/>
        <v>0.26585903447659598</v>
      </c>
      <c r="P99" s="1251">
        <f t="shared" si="36"/>
        <v>8.9228108703258049E-2</v>
      </c>
      <c r="Q99" s="1251">
        <f t="shared" si="36"/>
        <v>0</v>
      </c>
      <c r="R99" s="1251">
        <f t="shared" si="36"/>
        <v>0</v>
      </c>
      <c r="S99" s="1251">
        <f t="shared" si="36"/>
        <v>0</v>
      </c>
      <c r="T99" s="1251">
        <f t="shared" si="36"/>
        <v>0.4459879758464787</v>
      </c>
      <c r="U99" s="1284">
        <f t="shared" si="32"/>
        <v>1</v>
      </c>
      <c r="V99" s="1285">
        <f t="shared" si="35"/>
        <v>0.29028184578274857</v>
      </c>
      <c r="W99" s="1251">
        <f t="shared" si="35"/>
        <v>0.30317187715157518</v>
      </c>
      <c r="X99" s="1251">
        <f t="shared" si="35"/>
        <v>8.2805443243048754E-2</v>
      </c>
      <c r="Y99" s="1251">
        <f t="shared" si="35"/>
        <v>0</v>
      </c>
      <c r="Z99" s="1251">
        <f t="shared" si="35"/>
        <v>0</v>
      </c>
      <c r="AA99" s="1251">
        <f t="shared" si="35"/>
        <v>0</v>
      </c>
      <c r="AB99" s="1251">
        <f t="shared" si="35"/>
        <v>0.32374083382262742</v>
      </c>
      <c r="AC99" s="1284">
        <f t="shared" si="26"/>
        <v>0.99999999999999989</v>
      </c>
    </row>
    <row r="100" spans="1:29">
      <c r="A100" s="1668">
        <f t="shared" si="33"/>
        <v>2000</v>
      </c>
      <c r="B100" s="1669">
        <v>44</v>
      </c>
      <c r="C100" s="1670">
        <v>1949.7084122320282</v>
      </c>
      <c r="D100" s="1671">
        <v>0</v>
      </c>
      <c r="E100" s="1672">
        <f>D100</f>
        <v>0</v>
      </c>
      <c r="F100" s="1673">
        <f t="shared" si="27"/>
        <v>0.71479999999999999</v>
      </c>
      <c r="G100" s="1673">
        <f t="shared" si="28"/>
        <v>0.28959999999999997</v>
      </c>
      <c r="H100" s="1674">
        <v>501</v>
      </c>
      <c r="I100" s="1675">
        <f t="shared" si="21"/>
        <v>578.73</v>
      </c>
      <c r="J100" s="1676">
        <f t="shared" si="22"/>
        <v>28.161493315089835</v>
      </c>
      <c r="K100" s="1677">
        <f t="shared" si="15"/>
        <v>25464.120000000003</v>
      </c>
      <c r="L100" s="1677">
        <f>C100*J100*1000/1000</f>
        <v>54906.700417446678</v>
      </c>
      <c r="M100" s="1678">
        <f t="shared" si="16"/>
        <v>54906.700417446678</v>
      </c>
      <c r="N100" s="1673">
        <f t="shared" si="36"/>
        <v>0.19892488097366726</v>
      </c>
      <c r="O100" s="1673">
        <f t="shared" si="36"/>
        <v>0.26585903447659598</v>
      </c>
      <c r="P100" s="1673">
        <f t="shared" si="36"/>
        <v>8.9228108703258049E-2</v>
      </c>
      <c r="Q100" s="1673">
        <f t="shared" si="36"/>
        <v>0</v>
      </c>
      <c r="R100" s="1673">
        <f t="shared" si="36"/>
        <v>0</v>
      </c>
      <c r="S100" s="1673">
        <f t="shared" si="36"/>
        <v>0</v>
      </c>
      <c r="T100" s="1673">
        <f t="shared" si="36"/>
        <v>0.4459879758464787</v>
      </c>
      <c r="U100" s="1679">
        <f t="shared" si="32"/>
        <v>1</v>
      </c>
      <c r="V100" s="1673">
        <f t="shared" ref="V100:AB115" si="37">V99</f>
        <v>0.29028184578274857</v>
      </c>
      <c r="W100" s="1673">
        <f t="shared" si="37"/>
        <v>0.30317187715157518</v>
      </c>
      <c r="X100" s="1673">
        <f t="shared" si="37"/>
        <v>8.2805443243048754E-2</v>
      </c>
      <c r="Y100" s="1673">
        <f t="shared" si="37"/>
        <v>0</v>
      </c>
      <c r="Z100" s="1673">
        <f t="shared" si="37"/>
        <v>0</v>
      </c>
      <c r="AA100" s="1673">
        <f t="shared" si="37"/>
        <v>0</v>
      </c>
      <c r="AB100" s="1673">
        <f t="shared" si="37"/>
        <v>0.32374083382262742</v>
      </c>
      <c r="AC100" s="1679">
        <f t="shared" si="26"/>
        <v>0.99999999999999989</v>
      </c>
    </row>
    <row r="101" spans="1:29">
      <c r="A101" s="748">
        <f t="shared" si="33"/>
        <v>2001</v>
      </c>
      <c r="B101" s="1658">
        <v>44.91</v>
      </c>
      <c r="C101" s="759">
        <v>2002.3504334346351</v>
      </c>
      <c r="D101" s="1113">
        <v>0</v>
      </c>
      <c r="E101" s="1100">
        <f t="shared" ref="E101:E117" si="38">D101</f>
        <v>0</v>
      </c>
      <c r="F101" s="754">
        <f t="shared" si="27"/>
        <v>0.71479999999999999</v>
      </c>
      <c r="G101" s="754">
        <f t="shared" si="28"/>
        <v>0.28959999999999997</v>
      </c>
      <c r="H101" s="755">
        <v>501</v>
      </c>
      <c r="I101" s="1299">
        <f t="shared" si="21"/>
        <v>578.73</v>
      </c>
      <c r="J101" s="1680">
        <f t="shared" si="22"/>
        <v>28.161493315089835</v>
      </c>
      <c r="K101" s="1681">
        <f t="shared" si="15"/>
        <v>25990.764299999999</v>
      </c>
      <c r="L101" s="1681">
        <f t="shared" ref="L101:L116" si="39">C101*J101*1000/1000</f>
        <v>56389.178345636712</v>
      </c>
      <c r="M101" s="756">
        <f t="shared" si="16"/>
        <v>56389.178345636712</v>
      </c>
      <c r="N101" s="754">
        <f t="shared" si="36"/>
        <v>0.19892488097366726</v>
      </c>
      <c r="O101" s="754">
        <f t="shared" si="36"/>
        <v>0.26585903447659598</v>
      </c>
      <c r="P101" s="754">
        <f t="shared" si="36"/>
        <v>8.9228108703258049E-2</v>
      </c>
      <c r="Q101" s="754">
        <f t="shared" si="36"/>
        <v>0</v>
      </c>
      <c r="R101" s="754">
        <f t="shared" si="36"/>
        <v>0</v>
      </c>
      <c r="S101" s="754">
        <f t="shared" si="36"/>
        <v>0</v>
      </c>
      <c r="T101" s="754">
        <f t="shared" si="36"/>
        <v>0.4459879758464787</v>
      </c>
      <c r="U101" s="757">
        <f t="shared" si="32"/>
        <v>1</v>
      </c>
      <c r="V101" s="754">
        <f t="shared" si="37"/>
        <v>0.29028184578274857</v>
      </c>
      <c r="W101" s="754">
        <f t="shared" si="37"/>
        <v>0.30317187715157518</v>
      </c>
      <c r="X101" s="754">
        <f t="shared" si="37"/>
        <v>8.2805443243048754E-2</v>
      </c>
      <c r="Y101" s="754">
        <f t="shared" si="37"/>
        <v>0</v>
      </c>
      <c r="Z101" s="754">
        <f t="shared" si="37"/>
        <v>0</v>
      </c>
      <c r="AA101" s="754">
        <f t="shared" si="37"/>
        <v>0</v>
      </c>
      <c r="AB101" s="754">
        <f t="shared" si="37"/>
        <v>0.32374083382262742</v>
      </c>
      <c r="AC101" s="757">
        <f t="shared" si="26"/>
        <v>0.99999999999999989</v>
      </c>
    </row>
    <row r="102" spans="1:29">
      <c r="A102" s="748">
        <f t="shared" si="33"/>
        <v>2002</v>
      </c>
      <c r="B102" s="1658">
        <v>45.533000000000001</v>
      </c>
      <c r="C102" s="759">
        <v>2076.4450554986461</v>
      </c>
      <c r="D102" s="1113">
        <v>0</v>
      </c>
      <c r="E102" s="1100">
        <f t="shared" si="38"/>
        <v>0</v>
      </c>
      <c r="F102" s="754">
        <f t="shared" si="27"/>
        <v>0.71479999999999999</v>
      </c>
      <c r="G102" s="754">
        <f t="shared" si="28"/>
        <v>0.28959999999999997</v>
      </c>
      <c r="H102" s="755">
        <v>501</v>
      </c>
      <c r="I102" s="1299">
        <f t="shared" si="21"/>
        <v>578.73</v>
      </c>
      <c r="J102" s="1680">
        <f t="shared" si="22"/>
        <v>28.161493315089835</v>
      </c>
      <c r="K102" s="1681">
        <f t="shared" si="15"/>
        <v>26351.313090000003</v>
      </c>
      <c r="L102" s="1681">
        <f t="shared" si="39"/>
        <v>58475.793549576461</v>
      </c>
      <c r="M102" s="756">
        <f t="shared" si="16"/>
        <v>58475.793549576461</v>
      </c>
      <c r="N102" s="754">
        <f t="shared" si="36"/>
        <v>0.19892488097366726</v>
      </c>
      <c r="O102" s="754">
        <f t="shared" si="36"/>
        <v>0.26585903447659598</v>
      </c>
      <c r="P102" s="754">
        <f t="shared" si="36"/>
        <v>8.9228108703258049E-2</v>
      </c>
      <c r="Q102" s="754">
        <f t="shared" si="36"/>
        <v>0</v>
      </c>
      <c r="R102" s="754">
        <f t="shared" si="36"/>
        <v>0</v>
      </c>
      <c r="S102" s="754">
        <f t="shared" si="36"/>
        <v>0</v>
      </c>
      <c r="T102" s="754">
        <f t="shared" si="36"/>
        <v>0.4459879758464787</v>
      </c>
      <c r="U102" s="757">
        <f t="shared" si="32"/>
        <v>1</v>
      </c>
      <c r="V102" s="754">
        <f t="shared" si="37"/>
        <v>0.29028184578274857</v>
      </c>
      <c r="W102" s="754">
        <f t="shared" si="37"/>
        <v>0.30317187715157518</v>
      </c>
      <c r="X102" s="754">
        <f t="shared" si="37"/>
        <v>8.2805443243048754E-2</v>
      </c>
      <c r="Y102" s="754">
        <f t="shared" si="37"/>
        <v>0</v>
      </c>
      <c r="Z102" s="754">
        <f t="shared" si="37"/>
        <v>0</v>
      </c>
      <c r="AA102" s="754">
        <f t="shared" si="37"/>
        <v>0</v>
      </c>
      <c r="AB102" s="754">
        <f t="shared" si="37"/>
        <v>0.32374083382262742</v>
      </c>
      <c r="AC102" s="757">
        <f t="shared" si="26"/>
        <v>0.99999999999999989</v>
      </c>
    </row>
    <row r="103" spans="1:29">
      <c r="A103" s="748">
        <f t="shared" si="33"/>
        <v>2003</v>
      </c>
      <c r="B103" s="1658">
        <v>46.116</v>
      </c>
      <c r="C103" s="759">
        <v>2137.6810634216249</v>
      </c>
      <c r="D103" s="1113">
        <v>0</v>
      </c>
      <c r="E103" s="1100">
        <f t="shared" si="38"/>
        <v>0</v>
      </c>
      <c r="F103" s="754">
        <f t="shared" si="27"/>
        <v>0.71479999999999999</v>
      </c>
      <c r="G103" s="754">
        <f t="shared" si="28"/>
        <v>0.28959999999999997</v>
      </c>
      <c r="H103" s="755">
        <v>501</v>
      </c>
      <c r="I103" s="1299">
        <f t="shared" si="21"/>
        <v>578.73</v>
      </c>
      <c r="J103" s="1680">
        <f t="shared" si="22"/>
        <v>28.161493315089835</v>
      </c>
      <c r="K103" s="1681">
        <f t="shared" si="15"/>
        <v>26688.712680000001</v>
      </c>
      <c r="L103" s="1681">
        <f t="shared" si="39"/>
        <v>60200.290977342222</v>
      </c>
      <c r="M103" s="756">
        <f t="shared" si="16"/>
        <v>60200.290977342222</v>
      </c>
      <c r="N103" s="754">
        <f t="shared" si="36"/>
        <v>0.19892488097366726</v>
      </c>
      <c r="O103" s="754">
        <f t="shared" si="36"/>
        <v>0.26585903447659598</v>
      </c>
      <c r="P103" s="754">
        <f t="shared" si="36"/>
        <v>8.9228108703258049E-2</v>
      </c>
      <c r="Q103" s="754">
        <f t="shared" si="36"/>
        <v>0</v>
      </c>
      <c r="R103" s="754">
        <f t="shared" si="36"/>
        <v>0</v>
      </c>
      <c r="S103" s="754">
        <f t="shared" si="36"/>
        <v>0</v>
      </c>
      <c r="T103" s="754">
        <f t="shared" si="36"/>
        <v>0.4459879758464787</v>
      </c>
      <c r="U103" s="757">
        <f t="shared" si="32"/>
        <v>1</v>
      </c>
      <c r="V103" s="754">
        <f t="shared" si="37"/>
        <v>0.29028184578274857</v>
      </c>
      <c r="W103" s="754">
        <f t="shared" si="37"/>
        <v>0.30317187715157518</v>
      </c>
      <c r="X103" s="754">
        <f t="shared" si="37"/>
        <v>8.2805443243048754E-2</v>
      </c>
      <c r="Y103" s="754">
        <f t="shared" si="37"/>
        <v>0</v>
      </c>
      <c r="Z103" s="754">
        <f t="shared" si="37"/>
        <v>0</v>
      </c>
      <c r="AA103" s="754">
        <f t="shared" si="37"/>
        <v>0</v>
      </c>
      <c r="AB103" s="754">
        <f t="shared" si="37"/>
        <v>0.32374083382262742</v>
      </c>
      <c r="AC103" s="757">
        <f t="shared" si="26"/>
        <v>0.99999999999999989</v>
      </c>
    </row>
    <row r="104" spans="1:29">
      <c r="A104" s="748">
        <f t="shared" si="33"/>
        <v>2004</v>
      </c>
      <c r="B104" s="1658">
        <v>46.664999999999999</v>
      </c>
      <c r="C104" s="759">
        <v>2235.0428749750399</v>
      </c>
      <c r="D104" s="1113">
        <v>0</v>
      </c>
      <c r="E104" s="1100">
        <f t="shared" si="38"/>
        <v>0</v>
      </c>
      <c r="F104" s="754">
        <f t="shared" si="27"/>
        <v>0.71479999999999999</v>
      </c>
      <c r="G104" s="754">
        <f t="shared" si="28"/>
        <v>0.28959999999999997</v>
      </c>
      <c r="H104" s="755">
        <v>501</v>
      </c>
      <c r="I104" s="1299">
        <f t="shared" si="21"/>
        <v>578.73</v>
      </c>
      <c r="J104" s="1680">
        <f t="shared" si="22"/>
        <v>28.161493315089835</v>
      </c>
      <c r="K104" s="1681">
        <f t="shared" si="15"/>
        <v>27006.435450000001</v>
      </c>
      <c r="L104" s="1681">
        <f t="shared" si="39"/>
        <v>62942.144982548751</v>
      </c>
      <c r="M104" s="756">
        <f t="shared" si="16"/>
        <v>62942.144982548751</v>
      </c>
      <c r="N104" s="754">
        <f t="shared" si="36"/>
        <v>0.19892488097366726</v>
      </c>
      <c r="O104" s="754">
        <f t="shared" si="36"/>
        <v>0.26585903447659598</v>
      </c>
      <c r="P104" s="754">
        <f t="shared" si="36"/>
        <v>8.9228108703258049E-2</v>
      </c>
      <c r="Q104" s="754">
        <f t="shared" si="36"/>
        <v>0</v>
      </c>
      <c r="R104" s="754">
        <f t="shared" si="36"/>
        <v>0</v>
      </c>
      <c r="S104" s="754">
        <f t="shared" si="36"/>
        <v>0</v>
      </c>
      <c r="T104" s="754">
        <f t="shared" si="36"/>
        <v>0.4459879758464787</v>
      </c>
      <c r="U104" s="757">
        <f t="shared" si="32"/>
        <v>1</v>
      </c>
      <c r="V104" s="754">
        <f t="shared" si="37"/>
        <v>0.29028184578274857</v>
      </c>
      <c r="W104" s="754">
        <f t="shared" si="37"/>
        <v>0.30317187715157518</v>
      </c>
      <c r="X104" s="754">
        <f t="shared" si="37"/>
        <v>8.2805443243048754E-2</v>
      </c>
      <c r="Y104" s="754">
        <f t="shared" si="37"/>
        <v>0</v>
      </c>
      <c r="Z104" s="754">
        <f t="shared" si="37"/>
        <v>0</v>
      </c>
      <c r="AA104" s="754">
        <f t="shared" si="37"/>
        <v>0</v>
      </c>
      <c r="AB104" s="754">
        <f t="shared" si="37"/>
        <v>0.32374083382262742</v>
      </c>
      <c r="AC104" s="757">
        <f t="shared" si="26"/>
        <v>0.99999999999999989</v>
      </c>
    </row>
    <row r="105" spans="1:29">
      <c r="A105" s="748">
        <f t="shared" si="33"/>
        <v>2005</v>
      </c>
      <c r="B105" s="1658">
        <v>47.198</v>
      </c>
      <c r="C105" s="759">
        <v>2352.9873460848162</v>
      </c>
      <c r="D105" s="1113">
        <v>0</v>
      </c>
      <c r="E105" s="1100">
        <f t="shared" si="38"/>
        <v>0</v>
      </c>
      <c r="F105" s="754">
        <f t="shared" si="27"/>
        <v>0.71479999999999999</v>
      </c>
      <c r="G105" s="754">
        <f t="shared" si="28"/>
        <v>0.28959999999999997</v>
      </c>
      <c r="H105" s="755">
        <v>501</v>
      </c>
      <c r="I105" s="1299">
        <f t="shared" si="21"/>
        <v>578.73</v>
      </c>
      <c r="J105" s="1680">
        <f t="shared" si="22"/>
        <v>28.161493315089835</v>
      </c>
      <c r="K105" s="1681">
        <f t="shared" si="15"/>
        <v>27314.898540000002</v>
      </c>
      <c r="L105" s="1681">
        <f t="shared" si="39"/>
        <v>66263.63741725852</v>
      </c>
      <c r="M105" s="756">
        <f t="shared" si="16"/>
        <v>66263.63741725852</v>
      </c>
      <c r="N105" s="754">
        <f t="shared" si="36"/>
        <v>0.19892488097366726</v>
      </c>
      <c r="O105" s="754">
        <f t="shared" si="36"/>
        <v>0.26585903447659598</v>
      </c>
      <c r="P105" s="754">
        <f t="shared" si="36"/>
        <v>8.9228108703258049E-2</v>
      </c>
      <c r="Q105" s="754">
        <f t="shared" si="36"/>
        <v>0</v>
      </c>
      <c r="R105" s="754">
        <f t="shared" si="36"/>
        <v>0</v>
      </c>
      <c r="S105" s="754">
        <f t="shared" si="36"/>
        <v>0</v>
      </c>
      <c r="T105" s="754">
        <f t="shared" si="36"/>
        <v>0.4459879758464787</v>
      </c>
      <c r="U105" s="757">
        <f t="shared" si="32"/>
        <v>1</v>
      </c>
      <c r="V105" s="754">
        <f t="shared" si="37"/>
        <v>0.29028184578274857</v>
      </c>
      <c r="W105" s="754">
        <f t="shared" si="37"/>
        <v>0.30317187715157518</v>
      </c>
      <c r="X105" s="754">
        <f t="shared" si="37"/>
        <v>8.2805443243048754E-2</v>
      </c>
      <c r="Y105" s="754">
        <f t="shared" si="37"/>
        <v>0</v>
      </c>
      <c r="Z105" s="754">
        <f t="shared" si="37"/>
        <v>0</v>
      </c>
      <c r="AA105" s="754">
        <f t="shared" si="37"/>
        <v>0</v>
      </c>
      <c r="AB105" s="754">
        <f t="shared" si="37"/>
        <v>0.32374083382262742</v>
      </c>
      <c r="AC105" s="757">
        <f t="shared" si="26"/>
        <v>0.99999999999999989</v>
      </c>
    </row>
    <row r="106" spans="1:29">
      <c r="A106" s="748">
        <f t="shared" si="33"/>
        <v>2006</v>
      </c>
      <c r="B106" s="1658">
        <v>47.731000000000002</v>
      </c>
      <c r="C106" s="759">
        <v>2484.843995854224</v>
      </c>
      <c r="D106" s="1113">
        <v>0</v>
      </c>
      <c r="E106" s="1100">
        <f t="shared" si="38"/>
        <v>0</v>
      </c>
      <c r="F106" s="754">
        <f t="shared" si="27"/>
        <v>0.71479999999999999</v>
      </c>
      <c r="G106" s="754">
        <f t="shared" si="28"/>
        <v>0.28959999999999997</v>
      </c>
      <c r="H106" s="755">
        <v>501</v>
      </c>
      <c r="I106" s="1299">
        <f t="shared" si="21"/>
        <v>578.73</v>
      </c>
      <c r="J106" s="1680">
        <f t="shared" si="22"/>
        <v>28.161493315089835</v>
      </c>
      <c r="K106" s="1681">
        <f t="shared" si="15"/>
        <v>27623.361630000003</v>
      </c>
      <c r="L106" s="1681">
        <f t="shared" si="39"/>
        <v>69976.917578289838</v>
      </c>
      <c r="M106" s="756">
        <f t="shared" si="16"/>
        <v>69976.917578289838</v>
      </c>
      <c r="N106" s="754">
        <f t="shared" si="36"/>
        <v>0.19892488097366726</v>
      </c>
      <c r="O106" s="754">
        <f t="shared" si="36"/>
        <v>0.26585903447659598</v>
      </c>
      <c r="P106" s="754">
        <f t="shared" si="36"/>
        <v>8.9228108703258049E-2</v>
      </c>
      <c r="Q106" s="754">
        <f t="shared" si="36"/>
        <v>0</v>
      </c>
      <c r="R106" s="754">
        <f t="shared" si="36"/>
        <v>0</v>
      </c>
      <c r="S106" s="754">
        <f t="shared" si="36"/>
        <v>0</v>
      </c>
      <c r="T106" s="754">
        <f t="shared" si="36"/>
        <v>0.4459879758464787</v>
      </c>
      <c r="U106" s="757">
        <f t="shared" si="32"/>
        <v>1</v>
      </c>
      <c r="V106" s="754">
        <f t="shared" si="37"/>
        <v>0.29028184578274857</v>
      </c>
      <c r="W106" s="754">
        <f t="shared" si="37"/>
        <v>0.30317187715157518</v>
      </c>
      <c r="X106" s="754">
        <f t="shared" si="37"/>
        <v>8.2805443243048754E-2</v>
      </c>
      <c r="Y106" s="754">
        <f t="shared" si="37"/>
        <v>0</v>
      </c>
      <c r="Z106" s="754">
        <f t="shared" si="37"/>
        <v>0</v>
      </c>
      <c r="AA106" s="754">
        <f t="shared" si="37"/>
        <v>0</v>
      </c>
      <c r="AB106" s="754">
        <f t="shared" si="37"/>
        <v>0.32374083382262742</v>
      </c>
      <c r="AC106" s="757">
        <f t="shared" si="26"/>
        <v>0.99999999999999989</v>
      </c>
    </row>
    <row r="107" spans="1:29">
      <c r="A107" s="748">
        <f t="shared" si="33"/>
        <v>2007</v>
      </c>
      <c r="B107" s="1658">
        <v>48.256999999999998</v>
      </c>
      <c r="C107" s="759">
        <v>2618.0434591809503</v>
      </c>
      <c r="D107" s="1113">
        <v>0</v>
      </c>
      <c r="E107" s="1100">
        <f t="shared" si="38"/>
        <v>0</v>
      </c>
      <c r="F107" s="754">
        <f t="shared" si="27"/>
        <v>0.71479999999999999</v>
      </c>
      <c r="G107" s="754">
        <f t="shared" si="28"/>
        <v>0.28959999999999997</v>
      </c>
      <c r="H107" s="755">
        <v>501</v>
      </c>
      <c r="I107" s="1299">
        <f t="shared" si="21"/>
        <v>578.73</v>
      </c>
      <c r="J107" s="1680">
        <f t="shared" si="22"/>
        <v>28.161493315089835</v>
      </c>
      <c r="K107" s="1681">
        <f t="shared" si="15"/>
        <v>27927.77361</v>
      </c>
      <c r="L107" s="1681">
        <f t="shared" si="39"/>
        <v>73728.013374339003</v>
      </c>
      <c r="M107" s="756">
        <f t="shared" si="16"/>
        <v>73728.013374339003</v>
      </c>
      <c r="N107" s="754">
        <f t="shared" si="36"/>
        <v>0.19892488097366726</v>
      </c>
      <c r="O107" s="754">
        <f t="shared" si="36"/>
        <v>0.26585903447659598</v>
      </c>
      <c r="P107" s="754">
        <f t="shared" si="36"/>
        <v>8.9228108703258049E-2</v>
      </c>
      <c r="Q107" s="754">
        <f t="shared" si="36"/>
        <v>0</v>
      </c>
      <c r="R107" s="754">
        <f t="shared" si="36"/>
        <v>0</v>
      </c>
      <c r="S107" s="754">
        <f t="shared" si="36"/>
        <v>0</v>
      </c>
      <c r="T107" s="754">
        <f t="shared" si="36"/>
        <v>0.4459879758464787</v>
      </c>
      <c r="U107" s="757">
        <f t="shared" si="32"/>
        <v>1</v>
      </c>
      <c r="V107" s="754">
        <f t="shared" si="37"/>
        <v>0.29028184578274857</v>
      </c>
      <c r="W107" s="754">
        <f t="shared" si="37"/>
        <v>0.30317187715157518</v>
      </c>
      <c r="X107" s="754">
        <f t="shared" si="37"/>
        <v>8.2805443243048754E-2</v>
      </c>
      <c r="Y107" s="754">
        <f t="shared" si="37"/>
        <v>0</v>
      </c>
      <c r="Z107" s="754">
        <f t="shared" si="37"/>
        <v>0</v>
      </c>
      <c r="AA107" s="754">
        <f t="shared" si="37"/>
        <v>0</v>
      </c>
      <c r="AB107" s="754">
        <f t="shared" si="37"/>
        <v>0.32374083382262742</v>
      </c>
      <c r="AC107" s="757">
        <f t="shared" si="26"/>
        <v>0.99999999999999989</v>
      </c>
    </row>
    <row r="108" spans="1:29">
      <c r="A108" s="748">
        <f t="shared" si="33"/>
        <v>2008</v>
      </c>
      <c r="B108" s="1658">
        <v>48.792999999999999</v>
      </c>
      <c r="C108" s="759">
        <v>2701.5864496631075</v>
      </c>
      <c r="D108" s="1113">
        <v>0</v>
      </c>
      <c r="E108" s="1100">
        <f t="shared" si="38"/>
        <v>0</v>
      </c>
      <c r="F108" s="754">
        <f t="shared" si="27"/>
        <v>0.71479999999999999</v>
      </c>
      <c r="G108" s="754">
        <f t="shared" si="28"/>
        <v>0.28959999999999997</v>
      </c>
      <c r="H108" s="755">
        <v>501</v>
      </c>
      <c r="I108" s="1299">
        <f t="shared" si="21"/>
        <v>578.73</v>
      </c>
      <c r="J108" s="1680">
        <f t="shared" si="22"/>
        <v>28.161493315089835</v>
      </c>
      <c r="K108" s="1681">
        <f t="shared" si="15"/>
        <v>28237.972890000001</v>
      </c>
      <c r="L108" s="1681">
        <f t="shared" si="39"/>
        <v>76080.708742324889</v>
      </c>
      <c r="M108" s="756">
        <f t="shared" si="16"/>
        <v>76080.708742324889</v>
      </c>
      <c r="N108" s="754">
        <f t="shared" si="36"/>
        <v>0.19892488097366726</v>
      </c>
      <c r="O108" s="754">
        <f t="shared" si="36"/>
        <v>0.26585903447659598</v>
      </c>
      <c r="P108" s="754">
        <f t="shared" si="36"/>
        <v>8.9228108703258049E-2</v>
      </c>
      <c r="Q108" s="754">
        <f t="shared" si="36"/>
        <v>0</v>
      </c>
      <c r="R108" s="754">
        <f t="shared" si="36"/>
        <v>0</v>
      </c>
      <c r="S108" s="754">
        <f t="shared" si="36"/>
        <v>0</v>
      </c>
      <c r="T108" s="754">
        <f t="shared" si="36"/>
        <v>0.4459879758464787</v>
      </c>
      <c r="U108" s="757">
        <f t="shared" si="32"/>
        <v>1</v>
      </c>
      <c r="V108" s="754">
        <f t="shared" si="37"/>
        <v>0.29028184578274857</v>
      </c>
      <c r="W108" s="754">
        <f t="shared" si="37"/>
        <v>0.30317187715157518</v>
      </c>
      <c r="X108" s="754">
        <f t="shared" si="37"/>
        <v>8.2805443243048754E-2</v>
      </c>
      <c r="Y108" s="754">
        <f t="shared" si="37"/>
        <v>0</v>
      </c>
      <c r="Z108" s="754">
        <f t="shared" si="37"/>
        <v>0</v>
      </c>
      <c r="AA108" s="754">
        <f t="shared" si="37"/>
        <v>0</v>
      </c>
      <c r="AB108" s="754">
        <f t="shared" si="37"/>
        <v>0.32374083382262742</v>
      </c>
      <c r="AC108" s="757">
        <f t="shared" si="26"/>
        <v>0.99999999999999989</v>
      </c>
    </row>
    <row r="109" spans="1:29">
      <c r="A109" s="748">
        <f t="shared" si="33"/>
        <v>2009</v>
      </c>
      <c r="B109" s="1658">
        <v>49.32</v>
      </c>
      <c r="C109" s="759">
        <v>2660.0336366320498</v>
      </c>
      <c r="D109" s="1113">
        <v>0</v>
      </c>
      <c r="E109" s="1100">
        <f t="shared" si="38"/>
        <v>0</v>
      </c>
      <c r="F109" s="754">
        <f t="shared" si="27"/>
        <v>0.71479999999999999</v>
      </c>
      <c r="G109" s="754">
        <f t="shared" si="28"/>
        <v>0.28959999999999997</v>
      </c>
      <c r="H109" s="755">
        <v>501</v>
      </c>
      <c r="I109" s="1299">
        <f t="shared" si="21"/>
        <v>578.73</v>
      </c>
      <c r="J109" s="1680">
        <f t="shared" si="22"/>
        <v>28.161493315089835</v>
      </c>
      <c r="K109" s="1681">
        <f t="shared" si="15"/>
        <v>28542.963600000003</v>
      </c>
      <c r="L109" s="1681">
        <f t="shared" si="39"/>
        <v>74910.519475927576</v>
      </c>
      <c r="M109" s="756">
        <f t="shared" si="16"/>
        <v>74910.519475927576</v>
      </c>
      <c r="N109" s="754">
        <f t="shared" si="36"/>
        <v>0.19892488097366726</v>
      </c>
      <c r="O109" s="754">
        <f t="shared" si="36"/>
        <v>0.26585903447659598</v>
      </c>
      <c r="P109" s="754">
        <f t="shared" si="36"/>
        <v>8.9228108703258049E-2</v>
      </c>
      <c r="Q109" s="754">
        <f t="shared" si="36"/>
        <v>0</v>
      </c>
      <c r="R109" s="754">
        <f t="shared" si="36"/>
        <v>0</v>
      </c>
      <c r="S109" s="754">
        <f t="shared" si="36"/>
        <v>0</v>
      </c>
      <c r="T109" s="754">
        <f t="shared" si="36"/>
        <v>0.4459879758464787</v>
      </c>
      <c r="U109" s="757">
        <f t="shared" si="32"/>
        <v>1</v>
      </c>
      <c r="V109" s="754">
        <f t="shared" si="37"/>
        <v>0.29028184578274857</v>
      </c>
      <c r="W109" s="754">
        <f t="shared" si="37"/>
        <v>0.30317187715157518</v>
      </c>
      <c r="X109" s="754">
        <f t="shared" si="37"/>
        <v>8.2805443243048754E-2</v>
      </c>
      <c r="Y109" s="754">
        <f t="shared" si="37"/>
        <v>0</v>
      </c>
      <c r="Z109" s="754">
        <f t="shared" si="37"/>
        <v>0</v>
      </c>
      <c r="AA109" s="754">
        <f t="shared" si="37"/>
        <v>0</v>
      </c>
      <c r="AB109" s="754">
        <f t="shared" si="37"/>
        <v>0.32374083382262742</v>
      </c>
      <c r="AC109" s="757">
        <f t="shared" si="26"/>
        <v>0.99999999999999989</v>
      </c>
    </row>
    <row r="110" spans="1:29" s="333" customFormat="1">
      <c r="A110" s="748">
        <f t="shared" si="33"/>
        <v>2010</v>
      </c>
      <c r="B110" s="1658">
        <v>49.87</v>
      </c>
      <c r="C110" s="759">
        <v>2740.8914987475191</v>
      </c>
      <c r="D110" s="1113">
        <v>0</v>
      </c>
      <c r="E110" s="1100">
        <f t="shared" si="38"/>
        <v>0</v>
      </c>
      <c r="F110" s="749">
        <f t="shared" si="27"/>
        <v>0.71479999999999999</v>
      </c>
      <c r="G110" s="749">
        <f t="shared" si="28"/>
        <v>0.28959999999999997</v>
      </c>
      <c r="H110" s="750">
        <v>501</v>
      </c>
      <c r="I110" s="1298">
        <f t="shared" ref="I110:I116" si="40">($I$117-$I$109)/($A$117-$A$109)+I109</f>
        <v>559.42164173673609</v>
      </c>
      <c r="J110" s="1682">
        <f t="shared" si="22"/>
        <v>28.161493315089835</v>
      </c>
      <c r="K110" s="751">
        <f t="shared" si="15"/>
        <v>27898.357273411028</v>
      </c>
      <c r="L110" s="751">
        <f t="shared" si="39"/>
        <v>77187.597619364824</v>
      </c>
      <c r="M110" s="752">
        <f t="shared" si="16"/>
        <v>77187.597619364824</v>
      </c>
      <c r="N110" s="749">
        <f t="shared" si="36"/>
        <v>0.19892488097366726</v>
      </c>
      <c r="O110" s="749">
        <f t="shared" si="36"/>
        <v>0.26585903447659598</v>
      </c>
      <c r="P110" s="749">
        <f t="shared" si="36"/>
        <v>8.9228108703258049E-2</v>
      </c>
      <c r="Q110" s="749">
        <f t="shared" si="36"/>
        <v>0</v>
      </c>
      <c r="R110" s="749">
        <f t="shared" si="36"/>
        <v>0</v>
      </c>
      <c r="S110" s="749">
        <f t="shared" si="36"/>
        <v>0</v>
      </c>
      <c r="T110" s="749">
        <f t="shared" si="36"/>
        <v>0.4459879758464787</v>
      </c>
      <c r="U110" s="753">
        <f t="shared" si="32"/>
        <v>1</v>
      </c>
      <c r="V110" s="749">
        <f t="shared" si="37"/>
        <v>0.29028184578274857</v>
      </c>
      <c r="W110" s="749">
        <f t="shared" si="37"/>
        <v>0.30317187715157518</v>
      </c>
      <c r="X110" s="749">
        <f t="shared" si="37"/>
        <v>8.2805443243048754E-2</v>
      </c>
      <c r="Y110" s="749">
        <f t="shared" si="37"/>
        <v>0</v>
      </c>
      <c r="Z110" s="749">
        <f t="shared" si="37"/>
        <v>0</v>
      </c>
      <c r="AA110" s="749">
        <f t="shared" si="37"/>
        <v>0</v>
      </c>
      <c r="AB110" s="749">
        <f t="shared" si="37"/>
        <v>0.32374083382262742</v>
      </c>
      <c r="AC110" s="753">
        <f t="shared" si="26"/>
        <v>0.99999999999999989</v>
      </c>
    </row>
    <row r="111" spans="1:29">
      <c r="A111" s="748">
        <f t="shared" si="33"/>
        <v>2011</v>
      </c>
      <c r="B111" s="1658">
        <v>51.771000000000001</v>
      </c>
      <c r="C111" s="759">
        <v>2830.9069841561718</v>
      </c>
      <c r="D111" s="1113">
        <v>0</v>
      </c>
      <c r="E111" s="1100">
        <f t="shared" si="38"/>
        <v>0</v>
      </c>
      <c r="F111" s="754">
        <f t="shared" si="27"/>
        <v>0.71479999999999999</v>
      </c>
      <c r="G111" s="754">
        <f t="shared" si="28"/>
        <v>0.28959999999999997</v>
      </c>
      <c r="H111" s="755">
        <v>501</v>
      </c>
      <c r="I111" s="1299">
        <f t="shared" si="40"/>
        <v>540.11328347347217</v>
      </c>
      <c r="J111" s="1680">
        <f t="shared" si="22"/>
        <v>28.161493315089835</v>
      </c>
      <c r="K111" s="1681">
        <f>B111*I110</f>
        <v>28961.817814352566</v>
      </c>
      <c r="L111" s="1681">
        <f t="shared" si="39"/>
        <v>79722.568109955158</v>
      </c>
      <c r="M111" s="756">
        <f t="shared" si="16"/>
        <v>79722.568109955158</v>
      </c>
      <c r="N111" s="754">
        <f t="shared" si="36"/>
        <v>0.19892488097366726</v>
      </c>
      <c r="O111" s="754">
        <f t="shared" si="36"/>
        <v>0.26585903447659598</v>
      </c>
      <c r="P111" s="754">
        <f t="shared" si="36"/>
        <v>8.9228108703258049E-2</v>
      </c>
      <c r="Q111" s="754">
        <f t="shared" si="36"/>
        <v>0</v>
      </c>
      <c r="R111" s="754">
        <f t="shared" si="36"/>
        <v>0</v>
      </c>
      <c r="S111" s="754">
        <f t="shared" si="36"/>
        <v>0</v>
      </c>
      <c r="T111" s="754">
        <f t="shared" si="36"/>
        <v>0.4459879758464787</v>
      </c>
      <c r="U111" s="757">
        <f t="shared" si="32"/>
        <v>1</v>
      </c>
      <c r="V111" s="754">
        <f t="shared" si="37"/>
        <v>0.29028184578274857</v>
      </c>
      <c r="W111" s="754">
        <f t="shared" si="37"/>
        <v>0.30317187715157518</v>
      </c>
      <c r="X111" s="754">
        <f t="shared" si="37"/>
        <v>8.2805443243048754E-2</v>
      </c>
      <c r="Y111" s="754">
        <f t="shared" si="37"/>
        <v>0</v>
      </c>
      <c r="Z111" s="754">
        <f t="shared" si="37"/>
        <v>0</v>
      </c>
      <c r="AA111" s="754">
        <f t="shared" si="37"/>
        <v>0</v>
      </c>
      <c r="AB111" s="754">
        <f t="shared" si="37"/>
        <v>0.32374083382262742</v>
      </c>
      <c r="AC111" s="757">
        <f t="shared" si="26"/>
        <v>0.99999999999999989</v>
      </c>
    </row>
    <row r="112" spans="1:29">
      <c r="A112" s="748">
        <f t="shared" si="33"/>
        <v>2012</v>
      </c>
      <c r="B112" s="1659">
        <f>INDEX(Drivers!$A$8:$AM$8,1,$A112-2011)/1000</f>
        <v>52.325432882070082</v>
      </c>
      <c r="C112" s="1660">
        <f>INDEX(Drivers!$A$16:$AM$16,1,$A112-2011)</f>
        <v>2893.5650000000564</v>
      </c>
      <c r="D112" s="1113">
        <v>0</v>
      </c>
      <c r="E112" s="1100">
        <f t="shared" si="38"/>
        <v>0</v>
      </c>
      <c r="F112" s="754">
        <f t="shared" si="27"/>
        <v>0.71479999999999999</v>
      </c>
      <c r="G112" s="754">
        <f t="shared" si="28"/>
        <v>0.28959999999999997</v>
      </c>
      <c r="H112" s="755">
        <v>501</v>
      </c>
      <c r="I112" s="1299">
        <f t="shared" si="40"/>
        <v>520.80492521020824</v>
      </c>
      <c r="J112" s="1680">
        <f t="shared" si="22"/>
        <v>28.161493315089835</v>
      </c>
      <c r="K112" s="1681">
        <f t="shared" ref="K112:K150" si="41">B112*I112</f>
        <v>27251.34315873828</v>
      </c>
      <c r="L112" s="1681">
        <f t="shared" si="39"/>
        <v>81487.111404279509</v>
      </c>
      <c r="M112" s="756">
        <f t="shared" si="16"/>
        <v>81487.111404279509</v>
      </c>
      <c r="N112" s="754">
        <f t="shared" si="36"/>
        <v>0.19892488097366726</v>
      </c>
      <c r="O112" s="754">
        <f t="shared" si="36"/>
        <v>0.26585903447659598</v>
      </c>
      <c r="P112" s="754">
        <f t="shared" si="36"/>
        <v>8.9228108703258049E-2</v>
      </c>
      <c r="Q112" s="754">
        <f t="shared" si="36"/>
        <v>0</v>
      </c>
      <c r="R112" s="754">
        <f t="shared" si="36"/>
        <v>0</v>
      </c>
      <c r="S112" s="754">
        <f t="shared" si="36"/>
        <v>0</v>
      </c>
      <c r="T112" s="754">
        <f t="shared" si="36"/>
        <v>0.4459879758464787</v>
      </c>
      <c r="U112" s="757">
        <f t="shared" si="32"/>
        <v>1</v>
      </c>
      <c r="V112" s="754">
        <f t="shared" si="37"/>
        <v>0.29028184578274857</v>
      </c>
      <c r="W112" s="754">
        <f t="shared" si="37"/>
        <v>0.30317187715157518</v>
      </c>
      <c r="X112" s="754">
        <f t="shared" si="37"/>
        <v>8.2805443243048754E-2</v>
      </c>
      <c r="Y112" s="754">
        <f t="shared" si="37"/>
        <v>0</v>
      </c>
      <c r="Z112" s="754">
        <f t="shared" si="37"/>
        <v>0</v>
      </c>
      <c r="AA112" s="754">
        <f t="shared" si="37"/>
        <v>0</v>
      </c>
      <c r="AB112" s="754">
        <f t="shared" si="37"/>
        <v>0.32374083382262742</v>
      </c>
      <c r="AC112" s="757">
        <f t="shared" si="26"/>
        <v>0.99999999999999989</v>
      </c>
    </row>
    <row r="113" spans="1:29">
      <c r="A113" s="748">
        <f t="shared" si="33"/>
        <v>2013</v>
      </c>
      <c r="B113" s="1659">
        <f>INDEX(Drivers!$A$8:$AM$8,1,$A113-2011)/1000</f>
        <v>53.104386458423342</v>
      </c>
      <c r="C113" s="1660">
        <f>INDEX(Drivers!$A$16:$AM$16,1,$A113-2011)</f>
        <v>2961.4325615696321</v>
      </c>
      <c r="D113" s="1113">
        <v>0</v>
      </c>
      <c r="E113" s="1100">
        <f t="shared" si="38"/>
        <v>0</v>
      </c>
      <c r="F113" s="754">
        <f t="shared" si="27"/>
        <v>0.71479999999999999</v>
      </c>
      <c r="G113" s="754">
        <f t="shared" si="28"/>
        <v>0.28959999999999997</v>
      </c>
      <c r="H113" s="755">
        <v>501</v>
      </c>
      <c r="I113" s="1299">
        <f t="shared" si="40"/>
        <v>501.49656694694431</v>
      </c>
      <c r="J113" s="1680">
        <f t="shared" si="22"/>
        <v>28.161493315089835</v>
      </c>
      <c r="K113" s="1681">
        <f t="shared" si="41"/>
        <v>26631.667498723105</v>
      </c>
      <c r="L113" s="1681">
        <f t="shared" si="39"/>
        <v>83398.363285732557</v>
      </c>
      <c r="M113" s="756">
        <f t="shared" si="16"/>
        <v>83398.363285732557</v>
      </c>
      <c r="N113" s="754">
        <f t="shared" si="36"/>
        <v>0.19892488097366726</v>
      </c>
      <c r="O113" s="754">
        <f t="shared" si="36"/>
        <v>0.26585903447659598</v>
      </c>
      <c r="P113" s="754">
        <f t="shared" si="36"/>
        <v>8.9228108703258049E-2</v>
      </c>
      <c r="Q113" s="754">
        <f t="shared" si="36"/>
        <v>0</v>
      </c>
      <c r="R113" s="754">
        <f t="shared" si="36"/>
        <v>0</v>
      </c>
      <c r="S113" s="754">
        <f t="shared" si="36"/>
        <v>0</v>
      </c>
      <c r="T113" s="754">
        <f t="shared" si="36"/>
        <v>0.4459879758464787</v>
      </c>
      <c r="U113" s="757">
        <f t="shared" si="32"/>
        <v>1</v>
      </c>
      <c r="V113" s="754">
        <f t="shared" si="37"/>
        <v>0.29028184578274857</v>
      </c>
      <c r="W113" s="754">
        <f t="shared" si="37"/>
        <v>0.30317187715157518</v>
      </c>
      <c r="X113" s="754">
        <f t="shared" si="37"/>
        <v>8.2805443243048754E-2</v>
      </c>
      <c r="Y113" s="754">
        <f t="shared" si="37"/>
        <v>0</v>
      </c>
      <c r="Z113" s="754">
        <f t="shared" si="37"/>
        <v>0</v>
      </c>
      <c r="AA113" s="754">
        <f t="shared" si="37"/>
        <v>0</v>
      </c>
      <c r="AB113" s="754">
        <f t="shared" si="37"/>
        <v>0.32374083382262742</v>
      </c>
      <c r="AC113" s="757">
        <f t="shared" si="26"/>
        <v>0.99999999999999989</v>
      </c>
    </row>
    <row r="114" spans="1:29">
      <c r="A114" s="748">
        <f t="shared" si="33"/>
        <v>2014</v>
      </c>
      <c r="B114" s="1659">
        <f>INDEX(Drivers!$A$8:$AM$8,1,$A114-2011)/1000</f>
        <v>53.912365691429272</v>
      </c>
      <c r="C114" s="1660">
        <f>INDEX(Drivers!$A$16:$AM$16,1,$A114-2011)</f>
        <v>3012.6472972705333</v>
      </c>
      <c r="D114" s="1113">
        <v>0</v>
      </c>
      <c r="E114" s="1100">
        <f t="shared" si="38"/>
        <v>0</v>
      </c>
      <c r="F114" s="754">
        <f t="shared" si="27"/>
        <v>0.71479999999999999</v>
      </c>
      <c r="G114" s="754">
        <f t="shared" si="28"/>
        <v>0.28959999999999997</v>
      </c>
      <c r="H114" s="755">
        <v>501</v>
      </c>
      <c r="I114" s="1299">
        <f t="shared" si="40"/>
        <v>482.18820868368039</v>
      </c>
      <c r="J114" s="1680">
        <f t="shared" si="22"/>
        <v>28.161493315089835</v>
      </c>
      <c r="K114" s="1681">
        <f t="shared" si="41"/>
        <v>25995.907038649788</v>
      </c>
      <c r="L114" s="1681">
        <f t="shared" si="39"/>
        <v>84840.646722807578</v>
      </c>
      <c r="M114" s="756">
        <f t="shared" ref="M114:M116" si="42">C114*J114*1000/1000</f>
        <v>84840.646722807578</v>
      </c>
      <c r="N114" s="754">
        <f t="shared" si="36"/>
        <v>0.19892488097366726</v>
      </c>
      <c r="O114" s="754">
        <f t="shared" si="36"/>
        <v>0.26585903447659598</v>
      </c>
      <c r="P114" s="754">
        <f t="shared" si="36"/>
        <v>8.9228108703258049E-2</v>
      </c>
      <c r="Q114" s="754">
        <f t="shared" si="36"/>
        <v>0</v>
      </c>
      <c r="R114" s="754">
        <f t="shared" si="36"/>
        <v>0</v>
      </c>
      <c r="S114" s="754">
        <f t="shared" si="36"/>
        <v>0</v>
      </c>
      <c r="T114" s="754">
        <f t="shared" si="36"/>
        <v>0.4459879758464787</v>
      </c>
      <c r="U114" s="757">
        <f t="shared" ref="U114:U145" si="43">SUM(N114:T114)</f>
        <v>1</v>
      </c>
      <c r="V114" s="754">
        <f t="shared" si="37"/>
        <v>0.29028184578274857</v>
      </c>
      <c r="W114" s="754">
        <f t="shared" si="37"/>
        <v>0.30317187715157518</v>
      </c>
      <c r="X114" s="754">
        <f t="shared" si="37"/>
        <v>8.2805443243048754E-2</v>
      </c>
      <c r="Y114" s="754">
        <f t="shared" si="37"/>
        <v>0</v>
      </c>
      <c r="Z114" s="754">
        <f t="shared" si="37"/>
        <v>0</v>
      </c>
      <c r="AA114" s="754">
        <f t="shared" si="37"/>
        <v>0</v>
      </c>
      <c r="AB114" s="754">
        <f t="shared" si="37"/>
        <v>0.32374083382262742</v>
      </c>
      <c r="AC114" s="757">
        <f t="shared" si="26"/>
        <v>0.99999999999999989</v>
      </c>
    </row>
    <row r="115" spans="1:29">
      <c r="A115" s="748">
        <f t="shared" ref="A115:A127" si="44">A114+1</f>
        <v>2015</v>
      </c>
      <c r="B115" s="1659">
        <f>INDEX(Drivers!$A$8:$AM$8,1,$A115-2011)/1000</f>
        <v>54.750491457321111</v>
      </c>
      <c r="C115" s="1660">
        <f>INDEX(Drivers!$A$16:$AM$16,1,$A115-2011)</f>
        <v>3039.8973040590672</v>
      </c>
      <c r="D115" s="1113">
        <v>0</v>
      </c>
      <c r="E115" s="1100">
        <f t="shared" si="38"/>
        <v>0</v>
      </c>
      <c r="F115" s="754">
        <f t="shared" si="27"/>
        <v>0.71479999999999999</v>
      </c>
      <c r="G115" s="754">
        <f t="shared" si="28"/>
        <v>0.28959999999999997</v>
      </c>
      <c r="H115" s="755">
        <v>501</v>
      </c>
      <c r="I115" s="1299">
        <f t="shared" si="40"/>
        <v>462.87985042041646</v>
      </c>
      <c r="J115" s="1680">
        <f t="shared" ref="J115:J116" si="45">J114</f>
        <v>28.161493315089835</v>
      </c>
      <c r="K115" s="1681">
        <f t="shared" si="41"/>
        <v>25342.899296209085</v>
      </c>
      <c r="L115" s="1681">
        <f t="shared" si="39"/>
        <v>85608.047606819033</v>
      </c>
      <c r="M115" s="756">
        <f t="shared" si="42"/>
        <v>85608.047606819033</v>
      </c>
      <c r="N115" s="754">
        <f t="shared" ref="N115:T130" si="46">N114</f>
        <v>0.19892488097366726</v>
      </c>
      <c r="O115" s="754">
        <f t="shared" si="46"/>
        <v>0.26585903447659598</v>
      </c>
      <c r="P115" s="754">
        <f t="shared" si="46"/>
        <v>8.9228108703258049E-2</v>
      </c>
      <c r="Q115" s="754">
        <f t="shared" si="46"/>
        <v>0</v>
      </c>
      <c r="R115" s="754">
        <f t="shared" si="46"/>
        <v>0</v>
      </c>
      <c r="S115" s="754">
        <f t="shared" si="46"/>
        <v>0</v>
      </c>
      <c r="T115" s="754">
        <f t="shared" si="46"/>
        <v>0.4459879758464787</v>
      </c>
      <c r="U115" s="757">
        <f t="shared" si="43"/>
        <v>1</v>
      </c>
      <c r="V115" s="754">
        <f t="shared" si="37"/>
        <v>0.29028184578274857</v>
      </c>
      <c r="W115" s="754">
        <f t="shared" si="37"/>
        <v>0.30317187715157518</v>
      </c>
      <c r="X115" s="754">
        <f t="shared" si="37"/>
        <v>8.2805443243048754E-2</v>
      </c>
      <c r="Y115" s="754">
        <f t="shared" si="37"/>
        <v>0</v>
      </c>
      <c r="Z115" s="754">
        <f t="shared" si="37"/>
        <v>0</v>
      </c>
      <c r="AA115" s="754">
        <f t="shared" si="37"/>
        <v>0</v>
      </c>
      <c r="AB115" s="754">
        <f t="shared" si="37"/>
        <v>0.32374083382262742</v>
      </c>
      <c r="AC115" s="757">
        <f t="shared" ref="AC115:AC150" si="47">SUM(V115:AB115)</f>
        <v>0.99999999999999989</v>
      </c>
    </row>
    <row r="116" spans="1:29">
      <c r="A116" s="748">
        <f t="shared" si="44"/>
        <v>2016</v>
      </c>
      <c r="B116" s="1659">
        <f>INDEX(Drivers!$A$8:$AM$8,1,$A116-2011)/1000</f>
        <v>55.619940469824826</v>
      </c>
      <c r="C116" s="1660">
        <f>INDEX(Drivers!$A$16:$AM$16,1,$A116-2011)</f>
        <v>3067.3857984189563</v>
      </c>
      <c r="D116" s="1113">
        <v>0</v>
      </c>
      <c r="E116" s="1100">
        <f t="shared" si="38"/>
        <v>0</v>
      </c>
      <c r="F116" s="754">
        <f t="shared" ref="F116:F117" si="48">F115</f>
        <v>0.71479999999999999</v>
      </c>
      <c r="G116" s="754">
        <f t="shared" ref="G116:G117" si="49">G115</f>
        <v>0.28959999999999997</v>
      </c>
      <c r="H116" s="755">
        <v>501</v>
      </c>
      <c r="I116" s="1299">
        <f t="shared" si="40"/>
        <v>443.57149215715253</v>
      </c>
      <c r="J116" s="1680">
        <f t="shared" si="45"/>
        <v>28.161493315089835</v>
      </c>
      <c r="K116" s="1681">
        <f t="shared" si="41"/>
        <v>24671.419987892194</v>
      </c>
      <c r="L116" s="1681">
        <f t="shared" si="39"/>
        <v>86382.164656976936</v>
      </c>
      <c r="M116" s="756">
        <f t="shared" si="42"/>
        <v>86382.164656976936</v>
      </c>
      <c r="N116" s="754">
        <f t="shared" si="46"/>
        <v>0.19892488097366726</v>
      </c>
      <c r="O116" s="754">
        <f t="shared" si="46"/>
        <v>0.26585903447659598</v>
      </c>
      <c r="P116" s="754">
        <f t="shared" si="46"/>
        <v>8.9228108703258049E-2</v>
      </c>
      <c r="Q116" s="754">
        <f t="shared" si="46"/>
        <v>0</v>
      </c>
      <c r="R116" s="754">
        <f t="shared" si="46"/>
        <v>0</v>
      </c>
      <c r="S116" s="754">
        <f t="shared" si="46"/>
        <v>0</v>
      </c>
      <c r="T116" s="754">
        <f t="shared" si="46"/>
        <v>0.4459879758464787</v>
      </c>
      <c r="U116" s="757">
        <f t="shared" si="43"/>
        <v>1</v>
      </c>
      <c r="V116" s="754">
        <f t="shared" ref="V116:AB131" si="50">V115</f>
        <v>0.29028184578274857</v>
      </c>
      <c r="W116" s="754">
        <f t="shared" si="50"/>
        <v>0.30317187715157518</v>
      </c>
      <c r="X116" s="754">
        <f t="shared" si="50"/>
        <v>8.2805443243048754E-2</v>
      </c>
      <c r="Y116" s="754">
        <f t="shared" si="50"/>
        <v>0</v>
      </c>
      <c r="Z116" s="754">
        <f t="shared" si="50"/>
        <v>0</v>
      </c>
      <c r="AA116" s="754">
        <f t="shared" si="50"/>
        <v>0</v>
      </c>
      <c r="AB116" s="754">
        <f t="shared" si="50"/>
        <v>0.32374083382262742</v>
      </c>
      <c r="AC116" s="757">
        <f t="shared" si="47"/>
        <v>0.99999999999999989</v>
      </c>
    </row>
    <row r="117" spans="1:29" ht="16.5" thickBot="1">
      <c r="A117" s="1683">
        <f>A116+1</f>
        <v>2017</v>
      </c>
      <c r="B117" s="1662">
        <f>INDEX(Drivers!$A$8:$AM$8,1,$A117-2011)/1000</f>
        <v>56.521948041648095</v>
      </c>
      <c r="C117" s="1663">
        <f>INDEX(Drivers!$A$16:$AM$16,1,$A117-2011)</f>
        <v>3107.1496601967842</v>
      </c>
      <c r="D117" s="1684">
        <f>'Waste Summary 2017 SASOW'!J10+'Waste Summary 2017 SASOW'!J13</f>
        <v>49995051</v>
      </c>
      <c r="E117" s="1685">
        <f t="shared" si="38"/>
        <v>49995051</v>
      </c>
      <c r="F117" s="1686">
        <f t="shared" si="48"/>
        <v>0.71479999999999999</v>
      </c>
      <c r="G117" s="1686">
        <f t="shared" si="49"/>
        <v>0.28959999999999997</v>
      </c>
      <c r="H117" s="1687">
        <v>501</v>
      </c>
      <c r="I117" s="1688">
        <f>C4</f>
        <v>424.26313389388866</v>
      </c>
      <c r="J117" s="1689">
        <f>$C$6</f>
        <v>12.071167303296225</v>
      </c>
      <c r="K117" s="1684">
        <f t="shared" si="41"/>
        <v>23980.178809937162</v>
      </c>
      <c r="L117" s="1684">
        <f>C117*J117*1000/1000+D117/1000</f>
        <v>87501.974384615402</v>
      </c>
      <c r="M117" s="1690">
        <f>C117*J117*1000/1000+E117/1000</f>
        <v>87501.974384615402</v>
      </c>
      <c r="N117" s="1686">
        <f t="shared" si="46"/>
        <v>0.19892488097366726</v>
      </c>
      <c r="O117" s="1686">
        <f t="shared" si="46"/>
        <v>0.26585903447659598</v>
      </c>
      <c r="P117" s="1686">
        <f t="shared" si="46"/>
        <v>8.9228108703258049E-2</v>
      </c>
      <c r="Q117" s="1686">
        <f t="shared" si="46"/>
        <v>0</v>
      </c>
      <c r="R117" s="1686">
        <f t="shared" si="46"/>
        <v>0</v>
      </c>
      <c r="S117" s="1686">
        <f t="shared" si="46"/>
        <v>0</v>
      </c>
      <c r="T117" s="1686">
        <f t="shared" si="46"/>
        <v>0.4459879758464787</v>
      </c>
      <c r="U117" s="1691">
        <f t="shared" si="43"/>
        <v>1</v>
      </c>
      <c r="V117" s="1686">
        <f t="shared" si="50"/>
        <v>0.29028184578274857</v>
      </c>
      <c r="W117" s="1686">
        <f t="shared" si="50"/>
        <v>0.30317187715157518</v>
      </c>
      <c r="X117" s="1686">
        <f t="shared" si="50"/>
        <v>8.2805443243048754E-2</v>
      </c>
      <c r="Y117" s="1686">
        <f t="shared" si="50"/>
        <v>0</v>
      </c>
      <c r="Z117" s="1686">
        <f t="shared" si="50"/>
        <v>0</v>
      </c>
      <c r="AA117" s="1686">
        <f t="shared" si="50"/>
        <v>0</v>
      </c>
      <c r="AB117" s="1686">
        <f t="shared" si="50"/>
        <v>0.32374083382262742</v>
      </c>
      <c r="AC117" s="1691">
        <f t="shared" si="47"/>
        <v>0.99999999999999989</v>
      </c>
    </row>
    <row r="118" spans="1:29">
      <c r="A118" s="187">
        <f t="shared" si="44"/>
        <v>2018</v>
      </c>
      <c r="B118" s="1665">
        <f>INDEX(Drivers!$A$8:$AM$8,1,$A118-2011)/1000</f>
        <v>57.436000617299655</v>
      </c>
      <c r="C118" s="1666">
        <f>INDEX(Drivers!$A$16:$AM$16,1,$A118-2011)</f>
        <v>3150.6223338999603</v>
      </c>
      <c r="D118" s="1667">
        <f>INDEX(Drivers!$A$25:$AM$25,1,$A118-2011)/INDEX(Drivers!$A$25:$AM$25,1,$A118-2012)*D117</f>
        <v>50343843.445756853</v>
      </c>
      <c r="E118" s="762">
        <f>D118</f>
        <v>50343843.445756853</v>
      </c>
      <c r="F118" s="1120"/>
      <c r="G118" s="1120"/>
      <c r="H118" s="1121"/>
      <c r="I118" s="1294">
        <f t="shared" ref="I118:I150" si="51">I117</f>
        <v>424.26313389388866</v>
      </c>
      <c r="J118" s="1295">
        <f>$C$6</f>
        <v>12.071167303296225</v>
      </c>
      <c r="K118" s="1296">
        <f>B118*I118</f>
        <v>24367.977620226877</v>
      </c>
      <c r="L118" s="1296">
        <f>C118*J118+D118/1000</f>
        <v>88375.532747764897</v>
      </c>
      <c r="M118" s="1297">
        <f>C118*J118*1000/1000+E118/1000</f>
        <v>88375.532747764897</v>
      </c>
      <c r="N118" s="1251">
        <f t="shared" si="46"/>
        <v>0.19892488097366726</v>
      </c>
      <c r="O118" s="1251">
        <f t="shared" si="46"/>
        <v>0.26585903447659598</v>
      </c>
      <c r="P118" s="1251">
        <f t="shared" si="46"/>
        <v>8.9228108703258049E-2</v>
      </c>
      <c r="Q118" s="1251">
        <f t="shared" si="46"/>
        <v>0</v>
      </c>
      <c r="R118" s="1251">
        <f t="shared" si="46"/>
        <v>0</v>
      </c>
      <c r="S118" s="1251">
        <f t="shared" si="46"/>
        <v>0</v>
      </c>
      <c r="T118" s="1251">
        <f t="shared" si="46"/>
        <v>0.4459879758464787</v>
      </c>
      <c r="U118" s="1284">
        <f t="shared" si="43"/>
        <v>1</v>
      </c>
      <c r="V118" s="1285">
        <f t="shared" si="50"/>
        <v>0.29028184578274857</v>
      </c>
      <c r="W118" s="1251">
        <f t="shared" si="50"/>
        <v>0.30317187715157518</v>
      </c>
      <c r="X118" s="1251">
        <f t="shared" si="50"/>
        <v>8.2805443243048754E-2</v>
      </c>
      <c r="Y118" s="1251">
        <f t="shared" si="50"/>
        <v>0</v>
      </c>
      <c r="Z118" s="1251">
        <f t="shared" si="50"/>
        <v>0</v>
      </c>
      <c r="AA118" s="1251">
        <f t="shared" si="50"/>
        <v>0</v>
      </c>
      <c r="AB118" s="1251">
        <f t="shared" si="50"/>
        <v>0.32374083382262742</v>
      </c>
      <c r="AC118" s="1284">
        <f t="shared" si="47"/>
        <v>0.99999999999999989</v>
      </c>
    </row>
    <row r="119" spans="1:29">
      <c r="A119" s="187">
        <f t="shared" si="44"/>
        <v>2019</v>
      </c>
      <c r="B119" s="1659">
        <f>INDEX(Drivers!$A$8:$AM$8,1,$A119-2011)/1000</f>
        <v>58.364834921819444</v>
      </c>
      <c r="C119" s="1660">
        <f>INDEX(Drivers!$A$16:$AM$16,1,$A119-2011)</f>
        <v>3168.3184457469288</v>
      </c>
      <c r="D119" s="1661">
        <f>INDEX(Drivers!$A$25:$AM$25,1,$A119-2011)/INDEX(Drivers!$A$25:$AM$25,1,$A119-2012)*D118</f>
        <v>48412890.850439847</v>
      </c>
      <c r="E119" s="762">
        <f t="shared" ref="E119:E150" si="52">D119</f>
        <v>48412890.850439847</v>
      </c>
      <c r="F119" s="1122"/>
      <c r="G119" s="1122"/>
      <c r="H119" s="1123"/>
      <c r="I119" s="1294">
        <f t="shared" si="51"/>
        <v>424.26313389388866</v>
      </c>
      <c r="J119" s="1295">
        <f t="shared" ref="J119:J150" si="53">$C$6</f>
        <v>12.071167303296225</v>
      </c>
      <c r="K119" s="1296">
        <f t="shared" si="41"/>
        <v>24762.047773130591</v>
      </c>
      <c r="L119" s="1296">
        <f t="shared" ref="L119:L150" si="54">C119*J119*1000/1000+D119/1000</f>
        <v>86658.1928791705</v>
      </c>
      <c r="M119" s="1297">
        <f t="shared" ref="M119:M150" si="55">C119*J119*1000/1000+E119/1000</f>
        <v>86658.1928791705</v>
      </c>
      <c r="N119" s="1251">
        <f t="shared" si="46"/>
        <v>0.19892488097366726</v>
      </c>
      <c r="O119" s="1251">
        <f t="shared" si="46"/>
        <v>0.26585903447659598</v>
      </c>
      <c r="P119" s="1251">
        <f t="shared" si="46"/>
        <v>8.9228108703258049E-2</v>
      </c>
      <c r="Q119" s="1251">
        <f t="shared" si="46"/>
        <v>0</v>
      </c>
      <c r="R119" s="1251">
        <f t="shared" si="46"/>
        <v>0</v>
      </c>
      <c r="S119" s="1251">
        <f t="shared" si="46"/>
        <v>0</v>
      </c>
      <c r="T119" s="1251">
        <f t="shared" si="46"/>
        <v>0.4459879758464787</v>
      </c>
      <c r="U119" s="1284">
        <f t="shared" si="43"/>
        <v>1</v>
      </c>
      <c r="V119" s="1285">
        <f t="shared" si="50"/>
        <v>0.29028184578274857</v>
      </c>
      <c r="W119" s="1251">
        <f t="shared" si="50"/>
        <v>0.30317187715157518</v>
      </c>
      <c r="X119" s="1251">
        <f t="shared" si="50"/>
        <v>8.2805443243048754E-2</v>
      </c>
      <c r="Y119" s="1251">
        <f t="shared" si="50"/>
        <v>0</v>
      </c>
      <c r="Z119" s="1251">
        <f t="shared" si="50"/>
        <v>0</v>
      </c>
      <c r="AA119" s="1251">
        <f t="shared" si="50"/>
        <v>0</v>
      </c>
      <c r="AB119" s="1251">
        <f t="shared" si="50"/>
        <v>0.32374083382262742</v>
      </c>
      <c r="AC119" s="1284">
        <f t="shared" si="47"/>
        <v>0.99999999999999989</v>
      </c>
    </row>
    <row r="120" spans="1:29">
      <c r="A120" s="187">
        <f t="shared" si="44"/>
        <v>2020</v>
      </c>
      <c r="B120" s="1659">
        <f>INDEX(Drivers!$A$8:$AM$8,1,$A120-2011)/1000</f>
        <v>59.308690000000006</v>
      </c>
      <c r="C120" s="1660">
        <f>INDEX(Drivers!$A$16:$AM$16,1,$A120-2011)</f>
        <v>2944.9182124750064</v>
      </c>
      <c r="D120" s="1661">
        <f>INDEX(Drivers!$A$25:$AM$25,1,$A120-2011)/INDEX(Drivers!$A$25:$AM$25,1,$A120-2012)*D119</f>
        <v>45517474.780710384</v>
      </c>
      <c r="E120" s="762">
        <f t="shared" si="52"/>
        <v>45517474.780710384</v>
      </c>
      <c r="F120" s="1122"/>
      <c r="G120" s="1122"/>
      <c r="H120" s="1123"/>
      <c r="I120" s="1294">
        <f t="shared" si="51"/>
        <v>424.26313389388866</v>
      </c>
      <c r="J120" s="1295">
        <f t="shared" si="53"/>
        <v>12.071167303296225</v>
      </c>
      <c r="K120" s="1296">
        <f t="shared" si="41"/>
        <v>25162.490686541139</v>
      </c>
      <c r="L120" s="1296">
        <f t="shared" si="54"/>
        <v>81066.07521802024</v>
      </c>
      <c r="M120" s="1297">
        <f t="shared" si="55"/>
        <v>81066.07521802024</v>
      </c>
      <c r="N120" s="1251">
        <f t="shared" si="46"/>
        <v>0.19892488097366726</v>
      </c>
      <c r="O120" s="1251">
        <f t="shared" si="46"/>
        <v>0.26585903447659598</v>
      </c>
      <c r="P120" s="1251">
        <f t="shared" si="46"/>
        <v>8.9228108703258049E-2</v>
      </c>
      <c r="Q120" s="1251">
        <f t="shared" si="46"/>
        <v>0</v>
      </c>
      <c r="R120" s="1251">
        <f t="shared" si="46"/>
        <v>0</v>
      </c>
      <c r="S120" s="1251">
        <f t="shared" si="46"/>
        <v>0</v>
      </c>
      <c r="T120" s="1251">
        <f t="shared" si="46"/>
        <v>0.4459879758464787</v>
      </c>
      <c r="U120" s="1284">
        <f t="shared" si="43"/>
        <v>1</v>
      </c>
      <c r="V120" s="1285">
        <f t="shared" si="50"/>
        <v>0.29028184578274857</v>
      </c>
      <c r="W120" s="1251">
        <f t="shared" si="50"/>
        <v>0.30317187715157518</v>
      </c>
      <c r="X120" s="1251">
        <f t="shared" si="50"/>
        <v>8.2805443243048754E-2</v>
      </c>
      <c r="Y120" s="1251">
        <f t="shared" si="50"/>
        <v>0</v>
      </c>
      <c r="Z120" s="1251">
        <f t="shared" si="50"/>
        <v>0</v>
      </c>
      <c r="AA120" s="1251">
        <f t="shared" si="50"/>
        <v>0</v>
      </c>
      <c r="AB120" s="1251">
        <f t="shared" si="50"/>
        <v>0.32374083382262742</v>
      </c>
      <c r="AC120" s="1284">
        <f t="shared" si="47"/>
        <v>0.99999999999999989</v>
      </c>
    </row>
    <row r="121" spans="1:29">
      <c r="A121" s="187">
        <f t="shared" si="44"/>
        <v>2021</v>
      </c>
      <c r="B121" s="1659">
        <f>INDEX(Drivers!$A$8:$AM$8,1,$A121-2011)/1000</f>
        <v>59.991580449204264</v>
      </c>
      <c r="C121" s="1660">
        <f>INDEX(Drivers!$A$16:$AM$16,1,$A121-2011)</f>
        <v>3018.4380966643439</v>
      </c>
      <c r="D121" s="1661">
        <f>INDEX(Drivers!$A$25:$AM$25,1,$A121-2011)/INDEX(Drivers!$A$25:$AM$25,1,$A121-2012)*D120</f>
        <v>45871162.972715415</v>
      </c>
      <c r="E121" s="762">
        <f t="shared" si="52"/>
        <v>45871162.972715415</v>
      </c>
      <c r="F121" s="1122"/>
      <c r="G121" s="1122"/>
      <c r="H121" s="1123"/>
      <c r="I121" s="1294">
        <f t="shared" si="51"/>
        <v>424.26313389388866</v>
      </c>
      <c r="J121" s="1295">
        <f t="shared" si="53"/>
        <v>12.071167303296225</v>
      </c>
      <c r="K121" s="1296">
        <f t="shared" si="41"/>
        <v>25452.215928626742</v>
      </c>
      <c r="L121" s="1296">
        <f t="shared" si="54"/>
        <v>82307.234232193732</v>
      </c>
      <c r="M121" s="1297">
        <f t="shared" si="55"/>
        <v>82307.234232193732</v>
      </c>
      <c r="N121" s="1251">
        <f t="shared" si="46"/>
        <v>0.19892488097366726</v>
      </c>
      <c r="O121" s="1251">
        <f t="shared" si="46"/>
        <v>0.26585903447659598</v>
      </c>
      <c r="P121" s="1251">
        <f t="shared" si="46"/>
        <v>8.9228108703258049E-2</v>
      </c>
      <c r="Q121" s="1251">
        <f t="shared" si="46"/>
        <v>0</v>
      </c>
      <c r="R121" s="1251">
        <f t="shared" si="46"/>
        <v>0</v>
      </c>
      <c r="S121" s="1251">
        <f t="shared" si="46"/>
        <v>0</v>
      </c>
      <c r="T121" s="1251">
        <f t="shared" si="46"/>
        <v>0.4459879758464787</v>
      </c>
      <c r="U121" s="1284">
        <f t="shared" si="43"/>
        <v>1</v>
      </c>
      <c r="V121" s="1285">
        <f t="shared" si="50"/>
        <v>0.29028184578274857</v>
      </c>
      <c r="W121" s="1251">
        <f t="shared" si="50"/>
        <v>0.30317187715157518</v>
      </c>
      <c r="X121" s="1251">
        <f t="shared" si="50"/>
        <v>8.2805443243048754E-2</v>
      </c>
      <c r="Y121" s="1251">
        <f t="shared" si="50"/>
        <v>0</v>
      </c>
      <c r="Z121" s="1251">
        <f t="shared" si="50"/>
        <v>0</v>
      </c>
      <c r="AA121" s="1251">
        <f t="shared" si="50"/>
        <v>0</v>
      </c>
      <c r="AB121" s="1251">
        <f t="shared" si="50"/>
        <v>0.32374083382262742</v>
      </c>
      <c r="AC121" s="1284">
        <f t="shared" si="47"/>
        <v>0.99999999999999989</v>
      </c>
    </row>
    <row r="122" spans="1:29">
      <c r="A122" s="187">
        <f t="shared" si="44"/>
        <v>2022</v>
      </c>
      <c r="B122" s="1659">
        <f>INDEX(Drivers!$A$8:$AM$8,1,$A122-2011)/1000</f>
        <v>60.682333816399378</v>
      </c>
      <c r="C122" s="1660">
        <f>INDEX(Drivers!$A$16:$AM$16,1,$A122-2011)</f>
        <v>3086.0582602351519</v>
      </c>
      <c r="D122" s="1661">
        <f>INDEX(Drivers!$A$25:$AM$25,1,$A122-2011)/INDEX(Drivers!$A$25:$AM$25,1,$A122-2012)*D121</f>
        <v>45764081.347342722</v>
      </c>
      <c r="E122" s="762">
        <f t="shared" si="52"/>
        <v>45764081.347342722</v>
      </c>
      <c r="F122" s="1122"/>
      <c r="G122" s="1122"/>
      <c r="H122" s="1123"/>
      <c r="I122" s="1294">
        <f t="shared" si="51"/>
        <v>424.26313389388866</v>
      </c>
      <c r="J122" s="1295">
        <f t="shared" si="53"/>
        <v>12.071167303296225</v>
      </c>
      <c r="K122" s="1296">
        <f t="shared" si="41"/>
        <v>25745.277116940699</v>
      </c>
      <c r="L122" s="1296">
        <f t="shared" si="54"/>
        <v>83016.406914360516</v>
      </c>
      <c r="M122" s="1297">
        <f t="shared" si="55"/>
        <v>83016.406914360516</v>
      </c>
      <c r="N122" s="1251">
        <f t="shared" si="46"/>
        <v>0.19892488097366726</v>
      </c>
      <c r="O122" s="1251">
        <f t="shared" si="46"/>
        <v>0.26585903447659598</v>
      </c>
      <c r="P122" s="1251">
        <f t="shared" si="46"/>
        <v>8.9228108703258049E-2</v>
      </c>
      <c r="Q122" s="1251">
        <f t="shared" si="46"/>
        <v>0</v>
      </c>
      <c r="R122" s="1251">
        <f t="shared" si="46"/>
        <v>0</v>
      </c>
      <c r="S122" s="1251">
        <f t="shared" si="46"/>
        <v>0</v>
      </c>
      <c r="T122" s="1251">
        <f t="shared" si="46"/>
        <v>0.4459879758464787</v>
      </c>
      <c r="U122" s="1284">
        <f t="shared" si="43"/>
        <v>1</v>
      </c>
      <c r="V122" s="1285">
        <f t="shared" si="50"/>
        <v>0.29028184578274857</v>
      </c>
      <c r="W122" s="1251">
        <f t="shared" si="50"/>
        <v>0.30317187715157518</v>
      </c>
      <c r="X122" s="1251">
        <f t="shared" si="50"/>
        <v>8.2805443243048754E-2</v>
      </c>
      <c r="Y122" s="1251">
        <f t="shared" si="50"/>
        <v>0</v>
      </c>
      <c r="Z122" s="1251">
        <f t="shared" si="50"/>
        <v>0</v>
      </c>
      <c r="AA122" s="1251">
        <f t="shared" si="50"/>
        <v>0</v>
      </c>
      <c r="AB122" s="1251">
        <f t="shared" si="50"/>
        <v>0.32374083382262742</v>
      </c>
      <c r="AC122" s="1284">
        <f t="shared" si="47"/>
        <v>0.99999999999999989</v>
      </c>
    </row>
    <row r="123" spans="1:29">
      <c r="A123" s="187">
        <f t="shared" si="44"/>
        <v>2023</v>
      </c>
      <c r="B123" s="1659">
        <f>INDEX(Drivers!$A$8:$AM$8,1,$A123-2011)/1000</f>
        <v>61.381040636574369</v>
      </c>
      <c r="C123" s="1660">
        <f>INDEX(Drivers!$A$16:$AM$16,1,$A123-2011)</f>
        <v>3153.9083559128044</v>
      </c>
      <c r="D123" s="1661">
        <f>INDEX(Drivers!$A$25:$AM$25,1,$A123-2011)/INDEX(Drivers!$A$25:$AM$25,1,$A123-2012)*D122</f>
        <v>45569695.474175937</v>
      </c>
      <c r="E123" s="762">
        <f t="shared" si="52"/>
        <v>45569695.474175937</v>
      </c>
      <c r="F123" s="1122"/>
      <c r="G123" s="1122"/>
      <c r="H123" s="1123"/>
      <c r="I123" s="1294">
        <f t="shared" si="51"/>
        <v>424.26313389388866</v>
      </c>
      <c r="J123" s="1295">
        <f t="shared" si="53"/>
        <v>12.071167303296225</v>
      </c>
      <c r="K123" s="1296">
        <f t="shared" si="41"/>
        <v>26041.712662141173</v>
      </c>
      <c r="L123" s="1296">
        <f t="shared" si="54"/>
        <v>83641.050897663343</v>
      </c>
      <c r="M123" s="1297">
        <f t="shared" si="55"/>
        <v>83641.050897663343</v>
      </c>
      <c r="N123" s="1251">
        <f t="shared" si="46"/>
        <v>0.19892488097366726</v>
      </c>
      <c r="O123" s="1251">
        <f t="shared" si="46"/>
        <v>0.26585903447659598</v>
      </c>
      <c r="P123" s="1251">
        <f t="shared" si="46"/>
        <v>8.9228108703258049E-2</v>
      </c>
      <c r="Q123" s="1251">
        <f t="shared" si="46"/>
        <v>0</v>
      </c>
      <c r="R123" s="1251">
        <f t="shared" si="46"/>
        <v>0</v>
      </c>
      <c r="S123" s="1251">
        <f t="shared" si="46"/>
        <v>0</v>
      </c>
      <c r="T123" s="1251">
        <f t="shared" si="46"/>
        <v>0.4459879758464787</v>
      </c>
      <c r="U123" s="1284">
        <f t="shared" si="43"/>
        <v>1</v>
      </c>
      <c r="V123" s="1285">
        <f t="shared" si="50"/>
        <v>0.29028184578274857</v>
      </c>
      <c r="W123" s="1251">
        <f t="shared" si="50"/>
        <v>0.30317187715157518</v>
      </c>
      <c r="X123" s="1251">
        <f t="shared" si="50"/>
        <v>8.2805443243048754E-2</v>
      </c>
      <c r="Y123" s="1251">
        <f t="shared" si="50"/>
        <v>0</v>
      </c>
      <c r="Z123" s="1251">
        <f t="shared" si="50"/>
        <v>0</v>
      </c>
      <c r="AA123" s="1251">
        <f t="shared" si="50"/>
        <v>0</v>
      </c>
      <c r="AB123" s="1251">
        <f t="shared" si="50"/>
        <v>0.32374083382262742</v>
      </c>
      <c r="AC123" s="1284">
        <f t="shared" si="47"/>
        <v>0.99999999999999989</v>
      </c>
    </row>
    <row r="124" spans="1:29">
      <c r="A124" s="187">
        <f t="shared" si="44"/>
        <v>2024</v>
      </c>
      <c r="B124" s="1659">
        <f>INDEX(Drivers!$A$8:$AM$8,1,$A124-2011)/1000</f>
        <v>62.087792487153699</v>
      </c>
      <c r="C124" s="1660">
        <f>INDEX(Drivers!$A$16:$AM$16,1,$A124-2011)</f>
        <v>3232.6126442228219</v>
      </c>
      <c r="D124" s="1661">
        <f>INDEX(Drivers!$A$25:$AM$25,1,$A124-2011)/INDEX(Drivers!$A$25:$AM$25,1,$A124-2012)*D123</f>
        <v>46327457.455900244</v>
      </c>
      <c r="E124" s="762">
        <f t="shared" si="52"/>
        <v>46327457.455900244</v>
      </c>
      <c r="F124" s="1122"/>
      <c r="G124" s="1122"/>
      <c r="H124" s="1123"/>
      <c r="I124" s="1294">
        <f t="shared" si="51"/>
        <v>424.26313389388866</v>
      </c>
      <c r="J124" s="1295">
        <f t="shared" si="53"/>
        <v>12.071167303296225</v>
      </c>
      <c r="K124" s="1296">
        <f t="shared" si="41"/>
        <v>26341.561417153265</v>
      </c>
      <c r="L124" s="1296">
        <f t="shared" si="54"/>
        <v>85348.865511064723</v>
      </c>
      <c r="M124" s="1297">
        <f t="shared" si="55"/>
        <v>85348.865511064723</v>
      </c>
      <c r="N124" s="1251">
        <f t="shared" si="46"/>
        <v>0.19892488097366726</v>
      </c>
      <c r="O124" s="1251">
        <f t="shared" si="46"/>
        <v>0.26585903447659598</v>
      </c>
      <c r="P124" s="1251">
        <f t="shared" si="46"/>
        <v>8.9228108703258049E-2</v>
      </c>
      <c r="Q124" s="1251">
        <f t="shared" si="46"/>
        <v>0</v>
      </c>
      <c r="R124" s="1251">
        <f t="shared" si="46"/>
        <v>0</v>
      </c>
      <c r="S124" s="1251">
        <f t="shared" si="46"/>
        <v>0</v>
      </c>
      <c r="T124" s="1251">
        <f t="shared" si="46"/>
        <v>0.4459879758464787</v>
      </c>
      <c r="U124" s="1284">
        <f t="shared" si="43"/>
        <v>1</v>
      </c>
      <c r="V124" s="1285">
        <f t="shared" si="50"/>
        <v>0.29028184578274857</v>
      </c>
      <c r="W124" s="1251">
        <f t="shared" si="50"/>
        <v>0.30317187715157518</v>
      </c>
      <c r="X124" s="1251">
        <f t="shared" si="50"/>
        <v>8.2805443243048754E-2</v>
      </c>
      <c r="Y124" s="1251">
        <f t="shared" si="50"/>
        <v>0</v>
      </c>
      <c r="Z124" s="1251">
        <f t="shared" si="50"/>
        <v>0</v>
      </c>
      <c r="AA124" s="1251">
        <f t="shared" si="50"/>
        <v>0</v>
      </c>
      <c r="AB124" s="1251">
        <f t="shared" si="50"/>
        <v>0.32374083382262742</v>
      </c>
      <c r="AC124" s="1284">
        <f t="shared" si="47"/>
        <v>0.99999999999999989</v>
      </c>
    </row>
    <row r="125" spans="1:29">
      <c r="A125" s="187">
        <f t="shared" si="44"/>
        <v>2025</v>
      </c>
      <c r="B125" s="1659">
        <f>INDEX(Drivers!$A$8:$AM$8,1,$A125-2011)/1000</f>
        <v>62.802682000000026</v>
      </c>
      <c r="C125" s="1660">
        <f>INDEX(Drivers!$A$16:$AM$16,1,$A125-2011)</f>
        <v>3311.8439930677405</v>
      </c>
      <c r="D125" s="1661">
        <f>INDEX(Drivers!$A$25:$AM$25,1,$A125-2011)/INDEX(Drivers!$A$25:$AM$25,1,$A125-2012)*D124</f>
        <v>46801820.784301206</v>
      </c>
      <c r="E125" s="762">
        <f t="shared" si="52"/>
        <v>46801820.784301206</v>
      </c>
      <c r="F125" s="1122"/>
      <c r="G125" s="1122"/>
      <c r="H125" s="1123"/>
      <c r="I125" s="1294">
        <f t="shared" si="51"/>
        <v>424.26313389388866</v>
      </c>
      <c r="J125" s="1295">
        <f t="shared" si="53"/>
        <v>12.071167303296225</v>
      </c>
      <c r="K125" s="1296">
        <f t="shared" si="41"/>
        <v>26644.862682261322</v>
      </c>
      <c r="L125" s="1296">
        <f t="shared" si="54"/>
        <v>86779.643707038515</v>
      </c>
      <c r="M125" s="1297">
        <f t="shared" si="55"/>
        <v>86779.643707038515</v>
      </c>
      <c r="N125" s="1251">
        <f t="shared" si="46"/>
        <v>0.19892488097366726</v>
      </c>
      <c r="O125" s="1251">
        <f t="shared" si="46"/>
        <v>0.26585903447659598</v>
      </c>
      <c r="P125" s="1251">
        <f t="shared" si="46"/>
        <v>8.9228108703258049E-2</v>
      </c>
      <c r="Q125" s="1251">
        <f t="shared" si="46"/>
        <v>0</v>
      </c>
      <c r="R125" s="1251">
        <f t="shared" si="46"/>
        <v>0</v>
      </c>
      <c r="S125" s="1251">
        <f t="shared" si="46"/>
        <v>0</v>
      </c>
      <c r="T125" s="1251">
        <f t="shared" si="46"/>
        <v>0.4459879758464787</v>
      </c>
      <c r="U125" s="1284">
        <f t="shared" si="43"/>
        <v>1</v>
      </c>
      <c r="V125" s="1285">
        <f t="shared" si="50"/>
        <v>0.29028184578274857</v>
      </c>
      <c r="W125" s="1251">
        <f t="shared" si="50"/>
        <v>0.30317187715157518</v>
      </c>
      <c r="X125" s="1251">
        <f t="shared" si="50"/>
        <v>8.2805443243048754E-2</v>
      </c>
      <c r="Y125" s="1251">
        <f t="shared" si="50"/>
        <v>0</v>
      </c>
      <c r="Z125" s="1251">
        <f t="shared" si="50"/>
        <v>0</v>
      </c>
      <c r="AA125" s="1251">
        <f t="shared" si="50"/>
        <v>0</v>
      </c>
      <c r="AB125" s="1251">
        <f t="shared" si="50"/>
        <v>0.32374083382262742</v>
      </c>
      <c r="AC125" s="1284">
        <f t="shared" si="47"/>
        <v>0.99999999999999989</v>
      </c>
    </row>
    <row r="126" spans="1:29">
      <c r="A126" s="187">
        <f t="shared" si="44"/>
        <v>2026</v>
      </c>
      <c r="B126" s="1659">
        <f>INDEX(Drivers!$A$8:$AM$8,1,$A126-2011)/1000</f>
        <v>63.421065342005143</v>
      </c>
      <c r="C126" s="1660">
        <f>INDEX(Drivers!$A$16:$AM$16,1,$A126-2011)</f>
        <v>3393.1756913606432</v>
      </c>
      <c r="D126" s="1661">
        <f>INDEX(Drivers!$A$25:$AM$25,1,$A126-2011)/INDEX(Drivers!$A$25:$AM$25,1,$A126-2012)*D125</f>
        <v>46479674.028888769</v>
      </c>
      <c r="E126" s="762">
        <f t="shared" si="52"/>
        <v>46479674.028888769</v>
      </c>
      <c r="F126" s="1122"/>
      <c r="G126" s="1122"/>
      <c r="H126" s="1123"/>
      <c r="I126" s="1294">
        <f t="shared" si="51"/>
        <v>424.26313389388866</v>
      </c>
      <c r="J126" s="1295">
        <f t="shared" si="53"/>
        <v>12.071167303296225</v>
      </c>
      <c r="K126" s="1296">
        <f t="shared" si="41"/>
        <v>26907.219936888188</v>
      </c>
      <c r="L126" s="1296">
        <f t="shared" si="54"/>
        <v>87439.265488780919</v>
      </c>
      <c r="M126" s="1297">
        <f t="shared" si="55"/>
        <v>87439.265488780919</v>
      </c>
      <c r="N126" s="1251">
        <f t="shared" si="46"/>
        <v>0.19892488097366726</v>
      </c>
      <c r="O126" s="1251">
        <f t="shared" si="46"/>
        <v>0.26585903447659598</v>
      </c>
      <c r="P126" s="1251">
        <f t="shared" si="46"/>
        <v>8.9228108703258049E-2</v>
      </c>
      <c r="Q126" s="1251">
        <f t="shared" si="46"/>
        <v>0</v>
      </c>
      <c r="R126" s="1251">
        <f t="shared" si="46"/>
        <v>0</v>
      </c>
      <c r="S126" s="1251">
        <f t="shared" si="46"/>
        <v>0</v>
      </c>
      <c r="T126" s="1251">
        <f t="shared" si="46"/>
        <v>0.4459879758464787</v>
      </c>
      <c r="U126" s="1284">
        <f t="shared" si="43"/>
        <v>1</v>
      </c>
      <c r="V126" s="1285">
        <f t="shared" si="50"/>
        <v>0.29028184578274857</v>
      </c>
      <c r="W126" s="1251">
        <f t="shared" si="50"/>
        <v>0.30317187715157518</v>
      </c>
      <c r="X126" s="1251">
        <f t="shared" si="50"/>
        <v>8.2805443243048754E-2</v>
      </c>
      <c r="Y126" s="1251">
        <f t="shared" si="50"/>
        <v>0</v>
      </c>
      <c r="Z126" s="1251">
        <f t="shared" si="50"/>
        <v>0</v>
      </c>
      <c r="AA126" s="1251">
        <f t="shared" si="50"/>
        <v>0</v>
      </c>
      <c r="AB126" s="1251">
        <f t="shared" si="50"/>
        <v>0.32374083382262742</v>
      </c>
      <c r="AC126" s="1284">
        <f t="shared" si="47"/>
        <v>0.99999999999999989</v>
      </c>
    </row>
    <row r="127" spans="1:29">
      <c r="A127" s="187">
        <f t="shared" si="44"/>
        <v>2027</v>
      </c>
      <c r="B127" s="1659">
        <f>INDEX(Drivers!$A$8:$AM$8,1,$A127-2011)/1000</f>
        <v>64.045537563425796</v>
      </c>
      <c r="C127" s="1660">
        <f>INDEX(Drivers!$A$16:$AM$16,1,$A127-2011)</f>
        <v>3472.5774012476563</v>
      </c>
      <c r="D127" s="1661">
        <f>INDEX(Drivers!$A$25:$AM$25,1,$A127-2011)/INDEX(Drivers!$A$25:$AM$25,1,$A127-2012)*D126</f>
        <v>45641833.264745638</v>
      </c>
      <c r="E127" s="762">
        <f t="shared" si="52"/>
        <v>45641833.264745638</v>
      </c>
      <c r="F127" s="1122"/>
      <c r="G127" s="1122"/>
      <c r="H127" s="1123"/>
      <c r="I127" s="1294">
        <f t="shared" si="51"/>
        <v>424.26313389388866</v>
      </c>
      <c r="J127" s="1295">
        <f t="shared" si="53"/>
        <v>12.071167303296225</v>
      </c>
      <c r="K127" s="1296">
        <f t="shared" si="41"/>
        <v>27172.160478577796</v>
      </c>
      <c r="L127" s="1296">
        <f t="shared" si="54"/>
        <v>87559.896048851719</v>
      </c>
      <c r="M127" s="1297">
        <f t="shared" si="55"/>
        <v>87559.896048851719</v>
      </c>
      <c r="N127" s="1251">
        <f t="shared" si="46"/>
        <v>0.19892488097366726</v>
      </c>
      <c r="O127" s="1251">
        <f t="shared" si="46"/>
        <v>0.26585903447659598</v>
      </c>
      <c r="P127" s="1251">
        <f t="shared" si="46"/>
        <v>8.9228108703258049E-2</v>
      </c>
      <c r="Q127" s="1251">
        <f t="shared" si="46"/>
        <v>0</v>
      </c>
      <c r="R127" s="1251">
        <f t="shared" si="46"/>
        <v>0</v>
      </c>
      <c r="S127" s="1251">
        <f t="shared" si="46"/>
        <v>0</v>
      </c>
      <c r="T127" s="1251">
        <f t="shared" si="46"/>
        <v>0.4459879758464787</v>
      </c>
      <c r="U127" s="1284">
        <f t="shared" si="43"/>
        <v>1</v>
      </c>
      <c r="V127" s="1285">
        <f t="shared" si="50"/>
        <v>0.29028184578274857</v>
      </c>
      <c r="W127" s="1251">
        <f t="shared" si="50"/>
        <v>0.30317187715157518</v>
      </c>
      <c r="X127" s="1251">
        <f t="shared" si="50"/>
        <v>8.2805443243048754E-2</v>
      </c>
      <c r="Y127" s="1251">
        <f t="shared" si="50"/>
        <v>0</v>
      </c>
      <c r="Z127" s="1251">
        <f t="shared" si="50"/>
        <v>0</v>
      </c>
      <c r="AA127" s="1251">
        <f t="shared" si="50"/>
        <v>0</v>
      </c>
      <c r="AB127" s="1251">
        <f t="shared" si="50"/>
        <v>0.32374083382262742</v>
      </c>
      <c r="AC127" s="1284">
        <f t="shared" si="47"/>
        <v>0.99999999999999989</v>
      </c>
    </row>
    <row r="128" spans="1:29">
      <c r="A128" s="187">
        <f t="shared" ref="A128:A150" si="56">A127+1</f>
        <v>2028</v>
      </c>
      <c r="B128" s="1659">
        <f>INDEX(Drivers!$A$8:$AM$8,1,$A128-2011)/1000</f>
        <v>64.676158618096451</v>
      </c>
      <c r="C128" s="1660">
        <f>INDEX(Drivers!$A$16:$AM$16,1,$A128-2011)</f>
        <v>3555.7273448150845</v>
      </c>
      <c r="D128" s="1661">
        <f>INDEX(Drivers!$A$25:$AM$25,1,$A128-2011)/INDEX(Drivers!$A$25:$AM$25,1,$A128-2012)*D127</f>
        <v>44757313.865039073</v>
      </c>
      <c r="E128" s="762">
        <f t="shared" si="52"/>
        <v>44757313.865039073</v>
      </c>
      <c r="F128" s="1122"/>
      <c r="G128" s="1122"/>
      <c r="H128" s="1123"/>
      <c r="I128" s="1294">
        <f t="shared" si="51"/>
        <v>424.26313389388866</v>
      </c>
      <c r="J128" s="1295">
        <f t="shared" si="53"/>
        <v>12.071167303296225</v>
      </c>
      <c r="K128" s="1296">
        <f t="shared" si="41"/>
        <v>27439.709743531836</v>
      </c>
      <c r="L128" s="1296">
        <f t="shared" si="54"/>
        <v>87679.093529207224</v>
      </c>
      <c r="M128" s="1297">
        <f t="shared" si="55"/>
        <v>87679.093529207224</v>
      </c>
      <c r="N128" s="1251">
        <f t="shared" si="46"/>
        <v>0.19892488097366726</v>
      </c>
      <c r="O128" s="1251">
        <f t="shared" si="46"/>
        <v>0.26585903447659598</v>
      </c>
      <c r="P128" s="1251">
        <f t="shared" si="46"/>
        <v>8.9228108703258049E-2</v>
      </c>
      <c r="Q128" s="1251">
        <f t="shared" si="46"/>
        <v>0</v>
      </c>
      <c r="R128" s="1251">
        <f t="shared" si="46"/>
        <v>0</v>
      </c>
      <c r="S128" s="1251">
        <f t="shared" si="46"/>
        <v>0</v>
      </c>
      <c r="T128" s="1251">
        <f t="shared" si="46"/>
        <v>0.4459879758464787</v>
      </c>
      <c r="U128" s="1284">
        <f t="shared" si="43"/>
        <v>1</v>
      </c>
      <c r="V128" s="1285">
        <f t="shared" si="50"/>
        <v>0.29028184578274857</v>
      </c>
      <c r="W128" s="1251">
        <f t="shared" si="50"/>
        <v>0.30317187715157518</v>
      </c>
      <c r="X128" s="1251">
        <f t="shared" si="50"/>
        <v>8.2805443243048754E-2</v>
      </c>
      <c r="Y128" s="1251">
        <f t="shared" si="50"/>
        <v>0</v>
      </c>
      <c r="Z128" s="1251">
        <f t="shared" si="50"/>
        <v>0</v>
      </c>
      <c r="AA128" s="1251">
        <f t="shared" si="50"/>
        <v>0</v>
      </c>
      <c r="AB128" s="1251">
        <f t="shared" si="50"/>
        <v>0.32374083382262742</v>
      </c>
      <c r="AC128" s="1284">
        <f t="shared" si="47"/>
        <v>0.99999999999999989</v>
      </c>
    </row>
    <row r="129" spans="1:29">
      <c r="A129" s="187">
        <f t="shared" si="56"/>
        <v>2029</v>
      </c>
      <c r="B129" s="1659">
        <f>INDEX(Drivers!$A$8:$AM$8,1,$A129-2011)/1000</f>
        <v>65.31298905018393</v>
      </c>
      <c r="C129" s="1660">
        <f>INDEX(Drivers!$A$16:$AM$16,1,$A129-2011)</f>
        <v>3635.303730869829</v>
      </c>
      <c r="D129" s="1661">
        <f>INDEX(Drivers!$A$25:$AM$25,1,$A129-2011)/INDEX(Drivers!$A$25:$AM$25,1,$A129-2012)*D128</f>
        <v>43023314.860788628</v>
      </c>
      <c r="E129" s="762">
        <f t="shared" si="52"/>
        <v>43023314.860788628</v>
      </c>
      <c r="F129" s="1122"/>
      <c r="G129" s="1122"/>
      <c r="H129" s="1123"/>
      <c r="I129" s="1294">
        <f t="shared" si="51"/>
        <v>424.26313389388866</v>
      </c>
      <c r="J129" s="1295">
        <f t="shared" si="53"/>
        <v>12.071167303296225</v>
      </c>
      <c r="K129" s="1296">
        <f t="shared" si="41"/>
        <v>27709.893418408268</v>
      </c>
      <c r="L129" s="1296">
        <f t="shared" si="54"/>
        <v>86905.674394415284</v>
      </c>
      <c r="M129" s="1297">
        <f t="shared" si="55"/>
        <v>86905.674394415284</v>
      </c>
      <c r="N129" s="1251">
        <f t="shared" si="46"/>
        <v>0.19892488097366726</v>
      </c>
      <c r="O129" s="1251">
        <f t="shared" si="46"/>
        <v>0.26585903447659598</v>
      </c>
      <c r="P129" s="1251">
        <f t="shared" si="46"/>
        <v>8.9228108703258049E-2</v>
      </c>
      <c r="Q129" s="1251">
        <f t="shared" si="46"/>
        <v>0</v>
      </c>
      <c r="R129" s="1251">
        <f t="shared" si="46"/>
        <v>0</v>
      </c>
      <c r="S129" s="1251">
        <f t="shared" si="46"/>
        <v>0</v>
      </c>
      <c r="T129" s="1251">
        <f t="shared" si="46"/>
        <v>0.4459879758464787</v>
      </c>
      <c r="U129" s="1284">
        <f t="shared" si="43"/>
        <v>1</v>
      </c>
      <c r="V129" s="1285">
        <f t="shared" si="50"/>
        <v>0.29028184578274857</v>
      </c>
      <c r="W129" s="1251">
        <f t="shared" si="50"/>
        <v>0.30317187715157518</v>
      </c>
      <c r="X129" s="1251">
        <f t="shared" si="50"/>
        <v>8.2805443243048754E-2</v>
      </c>
      <c r="Y129" s="1251">
        <f t="shared" si="50"/>
        <v>0</v>
      </c>
      <c r="Z129" s="1251">
        <f t="shared" si="50"/>
        <v>0</v>
      </c>
      <c r="AA129" s="1251">
        <f t="shared" si="50"/>
        <v>0</v>
      </c>
      <c r="AB129" s="1251">
        <f t="shared" si="50"/>
        <v>0.32374083382262742</v>
      </c>
      <c r="AC129" s="1284">
        <f t="shared" si="47"/>
        <v>0.99999999999999989</v>
      </c>
    </row>
    <row r="130" spans="1:29">
      <c r="A130" s="187">
        <f t="shared" si="56"/>
        <v>2030</v>
      </c>
      <c r="B130" s="1659">
        <f>INDEX(Drivers!$A$8:$AM$8,1,$A130-2011)/1000</f>
        <v>65.956090000000003</v>
      </c>
      <c r="C130" s="1660">
        <f>INDEX(Drivers!$A$16:$AM$16,1,$A130-2011)</f>
        <v>3717.2759118719223</v>
      </c>
      <c r="D130" s="1661">
        <f>INDEX(Drivers!$A$25:$AM$25,1,$A130-2011)/INDEX(Drivers!$A$25:$AM$25,1,$A130-2012)*D129</f>
        <v>41579903.969008513</v>
      </c>
      <c r="E130" s="762">
        <f t="shared" si="52"/>
        <v>41579903.969008513</v>
      </c>
      <c r="F130" s="1122"/>
      <c r="G130" s="1122"/>
      <c r="H130" s="1123"/>
      <c r="I130" s="1294">
        <f t="shared" si="51"/>
        <v>424.26313389388866</v>
      </c>
      <c r="J130" s="1295">
        <f t="shared" si="53"/>
        <v>12.071167303296225</v>
      </c>
      <c r="K130" s="1296">
        <f t="shared" si="41"/>
        <v>27982.737442787373</v>
      </c>
      <c r="L130" s="1296">
        <f t="shared" si="54"/>
        <v>86451.763413727516</v>
      </c>
      <c r="M130" s="1297">
        <f t="shared" si="55"/>
        <v>86451.763413727516</v>
      </c>
      <c r="N130" s="1251">
        <f t="shared" si="46"/>
        <v>0.19892488097366726</v>
      </c>
      <c r="O130" s="1251">
        <f t="shared" si="46"/>
        <v>0.26585903447659598</v>
      </c>
      <c r="P130" s="1251">
        <f t="shared" si="46"/>
        <v>8.9228108703258049E-2</v>
      </c>
      <c r="Q130" s="1251">
        <f t="shared" si="46"/>
        <v>0</v>
      </c>
      <c r="R130" s="1251">
        <f t="shared" si="46"/>
        <v>0</v>
      </c>
      <c r="S130" s="1251">
        <f t="shared" si="46"/>
        <v>0</v>
      </c>
      <c r="T130" s="1251">
        <f t="shared" si="46"/>
        <v>0.4459879758464787</v>
      </c>
      <c r="U130" s="1284">
        <f t="shared" si="43"/>
        <v>1</v>
      </c>
      <c r="V130" s="1285">
        <f t="shared" si="50"/>
        <v>0.29028184578274857</v>
      </c>
      <c r="W130" s="1251">
        <f t="shared" si="50"/>
        <v>0.30317187715157518</v>
      </c>
      <c r="X130" s="1251">
        <f t="shared" si="50"/>
        <v>8.2805443243048754E-2</v>
      </c>
      <c r="Y130" s="1251">
        <f t="shared" si="50"/>
        <v>0</v>
      </c>
      <c r="Z130" s="1251">
        <f t="shared" si="50"/>
        <v>0</v>
      </c>
      <c r="AA130" s="1251">
        <f t="shared" si="50"/>
        <v>0</v>
      </c>
      <c r="AB130" s="1251">
        <f t="shared" si="50"/>
        <v>0.32374083382262742</v>
      </c>
      <c r="AC130" s="1284">
        <f t="shared" si="47"/>
        <v>0.99999999999999989</v>
      </c>
    </row>
    <row r="131" spans="1:29">
      <c r="A131" s="187">
        <f t="shared" si="56"/>
        <v>2031</v>
      </c>
      <c r="B131" s="1659">
        <f>INDEX(Drivers!$A$8:$AM$8,1,$A131-2011)/1000</f>
        <v>66.518977190687664</v>
      </c>
      <c r="C131" s="1660">
        <f>INDEX(Drivers!$A$16:$AM$16,1,$A131-2011)</f>
        <v>3813.477009093895</v>
      </c>
      <c r="D131" s="1661">
        <f>INDEX(Drivers!$A$25:$AM$25,1,$A131-2011)/INDEX(Drivers!$A$25:$AM$25,1,$A131-2012)*D130</f>
        <v>40172018.684421316</v>
      </c>
      <c r="E131" s="762">
        <f t="shared" si="52"/>
        <v>40172018.684421316</v>
      </c>
      <c r="F131" s="1122"/>
      <c r="G131" s="1122"/>
      <c r="H131" s="1123"/>
      <c r="I131" s="1294">
        <f t="shared" si="51"/>
        <v>424.26313389388866</v>
      </c>
      <c r="J131" s="1295">
        <f t="shared" si="53"/>
        <v>12.071167303296225</v>
      </c>
      <c r="K131" s="1296">
        <f t="shared" si="41"/>
        <v>28221.549726337245</v>
      </c>
      <c r="L131" s="1296">
        <f t="shared" si="54"/>
        <v>86205.137668467418</v>
      </c>
      <c r="M131" s="1297">
        <f t="shared" si="55"/>
        <v>86205.137668467418</v>
      </c>
      <c r="N131" s="1251">
        <f t="shared" ref="N131:T146" si="57">N130</f>
        <v>0.19892488097366726</v>
      </c>
      <c r="O131" s="1251">
        <f t="shared" si="57"/>
        <v>0.26585903447659598</v>
      </c>
      <c r="P131" s="1251">
        <f t="shared" si="57"/>
        <v>8.9228108703258049E-2</v>
      </c>
      <c r="Q131" s="1251">
        <f t="shared" si="57"/>
        <v>0</v>
      </c>
      <c r="R131" s="1251">
        <f t="shared" si="57"/>
        <v>0</v>
      </c>
      <c r="S131" s="1251">
        <f t="shared" si="57"/>
        <v>0</v>
      </c>
      <c r="T131" s="1251">
        <f t="shared" si="57"/>
        <v>0.4459879758464787</v>
      </c>
      <c r="U131" s="1284">
        <f t="shared" si="43"/>
        <v>1</v>
      </c>
      <c r="V131" s="1285">
        <f t="shared" si="50"/>
        <v>0.29028184578274857</v>
      </c>
      <c r="W131" s="1251">
        <f t="shared" si="50"/>
        <v>0.30317187715157518</v>
      </c>
      <c r="X131" s="1251">
        <f t="shared" si="50"/>
        <v>8.2805443243048754E-2</v>
      </c>
      <c r="Y131" s="1251">
        <f t="shared" si="50"/>
        <v>0</v>
      </c>
      <c r="Z131" s="1251">
        <f t="shared" si="50"/>
        <v>0</v>
      </c>
      <c r="AA131" s="1251">
        <f t="shared" si="50"/>
        <v>0</v>
      </c>
      <c r="AB131" s="1251">
        <f t="shared" si="50"/>
        <v>0.32374083382262742</v>
      </c>
      <c r="AC131" s="1284">
        <f t="shared" si="47"/>
        <v>0.99999999999999989</v>
      </c>
    </row>
    <row r="132" spans="1:29">
      <c r="A132" s="187">
        <f t="shared" si="56"/>
        <v>2032</v>
      </c>
      <c r="B132" s="1659">
        <f>INDEX(Drivers!$A$8:$AM$8,1,$A132-2011)/1000</f>
        <v>67.08666821358311</v>
      </c>
      <c r="C132" s="1660">
        <f>INDEX(Drivers!$A$16:$AM$16,1,$A132-2011)</f>
        <v>3916.9054384503629</v>
      </c>
      <c r="D132" s="1661">
        <f>INDEX(Drivers!$A$25:$AM$25,1,$A132-2011)/INDEX(Drivers!$A$25:$AM$25,1,$A132-2012)*D131</f>
        <v>39638613.148632608</v>
      </c>
      <c r="E132" s="762">
        <f t="shared" si="52"/>
        <v>39638613.148632608</v>
      </c>
      <c r="F132" s="1122"/>
      <c r="G132" s="1122"/>
      <c r="H132" s="1123"/>
      <c r="I132" s="1294">
        <f t="shared" si="51"/>
        <v>424.26313389388866</v>
      </c>
      <c r="J132" s="1295">
        <f t="shared" si="53"/>
        <v>12.071167303296225</v>
      </c>
      <c r="K132" s="1296">
        <f t="shared" si="41"/>
        <v>28462.400098794296</v>
      </c>
      <c r="L132" s="1296">
        <f t="shared" si="54"/>
        <v>86920.234007357794</v>
      </c>
      <c r="M132" s="1297">
        <f t="shared" si="55"/>
        <v>86920.234007357794</v>
      </c>
      <c r="N132" s="1251">
        <f t="shared" si="57"/>
        <v>0.19892488097366726</v>
      </c>
      <c r="O132" s="1251">
        <f t="shared" si="57"/>
        <v>0.26585903447659598</v>
      </c>
      <c r="P132" s="1251">
        <f t="shared" si="57"/>
        <v>8.9228108703258049E-2</v>
      </c>
      <c r="Q132" s="1251">
        <f t="shared" si="57"/>
        <v>0</v>
      </c>
      <c r="R132" s="1251">
        <f t="shared" si="57"/>
        <v>0</v>
      </c>
      <c r="S132" s="1251">
        <f t="shared" si="57"/>
        <v>0</v>
      </c>
      <c r="T132" s="1251">
        <f t="shared" si="57"/>
        <v>0.4459879758464787</v>
      </c>
      <c r="U132" s="1284">
        <f t="shared" si="43"/>
        <v>1</v>
      </c>
      <c r="V132" s="1285">
        <f t="shared" ref="V132:AB147" si="58">V131</f>
        <v>0.29028184578274857</v>
      </c>
      <c r="W132" s="1251">
        <f t="shared" si="58"/>
        <v>0.30317187715157518</v>
      </c>
      <c r="X132" s="1251">
        <f t="shared" si="58"/>
        <v>8.2805443243048754E-2</v>
      </c>
      <c r="Y132" s="1251">
        <f t="shared" si="58"/>
        <v>0</v>
      </c>
      <c r="Z132" s="1251">
        <f t="shared" si="58"/>
        <v>0</v>
      </c>
      <c r="AA132" s="1251">
        <f t="shared" si="58"/>
        <v>0</v>
      </c>
      <c r="AB132" s="1251">
        <f t="shared" si="58"/>
        <v>0.32374083382262742</v>
      </c>
      <c r="AC132" s="1284">
        <f t="shared" si="47"/>
        <v>0.99999999999999989</v>
      </c>
    </row>
    <row r="133" spans="1:29">
      <c r="A133" s="187">
        <f t="shared" si="56"/>
        <v>2033</v>
      </c>
      <c r="B133" s="1659">
        <f>INDEX(Drivers!$A$8:$AM$8,1,$A133-2011)/1000</f>
        <v>67.659204065895452</v>
      </c>
      <c r="C133" s="1660">
        <f>INDEX(Drivers!$A$16:$AM$16,1,$A133-2011)</f>
        <v>4023.8304695138613</v>
      </c>
      <c r="D133" s="1661">
        <f>INDEX(Drivers!$A$25:$AM$25,1,$A133-2011)/INDEX(Drivers!$A$25:$AM$25,1,$A133-2012)*D132</f>
        <v>38783300.848650038</v>
      </c>
      <c r="E133" s="762">
        <f t="shared" si="52"/>
        <v>38783300.848650038</v>
      </c>
      <c r="F133" s="1122"/>
      <c r="G133" s="1122"/>
      <c r="H133" s="1123"/>
      <c r="I133" s="1294">
        <f t="shared" si="51"/>
        <v>424.26313389388866</v>
      </c>
      <c r="J133" s="1295">
        <f t="shared" si="53"/>
        <v>12.071167303296225</v>
      </c>
      <c r="K133" s="1296">
        <f t="shared" si="41"/>
        <v>28705.305953762938</v>
      </c>
      <c r="L133" s="1296">
        <f t="shared" si="54"/>
        <v>87355.631646252848</v>
      </c>
      <c r="M133" s="1297">
        <f t="shared" si="55"/>
        <v>87355.631646252848</v>
      </c>
      <c r="N133" s="1251">
        <f t="shared" si="57"/>
        <v>0.19892488097366726</v>
      </c>
      <c r="O133" s="1251">
        <f t="shared" si="57"/>
        <v>0.26585903447659598</v>
      </c>
      <c r="P133" s="1251">
        <f t="shared" si="57"/>
        <v>8.9228108703258049E-2</v>
      </c>
      <c r="Q133" s="1251">
        <f t="shared" si="57"/>
        <v>0</v>
      </c>
      <c r="R133" s="1251">
        <f t="shared" si="57"/>
        <v>0</v>
      </c>
      <c r="S133" s="1251">
        <f t="shared" si="57"/>
        <v>0</v>
      </c>
      <c r="T133" s="1251">
        <f t="shared" si="57"/>
        <v>0.4459879758464787</v>
      </c>
      <c r="U133" s="1284">
        <f t="shared" si="43"/>
        <v>1</v>
      </c>
      <c r="V133" s="1285">
        <f t="shared" si="58"/>
        <v>0.29028184578274857</v>
      </c>
      <c r="W133" s="1251">
        <f t="shared" si="58"/>
        <v>0.30317187715157518</v>
      </c>
      <c r="X133" s="1251">
        <f t="shared" si="58"/>
        <v>8.2805443243048754E-2</v>
      </c>
      <c r="Y133" s="1251">
        <f t="shared" si="58"/>
        <v>0</v>
      </c>
      <c r="Z133" s="1251">
        <f t="shared" si="58"/>
        <v>0</v>
      </c>
      <c r="AA133" s="1251">
        <f t="shared" si="58"/>
        <v>0</v>
      </c>
      <c r="AB133" s="1251">
        <f t="shared" si="58"/>
        <v>0.32374083382262742</v>
      </c>
      <c r="AC133" s="1284">
        <f t="shared" si="47"/>
        <v>0.99999999999999989</v>
      </c>
    </row>
    <row r="134" spans="1:29">
      <c r="A134" s="187">
        <f t="shared" si="56"/>
        <v>2034</v>
      </c>
      <c r="B134" s="1659">
        <f>INDEX(Drivers!$A$8:$AM$8,1,$A134-2011)/1000</f>
        <v>68.236626094715163</v>
      </c>
      <c r="C134" s="1660">
        <f>INDEX(Drivers!$A$16:$AM$16,1,$A134-2011)</f>
        <v>4047.8499716455863</v>
      </c>
      <c r="D134" s="1661">
        <f>INDEX(Drivers!$A$25:$AM$25,1,$A134-2011)/INDEX(Drivers!$A$25:$AM$25,1,$A134-2012)*D133</f>
        <v>38249557.30478432</v>
      </c>
      <c r="E134" s="762">
        <f t="shared" si="52"/>
        <v>38249557.30478432</v>
      </c>
      <c r="F134" s="1122"/>
      <c r="G134" s="1122"/>
      <c r="H134" s="1123"/>
      <c r="I134" s="1294">
        <f t="shared" si="51"/>
        <v>424.26313389388866</v>
      </c>
      <c r="J134" s="1295">
        <f t="shared" si="53"/>
        <v>12.071167303296225</v>
      </c>
      <c r="K134" s="1296">
        <f t="shared" si="41"/>
        <v>28950.284833289355</v>
      </c>
      <c r="L134" s="1296">
        <f t="shared" si="54"/>
        <v>87111.831531161064</v>
      </c>
      <c r="M134" s="1297">
        <f t="shared" si="55"/>
        <v>87111.831531161064</v>
      </c>
      <c r="N134" s="1251">
        <f t="shared" si="57"/>
        <v>0.19892488097366726</v>
      </c>
      <c r="O134" s="1251">
        <f t="shared" si="57"/>
        <v>0.26585903447659598</v>
      </c>
      <c r="P134" s="1251">
        <f t="shared" si="57"/>
        <v>8.9228108703258049E-2</v>
      </c>
      <c r="Q134" s="1251">
        <f t="shared" si="57"/>
        <v>0</v>
      </c>
      <c r="R134" s="1251">
        <f t="shared" si="57"/>
        <v>0</v>
      </c>
      <c r="S134" s="1251">
        <f t="shared" si="57"/>
        <v>0</v>
      </c>
      <c r="T134" s="1251">
        <f t="shared" si="57"/>
        <v>0.4459879758464787</v>
      </c>
      <c r="U134" s="1284">
        <f t="shared" si="43"/>
        <v>1</v>
      </c>
      <c r="V134" s="1285">
        <f t="shared" si="58"/>
        <v>0.29028184578274857</v>
      </c>
      <c r="W134" s="1251">
        <f t="shared" si="58"/>
        <v>0.30317187715157518</v>
      </c>
      <c r="X134" s="1251">
        <f t="shared" si="58"/>
        <v>8.2805443243048754E-2</v>
      </c>
      <c r="Y134" s="1251">
        <f t="shared" si="58"/>
        <v>0</v>
      </c>
      <c r="Z134" s="1251">
        <f t="shared" si="58"/>
        <v>0</v>
      </c>
      <c r="AA134" s="1251">
        <f t="shared" si="58"/>
        <v>0</v>
      </c>
      <c r="AB134" s="1251">
        <f t="shared" si="58"/>
        <v>0.32374083382262742</v>
      </c>
      <c r="AC134" s="1284">
        <f t="shared" si="47"/>
        <v>0.99999999999999989</v>
      </c>
    </row>
    <row r="135" spans="1:29">
      <c r="A135" s="187">
        <f t="shared" si="56"/>
        <v>2035</v>
      </c>
      <c r="B135" s="1659">
        <f>INDEX(Drivers!$A$8:$AM$8,1,$A135-2011)/1000</f>
        <v>68.818976000000006</v>
      </c>
      <c r="C135" s="1660">
        <f>INDEX(Drivers!$A$16:$AM$16,1,$A135-2011)</f>
        <v>0</v>
      </c>
      <c r="D135" s="1661">
        <f>INDEX(Drivers!$A$25:$AM$25,1,$A135-2011)/INDEX(Drivers!$A$25:$AM$25,1,$A135-2012)*D134</f>
        <v>38181094.662935674</v>
      </c>
      <c r="E135" s="762">
        <f t="shared" si="52"/>
        <v>38181094.662935674</v>
      </c>
      <c r="F135" s="1122"/>
      <c r="G135" s="1122"/>
      <c r="H135" s="1123"/>
      <c r="I135" s="1294">
        <f t="shared" si="51"/>
        <v>424.26313389388866</v>
      </c>
      <c r="J135" s="1295">
        <f t="shared" si="53"/>
        <v>12.071167303296225</v>
      </c>
      <c r="K135" s="1296">
        <f t="shared" si="41"/>
        <v>29197.354429128314</v>
      </c>
      <c r="L135" s="1296">
        <f t="shared" si="54"/>
        <v>38181.094662935677</v>
      </c>
      <c r="M135" s="1297">
        <f t="shared" si="55"/>
        <v>38181.094662935677</v>
      </c>
      <c r="N135" s="1251">
        <f t="shared" si="57"/>
        <v>0.19892488097366726</v>
      </c>
      <c r="O135" s="1251">
        <f t="shared" si="57"/>
        <v>0.26585903447659598</v>
      </c>
      <c r="P135" s="1251">
        <f t="shared" si="57"/>
        <v>8.9228108703258049E-2</v>
      </c>
      <c r="Q135" s="1251">
        <f t="shared" si="57"/>
        <v>0</v>
      </c>
      <c r="R135" s="1251">
        <f t="shared" si="57"/>
        <v>0</v>
      </c>
      <c r="S135" s="1251">
        <f t="shared" si="57"/>
        <v>0</v>
      </c>
      <c r="T135" s="1251">
        <f t="shared" si="57"/>
        <v>0.4459879758464787</v>
      </c>
      <c r="U135" s="1284">
        <f t="shared" si="43"/>
        <v>1</v>
      </c>
      <c r="V135" s="1285">
        <f t="shared" si="58"/>
        <v>0.29028184578274857</v>
      </c>
      <c r="W135" s="1251">
        <f t="shared" si="58"/>
        <v>0.30317187715157518</v>
      </c>
      <c r="X135" s="1251">
        <f t="shared" si="58"/>
        <v>8.2805443243048754E-2</v>
      </c>
      <c r="Y135" s="1251">
        <f t="shared" si="58"/>
        <v>0</v>
      </c>
      <c r="Z135" s="1251">
        <f t="shared" si="58"/>
        <v>0</v>
      </c>
      <c r="AA135" s="1251">
        <f t="shared" si="58"/>
        <v>0</v>
      </c>
      <c r="AB135" s="1251">
        <f t="shared" si="58"/>
        <v>0.32374083382262742</v>
      </c>
      <c r="AC135" s="1284">
        <f t="shared" si="47"/>
        <v>0.99999999999999989</v>
      </c>
    </row>
    <row r="136" spans="1:29">
      <c r="A136" s="187">
        <f t="shared" si="56"/>
        <v>2036</v>
      </c>
      <c r="B136" s="1659">
        <f>INDEX(Drivers!$A$8:$AM$8,1,$A136-2011)/1000</f>
        <v>69.322810489383542</v>
      </c>
      <c r="C136" s="1660">
        <f>INDEX(Drivers!$A$16:$AM$16,1,$A136-2011)</f>
        <v>0</v>
      </c>
      <c r="D136" s="1661">
        <f>INDEX(Drivers!$A$25:$AM$25,1,$A136-2011)/INDEX(Drivers!$A$25:$AM$25,1,$A136-2012)*D135</f>
        <v>32537026.437175773</v>
      </c>
      <c r="E136" s="762">
        <f t="shared" si="52"/>
        <v>32537026.437175773</v>
      </c>
      <c r="F136" s="1122"/>
      <c r="G136" s="1122"/>
      <c r="H136" s="1123"/>
      <c r="I136" s="1294">
        <f t="shared" si="51"/>
        <v>424.26313389388866</v>
      </c>
      <c r="J136" s="1295">
        <f t="shared" si="53"/>
        <v>12.071167303296225</v>
      </c>
      <c r="K136" s="1296">
        <f t="shared" si="41"/>
        <v>29411.112828557998</v>
      </c>
      <c r="L136" s="1296">
        <f t="shared" si="54"/>
        <v>32537.026437175773</v>
      </c>
      <c r="M136" s="1297">
        <f t="shared" si="55"/>
        <v>32537.026437175773</v>
      </c>
      <c r="N136" s="1251">
        <f t="shared" si="57"/>
        <v>0.19892488097366726</v>
      </c>
      <c r="O136" s="1251">
        <f t="shared" si="57"/>
        <v>0.26585903447659598</v>
      </c>
      <c r="P136" s="1251">
        <f t="shared" si="57"/>
        <v>8.9228108703258049E-2</v>
      </c>
      <c r="Q136" s="1251">
        <f t="shared" si="57"/>
        <v>0</v>
      </c>
      <c r="R136" s="1251">
        <f t="shared" si="57"/>
        <v>0</v>
      </c>
      <c r="S136" s="1251">
        <f t="shared" si="57"/>
        <v>0</v>
      </c>
      <c r="T136" s="1251">
        <f t="shared" si="57"/>
        <v>0.4459879758464787</v>
      </c>
      <c r="U136" s="1284">
        <f t="shared" si="43"/>
        <v>1</v>
      </c>
      <c r="V136" s="1285">
        <f t="shared" si="58"/>
        <v>0.29028184578274857</v>
      </c>
      <c r="W136" s="1251">
        <f t="shared" si="58"/>
        <v>0.30317187715157518</v>
      </c>
      <c r="X136" s="1251">
        <f t="shared" si="58"/>
        <v>8.2805443243048754E-2</v>
      </c>
      <c r="Y136" s="1251">
        <f t="shared" si="58"/>
        <v>0</v>
      </c>
      <c r="Z136" s="1251">
        <f t="shared" si="58"/>
        <v>0</v>
      </c>
      <c r="AA136" s="1251">
        <f t="shared" si="58"/>
        <v>0</v>
      </c>
      <c r="AB136" s="1251">
        <f t="shared" si="58"/>
        <v>0.32374083382262742</v>
      </c>
      <c r="AC136" s="1284">
        <f t="shared" si="47"/>
        <v>0.99999999999999989</v>
      </c>
    </row>
    <row r="137" spans="1:29">
      <c r="A137" s="187">
        <f t="shared" si="56"/>
        <v>2037</v>
      </c>
      <c r="B137" s="1659">
        <f>INDEX(Drivers!$A$8:$AM$8,1,$A137-2011)/1000</f>
        <v>69.830333629884052</v>
      </c>
      <c r="C137" s="1660">
        <f>INDEX(Drivers!$A$16:$AM$16,1,$A137-2011)</f>
        <v>0</v>
      </c>
      <c r="D137" s="1661">
        <f>INDEX(Drivers!$A$25:$AM$25,1,$A137-2011)/INDEX(Drivers!$A$25:$AM$25,1,$A137-2012)*D136</f>
        <v>27502394.556130182</v>
      </c>
      <c r="E137" s="762">
        <f t="shared" si="52"/>
        <v>27502394.556130182</v>
      </c>
      <c r="F137" s="1122"/>
      <c r="G137" s="1122"/>
      <c r="H137" s="1123"/>
      <c r="I137" s="1294">
        <f t="shared" si="51"/>
        <v>424.26313389388866</v>
      </c>
      <c r="J137" s="1295">
        <f t="shared" si="53"/>
        <v>12.071167303296225</v>
      </c>
      <c r="K137" s="1296">
        <f t="shared" si="41"/>
        <v>29626.436186670413</v>
      </c>
      <c r="L137" s="1296">
        <f t="shared" si="54"/>
        <v>27502.394556130181</v>
      </c>
      <c r="M137" s="1297">
        <f t="shared" si="55"/>
        <v>27502.394556130181</v>
      </c>
      <c r="N137" s="1251">
        <f t="shared" si="57"/>
        <v>0.19892488097366726</v>
      </c>
      <c r="O137" s="1251">
        <f t="shared" si="57"/>
        <v>0.26585903447659598</v>
      </c>
      <c r="P137" s="1251">
        <f t="shared" si="57"/>
        <v>8.9228108703258049E-2</v>
      </c>
      <c r="Q137" s="1251">
        <f t="shared" si="57"/>
        <v>0</v>
      </c>
      <c r="R137" s="1251">
        <f t="shared" si="57"/>
        <v>0</v>
      </c>
      <c r="S137" s="1251">
        <f t="shared" si="57"/>
        <v>0</v>
      </c>
      <c r="T137" s="1251">
        <f t="shared" si="57"/>
        <v>0.4459879758464787</v>
      </c>
      <c r="U137" s="1284">
        <f t="shared" si="43"/>
        <v>1</v>
      </c>
      <c r="V137" s="1285">
        <f t="shared" si="58"/>
        <v>0.29028184578274857</v>
      </c>
      <c r="W137" s="1251">
        <f t="shared" si="58"/>
        <v>0.30317187715157518</v>
      </c>
      <c r="X137" s="1251">
        <f t="shared" si="58"/>
        <v>8.2805443243048754E-2</v>
      </c>
      <c r="Y137" s="1251">
        <f t="shared" si="58"/>
        <v>0</v>
      </c>
      <c r="Z137" s="1251">
        <f t="shared" si="58"/>
        <v>0</v>
      </c>
      <c r="AA137" s="1251">
        <f t="shared" si="58"/>
        <v>0</v>
      </c>
      <c r="AB137" s="1251">
        <f t="shared" si="58"/>
        <v>0.32374083382262742</v>
      </c>
      <c r="AC137" s="1284">
        <f t="shared" si="47"/>
        <v>0.99999999999999989</v>
      </c>
    </row>
    <row r="138" spans="1:29">
      <c r="A138" s="187">
        <f t="shared" si="56"/>
        <v>2038</v>
      </c>
      <c r="B138" s="1659">
        <f>INDEX(Drivers!$A$8:$AM$8,1,$A138-2011)/1000</f>
        <v>70.341572426693446</v>
      </c>
      <c r="C138" s="1660">
        <f>INDEX(Drivers!$A$16:$AM$16,1,$A138-2011)</f>
        <v>0</v>
      </c>
      <c r="D138" s="1661">
        <f>INDEX(Drivers!$A$25:$AM$25,1,$A138-2011)/INDEX(Drivers!$A$25:$AM$25,1,$A138-2012)*D137</f>
        <v>25672806.243326273</v>
      </c>
      <c r="E138" s="762">
        <f t="shared" si="52"/>
        <v>25672806.243326273</v>
      </c>
      <c r="F138" s="1122"/>
      <c r="G138" s="1122"/>
      <c r="H138" s="1123"/>
      <c r="I138" s="1294">
        <f t="shared" si="51"/>
        <v>424.26313389388866</v>
      </c>
      <c r="J138" s="1295">
        <f t="shared" si="53"/>
        <v>12.071167303296225</v>
      </c>
      <c r="K138" s="1296">
        <f t="shared" si="41"/>
        <v>29843.335960772907</v>
      </c>
      <c r="L138" s="1296">
        <f t="shared" si="54"/>
        <v>25672.806243326271</v>
      </c>
      <c r="M138" s="1297">
        <f t="shared" si="55"/>
        <v>25672.806243326271</v>
      </c>
      <c r="N138" s="1251">
        <f t="shared" si="57"/>
        <v>0.19892488097366726</v>
      </c>
      <c r="O138" s="1251">
        <f t="shared" si="57"/>
        <v>0.26585903447659598</v>
      </c>
      <c r="P138" s="1251">
        <f t="shared" si="57"/>
        <v>8.9228108703258049E-2</v>
      </c>
      <c r="Q138" s="1251">
        <f t="shared" si="57"/>
        <v>0</v>
      </c>
      <c r="R138" s="1251">
        <f t="shared" si="57"/>
        <v>0</v>
      </c>
      <c r="S138" s="1251">
        <f t="shared" si="57"/>
        <v>0</v>
      </c>
      <c r="T138" s="1251">
        <f t="shared" si="57"/>
        <v>0.4459879758464787</v>
      </c>
      <c r="U138" s="1284">
        <f t="shared" si="43"/>
        <v>1</v>
      </c>
      <c r="V138" s="1285">
        <f t="shared" si="58"/>
        <v>0.29028184578274857</v>
      </c>
      <c r="W138" s="1251">
        <f t="shared" si="58"/>
        <v>0.30317187715157518</v>
      </c>
      <c r="X138" s="1251">
        <f t="shared" si="58"/>
        <v>8.2805443243048754E-2</v>
      </c>
      <c r="Y138" s="1251">
        <f t="shared" si="58"/>
        <v>0</v>
      </c>
      <c r="Z138" s="1251">
        <f t="shared" si="58"/>
        <v>0</v>
      </c>
      <c r="AA138" s="1251">
        <f t="shared" si="58"/>
        <v>0</v>
      </c>
      <c r="AB138" s="1251">
        <f t="shared" si="58"/>
        <v>0.32374083382262742</v>
      </c>
      <c r="AC138" s="1284">
        <f t="shared" si="47"/>
        <v>0.99999999999999989</v>
      </c>
    </row>
    <row r="139" spans="1:29">
      <c r="A139" s="187">
        <f t="shared" si="56"/>
        <v>2039</v>
      </c>
      <c r="B139" s="1659">
        <f>INDEX(Drivers!$A$8:$AM$8,1,$A139-2011)/1000</f>
        <v>70.856554082712819</v>
      </c>
      <c r="C139" s="1660">
        <f>INDEX(Drivers!$A$16:$AM$16,1,$A139-2011)</f>
        <v>0</v>
      </c>
      <c r="D139" s="1661">
        <f>INDEX(Drivers!$A$25:$AM$25,1,$A139-2011)/INDEX(Drivers!$A$25:$AM$25,1,$A139-2012)*D138</f>
        <v>23843217.930522356</v>
      </c>
      <c r="E139" s="762">
        <f t="shared" si="52"/>
        <v>23843217.930522356</v>
      </c>
      <c r="F139" s="1122"/>
      <c r="G139" s="1122"/>
      <c r="H139" s="1123"/>
      <c r="I139" s="1294">
        <f t="shared" si="51"/>
        <v>424.26313389388866</v>
      </c>
      <c r="J139" s="1295">
        <f t="shared" si="53"/>
        <v>12.071167303296225</v>
      </c>
      <c r="K139" s="1296">
        <f t="shared" si="41"/>
        <v>30061.823692053553</v>
      </c>
      <c r="L139" s="1296">
        <f t="shared" si="54"/>
        <v>23843.217930522354</v>
      </c>
      <c r="M139" s="1297">
        <f t="shared" si="55"/>
        <v>23843.217930522354</v>
      </c>
      <c r="N139" s="1251">
        <f t="shared" si="57"/>
        <v>0.19892488097366726</v>
      </c>
      <c r="O139" s="1251">
        <f t="shared" si="57"/>
        <v>0.26585903447659598</v>
      </c>
      <c r="P139" s="1251">
        <f t="shared" si="57"/>
        <v>8.9228108703258049E-2</v>
      </c>
      <c r="Q139" s="1251">
        <f t="shared" si="57"/>
        <v>0</v>
      </c>
      <c r="R139" s="1251">
        <f t="shared" si="57"/>
        <v>0</v>
      </c>
      <c r="S139" s="1251">
        <f t="shared" si="57"/>
        <v>0</v>
      </c>
      <c r="T139" s="1251">
        <f t="shared" si="57"/>
        <v>0.4459879758464787</v>
      </c>
      <c r="U139" s="1284">
        <f t="shared" si="43"/>
        <v>1</v>
      </c>
      <c r="V139" s="1285">
        <f t="shared" si="58"/>
        <v>0.29028184578274857</v>
      </c>
      <c r="W139" s="1251">
        <f t="shared" si="58"/>
        <v>0.30317187715157518</v>
      </c>
      <c r="X139" s="1251">
        <f t="shared" si="58"/>
        <v>8.2805443243048754E-2</v>
      </c>
      <c r="Y139" s="1251">
        <f t="shared" si="58"/>
        <v>0</v>
      </c>
      <c r="Z139" s="1251">
        <f t="shared" si="58"/>
        <v>0</v>
      </c>
      <c r="AA139" s="1251">
        <f t="shared" si="58"/>
        <v>0</v>
      </c>
      <c r="AB139" s="1251">
        <f t="shared" si="58"/>
        <v>0.32374083382262742</v>
      </c>
      <c r="AC139" s="1284">
        <f t="shared" si="47"/>
        <v>0.99999999999999989</v>
      </c>
    </row>
    <row r="140" spans="1:29">
      <c r="A140" s="187">
        <f t="shared" si="56"/>
        <v>2040</v>
      </c>
      <c r="B140" s="1659">
        <f>INDEX(Drivers!$A$8:$AM$8,1,$A140-2011)/1000</f>
        <v>71.375305999999995</v>
      </c>
      <c r="C140" s="1660">
        <f>INDEX(Drivers!$A$16:$AM$16,1,$A140-2011)</f>
        <v>0</v>
      </c>
      <c r="D140" s="1661">
        <f>INDEX(Drivers!$A$25:$AM$25,1,$A140-2011)/INDEX(Drivers!$A$25:$AM$25,1,$A140-2012)*D139</f>
        <v>22013629.617718432</v>
      </c>
      <c r="E140" s="762">
        <f t="shared" si="52"/>
        <v>22013629.617718432</v>
      </c>
      <c r="F140" s="1122"/>
      <c r="G140" s="1122"/>
      <c r="H140" s="1123"/>
      <c r="I140" s="1294">
        <f t="shared" si="51"/>
        <v>424.26313389388866</v>
      </c>
      <c r="J140" s="1295">
        <f t="shared" si="53"/>
        <v>12.071167303296225</v>
      </c>
      <c r="K140" s="1296">
        <f t="shared" si="41"/>
        <v>30281.911006195274</v>
      </c>
      <c r="L140" s="1296">
        <f t="shared" si="54"/>
        <v>22013.62961771843</v>
      </c>
      <c r="M140" s="1297">
        <f t="shared" si="55"/>
        <v>22013.62961771843</v>
      </c>
      <c r="N140" s="1251">
        <f t="shared" si="57"/>
        <v>0.19892488097366726</v>
      </c>
      <c r="O140" s="1251">
        <f t="shared" si="57"/>
        <v>0.26585903447659598</v>
      </c>
      <c r="P140" s="1251">
        <f t="shared" si="57"/>
        <v>8.9228108703258049E-2</v>
      </c>
      <c r="Q140" s="1251">
        <f t="shared" si="57"/>
        <v>0</v>
      </c>
      <c r="R140" s="1251">
        <f t="shared" si="57"/>
        <v>0</v>
      </c>
      <c r="S140" s="1251">
        <f t="shared" si="57"/>
        <v>0</v>
      </c>
      <c r="T140" s="1251">
        <f t="shared" si="57"/>
        <v>0.4459879758464787</v>
      </c>
      <c r="U140" s="1284">
        <f t="shared" si="43"/>
        <v>1</v>
      </c>
      <c r="V140" s="1285">
        <f t="shared" si="58"/>
        <v>0.29028184578274857</v>
      </c>
      <c r="W140" s="1251">
        <f t="shared" si="58"/>
        <v>0.30317187715157518</v>
      </c>
      <c r="X140" s="1251">
        <f t="shared" si="58"/>
        <v>8.2805443243048754E-2</v>
      </c>
      <c r="Y140" s="1251">
        <f t="shared" si="58"/>
        <v>0</v>
      </c>
      <c r="Z140" s="1251">
        <f t="shared" si="58"/>
        <v>0</v>
      </c>
      <c r="AA140" s="1251">
        <f t="shared" si="58"/>
        <v>0</v>
      </c>
      <c r="AB140" s="1251">
        <f t="shared" si="58"/>
        <v>0.32374083382262742</v>
      </c>
      <c r="AC140" s="1284">
        <f t="shared" si="47"/>
        <v>0.99999999999999989</v>
      </c>
    </row>
    <row r="141" spans="1:29">
      <c r="A141" s="187">
        <f t="shared" si="56"/>
        <v>2041</v>
      </c>
      <c r="B141" s="1659">
        <f>INDEX(Drivers!$A$8:$AM$8,1,$A141-2011)/1000</f>
        <v>71.818612994947316</v>
      </c>
      <c r="C141" s="1660">
        <f>INDEX(Drivers!$A$16:$AM$16,1,$A141-2011)</f>
        <v>0</v>
      </c>
      <c r="D141" s="1661">
        <f>INDEX(Drivers!$A$25:$AM$25,1,$A141-2011)/INDEX(Drivers!$A$25:$AM$25,1,$A141-2012)*D140</f>
        <v>20405559.977125086</v>
      </c>
      <c r="E141" s="762">
        <f t="shared" si="52"/>
        <v>20405559.977125086</v>
      </c>
      <c r="F141" s="1122"/>
      <c r="G141" s="1122"/>
      <c r="H141" s="1123"/>
      <c r="I141" s="1294">
        <f t="shared" si="51"/>
        <v>424.26313389388866</v>
      </c>
      <c r="J141" s="1295">
        <f t="shared" si="53"/>
        <v>12.071167303296225</v>
      </c>
      <c r="K141" s="1296">
        <f t="shared" si="41"/>
        <v>30469.989821148705</v>
      </c>
      <c r="L141" s="1296">
        <f t="shared" si="54"/>
        <v>20405.559977125085</v>
      </c>
      <c r="M141" s="1297">
        <f t="shared" si="55"/>
        <v>20405.559977125085</v>
      </c>
      <c r="N141" s="1251">
        <f t="shared" si="57"/>
        <v>0.19892488097366726</v>
      </c>
      <c r="O141" s="1251">
        <f t="shared" si="57"/>
        <v>0.26585903447659598</v>
      </c>
      <c r="P141" s="1251">
        <f t="shared" si="57"/>
        <v>8.9228108703258049E-2</v>
      </c>
      <c r="Q141" s="1251">
        <f t="shared" si="57"/>
        <v>0</v>
      </c>
      <c r="R141" s="1251">
        <f t="shared" si="57"/>
        <v>0</v>
      </c>
      <c r="S141" s="1251">
        <f t="shared" si="57"/>
        <v>0</v>
      </c>
      <c r="T141" s="1251">
        <f t="shared" si="57"/>
        <v>0.4459879758464787</v>
      </c>
      <c r="U141" s="1284">
        <f t="shared" si="43"/>
        <v>1</v>
      </c>
      <c r="V141" s="1285">
        <f t="shared" si="58"/>
        <v>0.29028184578274857</v>
      </c>
      <c r="W141" s="1251">
        <f t="shared" si="58"/>
        <v>0.30317187715157518</v>
      </c>
      <c r="X141" s="1251">
        <f t="shared" si="58"/>
        <v>8.2805443243048754E-2</v>
      </c>
      <c r="Y141" s="1251">
        <f t="shared" si="58"/>
        <v>0</v>
      </c>
      <c r="Z141" s="1251">
        <f t="shared" si="58"/>
        <v>0</v>
      </c>
      <c r="AA141" s="1251">
        <f t="shared" si="58"/>
        <v>0</v>
      </c>
      <c r="AB141" s="1251">
        <f t="shared" si="58"/>
        <v>0.32374083382262742</v>
      </c>
      <c r="AC141" s="1284">
        <f t="shared" si="47"/>
        <v>0.99999999999999989</v>
      </c>
    </row>
    <row r="142" spans="1:29">
      <c r="A142" s="187">
        <f t="shared" si="56"/>
        <v>2042</v>
      </c>
      <c r="B142" s="1659">
        <f>INDEX(Drivers!$A$8:$AM$8,1,$A142-2011)/1000</f>
        <v>72.264673338395411</v>
      </c>
      <c r="C142" s="1660">
        <f>INDEX(Drivers!$A$16:$AM$16,1,$A142-2011)</f>
        <v>0</v>
      </c>
      <c r="D142" s="1661">
        <f>INDEX(Drivers!$A$25:$AM$25,1,$A142-2011)/INDEX(Drivers!$A$25:$AM$25,1,$A142-2012)*D141</f>
        <v>18797490.33653174</v>
      </c>
      <c r="E142" s="762">
        <f t="shared" si="52"/>
        <v>18797490.33653174</v>
      </c>
      <c r="F142" s="1122"/>
      <c r="G142" s="1122"/>
      <c r="H142" s="1123"/>
      <c r="I142" s="1294">
        <f t="shared" si="51"/>
        <v>424.26313389388866</v>
      </c>
      <c r="J142" s="1295">
        <f t="shared" si="53"/>
        <v>12.071167303296225</v>
      </c>
      <c r="K142" s="1296">
        <f t="shared" si="41"/>
        <v>30659.23678036578</v>
      </c>
      <c r="L142" s="1296">
        <f t="shared" si="54"/>
        <v>18797.49033653174</v>
      </c>
      <c r="M142" s="1297">
        <f t="shared" si="55"/>
        <v>18797.49033653174</v>
      </c>
      <c r="N142" s="1251">
        <f t="shared" si="57"/>
        <v>0.19892488097366726</v>
      </c>
      <c r="O142" s="1251">
        <f t="shared" si="57"/>
        <v>0.26585903447659598</v>
      </c>
      <c r="P142" s="1251">
        <f t="shared" si="57"/>
        <v>8.9228108703258049E-2</v>
      </c>
      <c r="Q142" s="1251">
        <f t="shared" si="57"/>
        <v>0</v>
      </c>
      <c r="R142" s="1251">
        <f t="shared" si="57"/>
        <v>0</v>
      </c>
      <c r="S142" s="1251">
        <f t="shared" si="57"/>
        <v>0</v>
      </c>
      <c r="T142" s="1251">
        <f t="shared" si="57"/>
        <v>0.4459879758464787</v>
      </c>
      <c r="U142" s="1284">
        <f t="shared" si="43"/>
        <v>1</v>
      </c>
      <c r="V142" s="1285">
        <f t="shared" si="58"/>
        <v>0.29028184578274857</v>
      </c>
      <c r="W142" s="1251">
        <f t="shared" si="58"/>
        <v>0.30317187715157518</v>
      </c>
      <c r="X142" s="1251">
        <f t="shared" si="58"/>
        <v>8.2805443243048754E-2</v>
      </c>
      <c r="Y142" s="1251">
        <f t="shared" si="58"/>
        <v>0</v>
      </c>
      <c r="Z142" s="1251">
        <f t="shared" si="58"/>
        <v>0</v>
      </c>
      <c r="AA142" s="1251">
        <f t="shared" si="58"/>
        <v>0</v>
      </c>
      <c r="AB142" s="1251">
        <f t="shared" si="58"/>
        <v>0.32374083382262742</v>
      </c>
      <c r="AC142" s="1284">
        <f t="shared" si="47"/>
        <v>0.99999999999999989</v>
      </c>
    </row>
    <row r="143" spans="1:29">
      <c r="A143" s="187">
        <f t="shared" si="56"/>
        <v>2043</v>
      </c>
      <c r="B143" s="1659">
        <f>INDEX(Drivers!$A$8:$AM$8,1,$A143-2011)/1000</f>
        <v>72.713504131197794</v>
      </c>
      <c r="C143" s="1660">
        <f>INDEX(Drivers!$A$16:$AM$16,1,$A143-2011)</f>
        <v>0</v>
      </c>
      <c r="D143" s="1661">
        <f>INDEX(Drivers!$A$25:$AM$25,1,$A143-2011)/INDEX(Drivers!$A$25:$AM$25,1,$A143-2012)*D142</f>
        <v>17189420.695938386</v>
      </c>
      <c r="E143" s="762">
        <f t="shared" si="52"/>
        <v>17189420.695938386</v>
      </c>
      <c r="F143" s="1122"/>
      <c r="G143" s="1122"/>
      <c r="H143" s="1123"/>
      <c r="I143" s="1294">
        <f t="shared" si="51"/>
        <v>424.26313389388866</v>
      </c>
      <c r="J143" s="1295">
        <f t="shared" si="53"/>
        <v>12.071167303296225</v>
      </c>
      <c r="K143" s="1296">
        <f t="shared" si="41"/>
        <v>30849.659139108197</v>
      </c>
      <c r="L143" s="1296">
        <f t="shared" si="54"/>
        <v>17189.420695938385</v>
      </c>
      <c r="M143" s="1297">
        <f t="shared" si="55"/>
        <v>17189.420695938385</v>
      </c>
      <c r="N143" s="1251">
        <f t="shared" si="57"/>
        <v>0.19892488097366726</v>
      </c>
      <c r="O143" s="1251">
        <f t="shared" si="57"/>
        <v>0.26585903447659598</v>
      </c>
      <c r="P143" s="1251">
        <f t="shared" si="57"/>
        <v>8.9228108703258049E-2</v>
      </c>
      <c r="Q143" s="1251">
        <f t="shared" si="57"/>
        <v>0</v>
      </c>
      <c r="R143" s="1251">
        <f t="shared" si="57"/>
        <v>0</v>
      </c>
      <c r="S143" s="1251">
        <f t="shared" si="57"/>
        <v>0</v>
      </c>
      <c r="T143" s="1251">
        <f t="shared" si="57"/>
        <v>0.4459879758464787</v>
      </c>
      <c r="U143" s="1284">
        <f t="shared" si="43"/>
        <v>1</v>
      </c>
      <c r="V143" s="1285">
        <f t="shared" si="58"/>
        <v>0.29028184578274857</v>
      </c>
      <c r="W143" s="1251">
        <f t="shared" si="58"/>
        <v>0.30317187715157518</v>
      </c>
      <c r="X143" s="1251">
        <f t="shared" si="58"/>
        <v>8.2805443243048754E-2</v>
      </c>
      <c r="Y143" s="1251">
        <f t="shared" si="58"/>
        <v>0</v>
      </c>
      <c r="Z143" s="1251">
        <f t="shared" si="58"/>
        <v>0</v>
      </c>
      <c r="AA143" s="1251">
        <f t="shared" si="58"/>
        <v>0</v>
      </c>
      <c r="AB143" s="1251">
        <f t="shared" si="58"/>
        <v>0.32374083382262742</v>
      </c>
      <c r="AC143" s="1284">
        <f t="shared" si="47"/>
        <v>0.99999999999999989</v>
      </c>
    </row>
    <row r="144" spans="1:29">
      <c r="A144" s="187">
        <f t="shared" si="56"/>
        <v>2044</v>
      </c>
      <c r="B144" s="1659">
        <f>INDEX(Drivers!$A$8:$AM$8,1,$A144-2011)/1000</f>
        <v>73.165122580420132</v>
      </c>
      <c r="C144" s="1660">
        <f>INDEX(Drivers!$A$16:$AM$16,1,$A144-2011)</f>
        <v>0</v>
      </c>
      <c r="D144" s="1661">
        <f>INDEX(Drivers!$A$25:$AM$25,1,$A144-2011)/INDEX(Drivers!$A$25:$AM$25,1,$A144-2012)*D143</f>
        <v>15581351.055345042</v>
      </c>
      <c r="E144" s="762">
        <f t="shared" si="52"/>
        <v>15581351.055345042</v>
      </c>
      <c r="F144" s="1122"/>
      <c r="G144" s="1122"/>
      <c r="H144" s="1123"/>
      <c r="I144" s="1294">
        <f t="shared" si="51"/>
        <v>424.26313389388866</v>
      </c>
      <c r="J144" s="1295">
        <f t="shared" si="53"/>
        <v>12.071167303296225</v>
      </c>
      <c r="K144" s="1296">
        <f t="shared" si="41"/>
        <v>31041.264197699562</v>
      </c>
      <c r="L144" s="1296">
        <f t="shared" si="54"/>
        <v>15581.351055345041</v>
      </c>
      <c r="M144" s="1297">
        <f t="shared" si="55"/>
        <v>15581.351055345041</v>
      </c>
      <c r="N144" s="1251">
        <f t="shared" si="57"/>
        <v>0.19892488097366726</v>
      </c>
      <c r="O144" s="1251">
        <f t="shared" si="57"/>
        <v>0.26585903447659598</v>
      </c>
      <c r="P144" s="1251">
        <f t="shared" si="57"/>
        <v>8.9228108703258049E-2</v>
      </c>
      <c r="Q144" s="1251">
        <f t="shared" si="57"/>
        <v>0</v>
      </c>
      <c r="R144" s="1251">
        <f t="shared" si="57"/>
        <v>0</v>
      </c>
      <c r="S144" s="1251">
        <f t="shared" si="57"/>
        <v>0</v>
      </c>
      <c r="T144" s="1251">
        <f t="shared" si="57"/>
        <v>0.4459879758464787</v>
      </c>
      <c r="U144" s="1284">
        <f t="shared" si="43"/>
        <v>1</v>
      </c>
      <c r="V144" s="1285">
        <f t="shared" si="58"/>
        <v>0.29028184578274857</v>
      </c>
      <c r="W144" s="1251">
        <f t="shared" si="58"/>
        <v>0.30317187715157518</v>
      </c>
      <c r="X144" s="1251">
        <f t="shared" si="58"/>
        <v>8.2805443243048754E-2</v>
      </c>
      <c r="Y144" s="1251">
        <f t="shared" si="58"/>
        <v>0</v>
      </c>
      <c r="Z144" s="1251">
        <f t="shared" si="58"/>
        <v>0</v>
      </c>
      <c r="AA144" s="1251">
        <f t="shared" si="58"/>
        <v>0</v>
      </c>
      <c r="AB144" s="1251">
        <f t="shared" si="58"/>
        <v>0.32374083382262742</v>
      </c>
      <c r="AC144" s="1284">
        <f t="shared" si="47"/>
        <v>0.99999999999999989</v>
      </c>
    </row>
    <row r="145" spans="1:29">
      <c r="A145" s="187">
        <f t="shared" si="56"/>
        <v>2045</v>
      </c>
      <c r="B145" s="1659">
        <f>INDEX(Drivers!$A$8:$AM$8,1,$A145-2011)/1000</f>
        <v>73.619545999999971</v>
      </c>
      <c r="C145" s="1660">
        <f>INDEX(Drivers!$A$16:$AM$16,1,$A145-2011)</f>
        <v>0</v>
      </c>
      <c r="D145" s="1661">
        <f>INDEX(Drivers!$A$25:$AM$25,1,$A145-2011)/INDEX(Drivers!$A$25:$AM$25,1,$A145-2012)*D144</f>
        <v>13973281.414751694</v>
      </c>
      <c r="E145" s="762">
        <f t="shared" si="52"/>
        <v>13973281.414751694</v>
      </c>
      <c r="F145" s="1122"/>
      <c r="G145" s="1122"/>
      <c r="H145" s="1123"/>
      <c r="I145" s="1294">
        <f t="shared" si="51"/>
        <v>424.26313389388866</v>
      </c>
      <c r="J145" s="1295">
        <f t="shared" si="53"/>
        <v>12.071167303296225</v>
      </c>
      <c r="K145" s="1296">
        <f t="shared" si="41"/>
        <v>31234.059301805282</v>
      </c>
      <c r="L145" s="1296">
        <f t="shared" si="54"/>
        <v>13973.281414751693</v>
      </c>
      <c r="M145" s="1297">
        <f t="shared" si="55"/>
        <v>13973.281414751693</v>
      </c>
      <c r="N145" s="1251">
        <f t="shared" si="57"/>
        <v>0.19892488097366726</v>
      </c>
      <c r="O145" s="1251">
        <f t="shared" si="57"/>
        <v>0.26585903447659598</v>
      </c>
      <c r="P145" s="1251">
        <f t="shared" si="57"/>
        <v>8.9228108703258049E-2</v>
      </c>
      <c r="Q145" s="1251">
        <f t="shared" si="57"/>
        <v>0</v>
      </c>
      <c r="R145" s="1251">
        <f t="shared" si="57"/>
        <v>0</v>
      </c>
      <c r="S145" s="1251">
        <f t="shared" si="57"/>
        <v>0</v>
      </c>
      <c r="T145" s="1251">
        <f t="shared" si="57"/>
        <v>0.4459879758464787</v>
      </c>
      <c r="U145" s="1284">
        <f t="shared" si="43"/>
        <v>1</v>
      </c>
      <c r="V145" s="1285">
        <f t="shared" si="58"/>
        <v>0.29028184578274857</v>
      </c>
      <c r="W145" s="1251">
        <f t="shared" si="58"/>
        <v>0.30317187715157518</v>
      </c>
      <c r="X145" s="1251">
        <f t="shared" si="58"/>
        <v>8.2805443243048754E-2</v>
      </c>
      <c r="Y145" s="1251">
        <f t="shared" si="58"/>
        <v>0</v>
      </c>
      <c r="Z145" s="1251">
        <f t="shared" si="58"/>
        <v>0</v>
      </c>
      <c r="AA145" s="1251">
        <f t="shared" si="58"/>
        <v>0</v>
      </c>
      <c r="AB145" s="1251">
        <f t="shared" si="58"/>
        <v>0.32374083382262742</v>
      </c>
      <c r="AC145" s="1284">
        <f t="shared" si="47"/>
        <v>0.99999999999999989</v>
      </c>
    </row>
    <row r="146" spans="1:29">
      <c r="A146" s="187">
        <f t="shared" si="56"/>
        <v>2046</v>
      </c>
      <c r="B146" s="1659">
        <f>INDEX(Drivers!$A$8:$AM$8,1,$A146-2011)/1000</f>
        <v>73.995362001779526</v>
      </c>
      <c r="C146" s="1660">
        <f>INDEX(Drivers!$A$16:$AM$16,1,$A146-2011)</f>
        <v>0</v>
      </c>
      <c r="D146" s="1661">
        <f>INDEX(Drivers!$A$25:$AM$25,1,$A146-2011)/INDEX(Drivers!$A$25:$AM$25,1,$A146-2012)*D145</f>
        <v>11178944.368399095</v>
      </c>
      <c r="E146" s="762">
        <f t="shared" si="52"/>
        <v>11178944.368399095</v>
      </c>
      <c r="F146" s="1122"/>
      <c r="G146" s="1122"/>
      <c r="H146" s="1123"/>
      <c r="I146" s="1294">
        <f t="shared" si="51"/>
        <v>424.26313389388866</v>
      </c>
      <c r="J146" s="1295">
        <f t="shared" si="53"/>
        <v>12.071167303296225</v>
      </c>
      <c r="K146" s="1296">
        <f t="shared" si="41"/>
        <v>31393.50417648775</v>
      </c>
      <c r="L146" s="1296">
        <f t="shared" si="54"/>
        <v>11178.944368399094</v>
      </c>
      <c r="M146" s="1297">
        <f t="shared" si="55"/>
        <v>11178.944368399094</v>
      </c>
      <c r="N146" s="1251">
        <f t="shared" si="57"/>
        <v>0.19892488097366726</v>
      </c>
      <c r="O146" s="1251">
        <f t="shared" si="57"/>
        <v>0.26585903447659598</v>
      </c>
      <c r="P146" s="1251">
        <f t="shared" si="57"/>
        <v>8.9228108703258049E-2</v>
      </c>
      <c r="Q146" s="1251">
        <f t="shared" si="57"/>
        <v>0</v>
      </c>
      <c r="R146" s="1251">
        <f t="shared" si="57"/>
        <v>0</v>
      </c>
      <c r="S146" s="1251">
        <f t="shared" si="57"/>
        <v>0</v>
      </c>
      <c r="T146" s="1251">
        <f t="shared" si="57"/>
        <v>0.4459879758464787</v>
      </c>
      <c r="U146" s="1284">
        <f t="shared" ref="U146:U150" si="59">SUM(N146:T146)</f>
        <v>1</v>
      </c>
      <c r="V146" s="1285">
        <f t="shared" si="58"/>
        <v>0.29028184578274857</v>
      </c>
      <c r="W146" s="1251">
        <f t="shared" si="58"/>
        <v>0.30317187715157518</v>
      </c>
      <c r="X146" s="1251">
        <f t="shared" si="58"/>
        <v>8.2805443243048754E-2</v>
      </c>
      <c r="Y146" s="1251">
        <f t="shared" si="58"/>
        <v>0</v>
      </c>
      <c r="Z146" s="1251">
        <f t="shared" si="58"/>
        <v>0</v>
      </c>
      <c r="AA146" s="1251">
        <f t="shared" si="58"/>
        <v>0</v>
      </c>
      <c r="AB146" s="1251">
        <f t="shared" si="58"/>
        <v>0.32374083382262742</v>
      </c>
      <c r="AC146" s="1284">
        <f t="shared" si="47"/>
        <v>0.99999999999999989</v>
      </c>
    </row>
    <row r="147" spans="1:29">
      <c r="A147" s="187">
        <f t="shared" si="56"/>
        <v>2047</v>
      </c>
      <c r="B147" s="1659">
        <f>INDEX(Drivers!$A$8:$AM$8,1,$A147-2011)/1000</f>
        <v>74.373096484110363</v>
      </c>
      <c r="C147" s="1660">
        <f>INDEX(Drivers!$A$16:$AM$16,1,$A147-2011)</f>
        <v>0</v>
      </c>
      <c r="D147" s="1661">
        <f>INDEX(Drivers!$A$25:$AM$25,1,$A147-2011)/INDEX(Drivers!$A$25:$AM$25,1,$A147-2012)*D146</f>
        <v>8384607.3220464904</v>
      </c>
      <c r="E147" s="762">
        <f t="shared" si="52"/>
        <v>8384607.3220464904</v>
      </c>
      <c r="F147" s="1122"/>
      <c r="G147" s="1122"/>
      <c r="H147" s="1123"/>
      <c r="I147" s="1294">
        <f t="shared" si="51"/>
        <v>424.26313389388866</v>
      </c>
      <c r="J147" s="1295">
        <f t="shared" si="53"/>
        <v>12.071167303296225</v>
      </c>
      <c r="K147" s="1296">
        <f t="shared" si="41"/>
        <v>31553.762991741216</v>
      </c>
      <c r="L147" s="1296">
        <f t="shared" si="54"/>
        <v>8384.6073220464896</v>
      </c>
      <c r="M147" s="1297">
        <f t="shared" si="55"/>
        <v>8384.6073220464896</v>
      </c>
      <c r="N147" s="1251">
        <f t="shared" ref="N147:T150" si="60">N146</f>
        <v>0.19892488097366726</v>
      </c>
      <c r="O147" s="1251">
        <f t="shared" si="60"/>
        <v>0.26585903447659598</v>
      </c>
      <c r="P147" s="1251">
        <f t="shared" si="60"/>
        <v>8.9228108703258049E-2</v>
      </c>
      <c r="Q147" s="1251">
        <f t="shared" si="60"/>
        <v>0</v>
      </c>
      <c r="R147" s="1251">
        <f t="shared" si="60"/>
        <v>0</v>
      </c>
      <c r="S147" s="1251">
        <f t="shared" si="60"/>
        <v>0</v>
      </c>
      <c r="T147" s="1251">
        <f t="shared" si="60"/>
        <v>0.4459879758464787</v>
      </c>
      <c r="U147" s="1284">
        <f t="shared" si="59"/>
        <v>1</v>
      </c>
      <c r="V147" s="1285">
        <f t="shared" si="58"/>
        <v>0.29028184578274857</v>
      </c>
      <c r="W147" s="1251">
        <f t="shared" si="58"/>
        <v>0.30317187715157518</v>
      </c>
      <c r="X147" s="1251">
        <f t="shared" si="58"/>
        <v>8.2805443243048754E-2</v>
      </c>
      <c r="Y147" s="1251">
        <f t="shared" si="58"/>
        <v>0</v>
      </c>
      <c r="Z147" s="1251">
        <f t="shared" si="58"/>
        <v>0</v>
      </c>
      <c r="AA147" s="1251">
        <f t="shared" si="58"/>
        <v>0</v>
      </c>
      <c r="AB147" s="1251">
        <f t="shared" si="58"/>
        <v>0.32374083382262742</v>
      </c>
      <c r="AC147" s="1284">
        <f t="shared" si="47"/>
        <v>0.99999999999999989</v>
      </c>
    </row>
    <row r="148" spans="1:29">
      <c r="A148" s="187">
        <f t="shared" si="56"/>
        <v>2048</v>
      </c>
      <c r="B148" s="1659">
        <f>INDEX(Drivers!$A$8:$AM$8,1,$A148-2011)/1000</f>
        <v>74.752759240528661</v>
      </c>
      <c r="C148" s="1660">
        <f>INDEX(Drivers!$A$16:$AM$16,1,$A148-2011)</f>
        <v>0</v>
      </c>
      <c r="D148" s="1661">
        <f>INDEX(Drivers!$A$25:$AM$25,1,$A148-2011)/INDEX(Drivers!$A$25:$AM$25,1,$A148-2012)*D147</f>
        <v>5590270.2756938878</v>
      </c>
      <c r="E148" s="762">
        <f t="shared" si="52"/>
        <v>5590270.2756938878</v>
      </c>
      <c r="F148" s="1122"/>
      <c r="G148" s="1122"/>
      <c r="H148" s="1123"/>
      <c r="I148" s="1294">
        <f t="shared" si="51"/>
        <v>424.26313389388866</v>
      </c>
      <c r="J148" s="1295">
        <f t="shared" si="53"/>
        <v>12.071167303296225</v>
      </c>
      <c r="K148" s="1296">
        <f t="shared" si="41"/>
        <v>31714.839902602034</v>
      </c>
      <c r="L148" s="1296">
        <f t="shared" si="54"/>
        <v>5590.2702756938879</v>
      </c>
      <c r="M148" s="1297">
        <f t="shared" si="55"/>
        <v>5590.2702756938879</v>
      </c>
      <c r="N148" s="1251">
        <f t="shared" si="60"/>
        <v>0.19892488097366726</v>
      </c>
      <c r="O148" s="1251">
        <f t="shared" si="60"/>
        <v>0.26585903447659598</v>
      </c>
      <c r="P148" s="1251">
        <f t="shared" si="60"/>
        <v>8.9228108703258049E-2</v>
      </c>
      <c r="Q148" s="1251">
        <f t="shared" si="60"/>
        <v>0</v>
      </c>
      <c r="R148" s="1251">
        <f t="shared" si="60"/>
        <v>0</v>
      </c>
      <c r="S148" s="1251">
        <f t="shared" si="60"/>
        <v>0</v>
      </c>
      <c r="T148" s="1251">
        <f t="shared" si="60"/>
        <v>0.4459879758464787</v>
      </c>
      <c r="U148" s="1284">
        <f t="shared" si="59"/>
        <v>1</v>
      </c>
      <c r="V148" s="1285">
        <f t="shared" ref="V148:AB150" si="61">V147</f>
        <v>0.29028184578274857</v>
      </c>
      <c r="W148" s="1251">
        <f t="shared" si="61"/>
        <v>0.30317187715157518</v>
      </c>
      <c r="X148" s="1251">
        <f t="shared" si="61"/>
        <v>8.2805443243048754E-2</v>
      </c>
      <c r="Y148" s="1251">
        <f t="shared" si="61"/>
        <v>0</v>
      </c>
      <c r="Z148" s="1251">
        <f t="shared" si="61"/>
        <v>0</v>
      </c>
      <c r="AA148" s="1251">
        <f t="shared" si="61"/>
        <v>0</v>
      </c>
      <c r="AB148" s="1251">
        <f t="shared" si="61"/>
        <v>0.32374083382262742</v>
      </c>
      <c r="AC148" s="1284">
        <f t="shared" si="47"/>
        <v>0.99999999999999989</v>
      </c>
    </row>
    <row r="149" spans="1:29">
      <c r="A149" s="187">
        <f t="shared" si="56"/>
        <v>2049</v>
      </c>
      <c r="B149" s="1659">
        <f>INDEX(Drivers!$A$8:$AM$8,1,$A149-2011)/1000</f>
        <v>75.134360114565098</v>
      </c>
      <c r="C149" s="1660">
        <f>INDEX(Drivers!$A$16:$AM$16,1,$A149-2011)</f>
        <v>0</v>
      </c>
      <c r="D149" s="1661">
        <f>INDEX(Drivers!$A$25:$AM$25,1,$A149-2011)/INDEX(Drivers!$A$25:$AM$25,1,$A149-2012)*D148</f>
        <v>2795933.2293412867</v>
      </c>
      <c r="E149" s="762">
        <f t="shared" si="52"/>
        <v>2795933.2293412867</v>
      </c>
      <c r="F149" s="1122"/>
      <c r="G149" s="1122"/>
      <c r="H149" s="1123"/>
      <c r="I149" s="1294">
        <f t="shared" si="51"/>
        <v>424.26313389388866</v>
      </c>
      <c r="J149" s="1295">
        <f t="shared" si="53"/>
        <v>12.071167303296225</v>
      </c>
      <c r="K149" s="1296">
        <f t="shared" si="41"/>
        <v>31876.739085317382</v>
      </c>
      <c r="L149" s="1296">
        <f t="shared" si="54"/>
        <v>2795.9332293412867</v>
      </c>
      <c r="M149" s="1297">
        <f t="shared" si="55"/>
        <v>2795.9332293412867</v>
      </c>
      <c r="N149" s="1251">
        <f t="shared" si="60"/>
        <v>0.19892488097366726</v>
      </c>
      <c r="O149" s="1251">
        <f t="shared" si="60"/>
        <v>0.26585903447659598</v>
      </c>
      <c r="P149" s="1251">
        <f t="shared" si="60"/>
        <v>8.9228108703258049E-2</v>
      </c>
      <c r="Q149" s="1251">
        <f t="shared" si="60"/>
        <v>0</v>
      </c>
      <c r="R149" s="1251">
        <f t="shared" si="60"/>
        <v>0</v>
      </c>
      <c r="S149" s="1251">
        <f t="shared" si="60"/>
        <v>0</v>
      </c>
      <c r="T149" s="1251">
        <f t="shared" si="60"/>
        <v>0.4459879758464787</v>
      </c>
      <c r="U149" s="1284">
        <f t="shared" si="59"/>
        <v>1</v>
      </c>
      <c r="V149" s="1285">
        <f t="shared" si="61"/>
        <v>0.29028184578274857</v>
      </c>
      <c r="W149" s="1251">
        <f t="shared" si="61"/>
        <v>0.30317187715157518</v>
      </c>
      <c r="X149" s="1251">
        <f t="shared" si="61"/>
        <v>8.2805443243048754E-2</v>
      </c>
      <c r="Y149" s="1251">
        <f t="shared" si="61"/>
        <v>0</v>
      </c>
      <c r="Z149" s="1251">
        <f t="shared" si="61"/>
        <v>0</v>
      </c>
      <c r="AA149" s="1251">
        <f t="shared" si="61"/>
        <v>0</v>
      </c>
      <c r="AB149" s="1251">
        <f t="shared" si="61"/>
        <v>0.32374083382262742</v>
      </c>
      <c r="AC149" s="1284">
        <f t="shared" si="47"/>
        <v>0.99999999999999989</v>
      </c>
    </row>
    <row r="150" spans="1:29" ht="16.5" thickBot="1">
      <c r="A150" s="758">
        <f t="shared" si="56"/>
        <v>2050</v>
      </c>
      <c r="B150" s="1662">
        <f>INDEX(Drivers!$A$8:$AM$8,1,$A150-2011)/1000</f>
        <v>75.517908999999989</v>
      </c>
      <c r="C150" s="1663">
        <f>INDEX(Drivers!$A$16:$AM$16,1,$A150-2011)</f>
        <v>0</v>
      </c>
      <c r="D150" s="1664">
        <f>INDEX(Drivers!$A$25:$AM$25,1,$A150-2011)/INDEX(Drivers!$A$25:$AM$25,1,$A150-2012)*D149</f>
        <v>1596.1829886855978</v>
      </c>
      <c r="E150" s="762">
        <f t="shared" si="52"/>
        <v>1596.1829886855978</v>
      </c>
      <c r="F150" s="1124"/>
      <c r="G150" s="1124"/>
      <c r="H150" s="1125"/>
      <c r="I150" s="1300">
        <f t="shared" si="51"/>
        <v>424.26313389388866</v>
      </c>
      <c r="J150" s="1301">
        <f t="shared" si="53"/>
        <v>12.071167303296225</v>
      </c>
      <c r="K150" s="1302">
        <f t="shared" si="41"/>
        <v>32039.464737453494</v>
      </c>
      <c r="L150" s="1302">
        <f t="shared" si="54"/>
        <v>1.5961829886855978</v>
      </c>
      <c r="M150" s="1303">
        <f t="shared" si="55"/>
        <v>1.5961829886855978</v>
      </c>
      <c r="N150" s="1286">
        <f t="shared" si="60"/>
        <v>0.19892488097366726</v>
      </c>
      <c r="O150" s="1286">
        <f t="shared" si="60"/>
        <v>0.26585903447659598</v>
      </c>
      <c r="P150" s="1286">
        <f t="shared" si="60"/>
        <v>8.9228108703258049E-2</v>
      </c>
      <c r="Q150" s="1286">
        <f t="shared" si="60"/>
        <v>0</v>
      </c>
      <c r="R150" s="1286">
        <f t="shared" si="60"/>
        <v>0</v>
      </c>
      <c r="S150" s="1286">
        <f t="shared" si="60"/>
        <v>0</v>
      </c>
      <c r="T150" s="1286">
        <f t="shared" si="60"/>
        <v>0.4459879758464787</v>
      </c>
      <c r="U150" s="1287">
        <f t="shared" si="59"/>
        <v>1</v>
      </c>
      <c r="V150" s="1288">
        <f t="shared" si="61"/>
        <v>0.29028184578274857</v>
      </c>
      <c r="W150" s="1286">
        <f t="shared" si="61"/>
        <v>0.30317187715157518</v>
      </c>
      <c r="X150" s="1286">
        <f t="shared" si="61"/>
        <v>8.2805443243048754E-2</v>
      </c>
      <c r="Y150" s="1286">
        <f t="shared" si="61"/>
        <v>0</v>
      </c>
      <c r="Z150" s="1286">
        <f t="shared" si="61"/>
        <v>0</v>
      </c>
      <c r="AA150" s="1286">
        <f t="shared" si="61"/>
        <v>0</v>
      </c>
      <c r="AB150" s="1286">
        <f t="shared" si="61"/>
        <v>0.32374083382262742</v>
      </c>
      <c r="AC150" s="1287">
        <f t="shared" si="47"/>
        <v>0.99999999999999989</v>
      </c>
    </row>
    <row r="151" spans="1:29">
      <c r="A151" s="184"/>
      <c r="B151" s="184"/>
      <c r="C151" s="184"/>
      <c r="D151" s="184"/>
      <c r="E151" s="184"/>
      <c r="F151" s="184"/>
    </row>
  </sheetData>
  <mergeCells count="10">
    <mergeCell ref="B33:F33"/>
    <mergeCell ref="G33:I33"/>
    <mergeCell ref="A33:A34"/>
    <mergeCell ref="A41:C41"/>
    <mergeCell ref="I47:M47"/>
    <mergeCell ref="N47:AC47"/>
    <mergeCell ref="N48:U48"/>
    <mergeCell ref="V48:AC48"/>
    <mergeCell ref="A48:A49"/>
    <mergeCell ref="B47:E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P176" zoomScale="41" zoomScaleNormal="10" workbookViewId="0">
      <selection activeCell="AG90" sqref="AG90"/>
    </sheetView>
  </sheetViews>
  <sheetFormatPr defaultRowHeight="15"/>
  <cols>
    <col min="1" max="1" width="20.28515625" bestFit="1" customWidth="1"/>
    <col min="2" max="2" width="10.85546875" customWidth="1"/>
    <col min="3" max="3" width="17.28515625" customWidth="1"/>
    <col min="4" max="4" width="25.42578125" customWidth="1"/>
    <col min="5" max="5" width="19.7109375" bestFit="1" customWidth="1"/>
    <col min="6" max="6" width="19.85546875" bestFit="1" customWidth="1"/>
    <col min="7" max="7" width="17.28515625" customWidth="1"/>
    <col min="8" max="9" width="15.7109375" customWidth="1"/>
    <col min="10" max="10" width="17" style="317" customWidth="1"/>
    <col min="11" max="11" width="16.85546875" customWidth="1"/>
    <col min="12" max="12" width="13.140625" customWidth="1"/>
    <col min="13" max="13" width="18.42578125" bestFit="1" customWidth="1"/>
    <col min="14" max="14" width="15.7109375" customWidth="1"/>
    <col min="15" max="15" width="15.5703125" customWidth="1"/>
    <col min="16" max="16" width="22.7109375" customWidth="1"/>
    <col min="17" max="17" width="13.7109375" customWidth="1"/>
    <col min="18" max="18" width="20.42578125" customWidth="1"/>
    <col min="19" max="19" width="21.7109375" customWidth="1"/>
    <col min="20" max="20" width="19" customWidth="1"/>
    <col min="21" max="21" width="16" customWidth="1"/>
    <col min="24" max="24" width="10.7109375" customWidth="1"/>
    <col min="25" max="25" width="21.28515625" customWidth="1"/>
    <col min="26" max="26" width="10.7109375" customWidth="1"/>
    <col min="27" max="27" width="13.140625" customWidth="1"/>
    <col min="28" max="28" width="12.140625" customWidth="1"/>
    <col min="29" max="29" width="20.42578125" customWidth="1"/>
    <col min="30" max="30" width="10.7109375" customWidth="1"/>
    <col min="31" max="31" width="11.7109375" customWidth="1"/>
    <col min="32" max="32" width="12.28515625" customWidth="1"/>
    <col min="33" max="33" width="13.140625" customWidth="1"/>
    <col min="34" max="34" width="12.140625" customWidth="1"/>
    <col min="35" max="35" width="16.7109375" style="357" customWidth="1"/>
    <col min="36" max="37" width="14.7109375" customWidth="1"/>
    <col min="38" max="38" width="12.5703125" customWidth="1"/>
    <col min="39" max="39" width="12.7109375" customWidth="1"/>
    <col min="40" max="40" width="14.42578125" customWidth="1"/>
    <col min="41" max="41" width="18.42578125" style="395" customWidth="1"/>
    <col min="42" max="43" width="14.7109375" customWidth="1"/>
    <col min="44" max="44" width="12.5703125" customWidth="1"/>
    <col min="45" max="45" width="12.28515625" customWidth="1"/>
    <col min="46" max="46" width="10.85546875" customWidth="1"/>
    <col min="47" max="47" width="16.42578125" style="395" customWidth="1"/>
    <col min="48" max="48" width="12.7109375" customWidth="1"/>
    <col min="50" max="50" width="13.42578125" customWidth="1"/>
    <col min="51" max="51" width="11.28515625" customWidth="1"/>
    <col min="52" max="52" width="12.7109375" customWidth="1"/>
    <col min="53" max="53" width="21.7109375" style="357" customWidth="1"/>
    <col min="54" max="54" width="11.42578125" customWidth="1"/>
    <col min="58" max="58" width="12.7109375" customWidth="1"/>
    <col min="59" max="59" width="20.7109375" style="357" customWidth="1"/>
    <col min="61" max="61" width="13.7109375" customWidth="1"/>
    <col min="62" max="63" width="22" customWidth="1"/>
    <col min="64" max="64" width="17.7109375" customWidth="1"/>
    <col min="65" max="66" width="20.28515625" customWidth="1"/>
    <col min="67" max="67" width="15.140625" customWidth="1"/>
    <col min="68" max="68" width="21.5703125" customWidth="1"/>
    <col min="69" max="69" width="18.5703125" customWidth="1"/>
    <col min="70" max="70" width="15.85546875" customWidth="1"/>
    <col min="71" max="71" width="13.7109375" customWidth="1"/>
    <col min="72" max="72" width="20.28515625" customWidth="1"/>
    <col min="73" max="73" width="12.85546875" customWidth="1"/>
    <col min="74" max="74" width="16" customWidth="1"/>
    <col min="75" max="75" width="17.42578125" customWidth="1"/>
    <col min="76" max="76" width="12.85546875" customWidth="1"/>
    <col min="77" max="77" width="16" customWidth="1"/>
    <col min="78" max="78" width="19.7109375" customWidth="1"/>
    <col min="80" max="81" width="16.7109375" customWidth="1"/>
    <col min="82" max="82" width="15.5703125" customWidth="1"/>
    <col min="83" max="83" width="18.42578125" customWidth="1"/>
    <col min="84" max="84" width="14.7109375" customWidth="1"/>
    <col min="85" max="85" width="15.7109375" customWidth="1"/>
    <col min="86" max="86" width="14.28515625" customWidth="1"/>
    <col min="87" max="87" width="18" customWidth="1"/>
    <col min="88" max="88" width="12.85546875" customWidth="1"/>
    <col min="89" max="89" width="20.28515625" customWidth="1"/>
    <col min="90" max="90" width="14.5703125" customWidth="1"/>
    <col min="91" max="91" width="18" customWidth="1"/>
  </cols>
  <sheetData>
    <row r="2" spans="1:16381" ht="15.75" thickBot="1">
      <c r="B2" t="s">
        <v>188</v>
      </c>
      <c r="C2" t="s">
        <v>191</v>
      </c>
    </row>
    <row r="3" spans="1:16381" ht="27" thickBot="1">
      <c r="A3" t="s">
        <v>519</v>
      </c>
      <c r="B3">
        <v>21</v>
      </c>
      <c r="C3">
        <v>310</v>
      </c>
      <c r="W3" s="1768" t="s">
        <v>665</v>
      </c>
      <c r="X3" s="1769"/>
      <c r="Y3" s="1769"/>
      <c r="Z3" s="1769"/>
      <c r="AA3" s="1769"/>
      <c r="AB3" s="1769"/>
      <c r="AC3" s="1769"/>
      <c r="AD3" s="1770"/>
      <c r="AE3" s="1" t="s">
        <v>789</v>
      </c>
    </row>
    <row r="4" spans="1:16381" ht="15.75" thickBot="1"/>
    <row r="5" spans="1:16381" ht="16.149999999999999" customHeight="1" thickBot="1">
      <c r="C5" s="1771" t="s">
        <v>294</v>
      </c>
      <c r="D5" s="1772"/>
      <c r="E5" s="1772"/>
      <c r="F5" s="1772"/>
      <c r="G5" s="1772"/>
      <c r="H5" s="1772"/>
      <c r="I5" s="1772"/>
      <c r="J5" s="1772"/>
      <c r="K5" s="1773"/>
      <c r="L5" s="1738" t="s">
        <v>516</v>
      </c>
      <c r="M5" s="1739"/>
      <c r="N5" s="1739"/>
      <c r="O5" s="1739"/>
      <c r="P5" s="1740"/>
      <c r="Q5" s="1744" t="s">
        <v>518</v>
      </c>
      <c r="R5" s="1745"/>
      <c r="S5" s="1745"/>
      <c r="T5" s="1745"/>
      <c r="U5" s="1746"/>
      <c r="W5" s="736"/>
      <c r="X5" s="1776" t="s">
        <v>643</v>
      </c>
      <c r="Y5" s="1777"/>
      <c r="Z5" s="1777"/>
      <c r="AA5" s="1777"/>
      <c r="AB5" s="1778"/>
      <c r="AC5" s="115"/>
      <c r="AD5" s="1749" t="s">
        <v>641</v>
      </c>
      <c r="AE5" s="1750"/>
      <c r="AF5" s="1750"/>
      <c r="AG5" s="1750"/>
      <c r="AH5" s="1751"/>
      <c r="AI5" s="1636"/>
      <c r="AJ5" s="1749" t="s">
        <v>645</v>
      </c>
      <c r="AK5" s="1750"/>
      <c r="AL5" s="1750"/>
      <c r="AM5" s="1750"/>
      <c r="AN5" s="1751"/>
      <c r="AO5" s="1692"/>
      <c r="AP5" s="1749" t="s">
        <v>649</v>
      </c>
      <c r="AQ5" s="1750"/>
      <c r="AR5" s="1750"/>
      <c r="AS5" s="1750"/>
      <c r="AT5" s="1751"/>
      <c r="AU5" s="1692"/>
      <c r="AV5" s="1749" t="s">
        <v>659</v>
      </c>
      <c r="AW5" s="1750"/>
      <c r="AX5" s="1750"/>
      <c r="AY5" s="1750"/>
      <c r="AZ5" s="1751"/>
      <c r="BA5" s="1636"/>
      <c r="BB5" s="1749" t="s">
        <v>655</v>
      </c>
      <c r="BC5" s="1750"/>
      <c r="BD5" s="1750"/>
      <c r="BE5" s="1750"/>
      <c r="BF5" s="1751"/>
      <c r="BH5" s="1752" t="s">
        <v>217</v>
      </c>
      <c r="BI5" s="1726" t="s">
        <v>635</v>
      </c>
      <c r="BJ5" s="1727"/>
      <c r="BK5" s="1728"/>
      <c r="BL5" s="1727" t="s">
        <v>638</v>
      </c>
      <c r="BM5" s="1727"/>
      <c r="BN5" s="1728"/>
      <c r="BO5" s="1726" t="s">
        <v>646</v>
      </c>
      <c r="BP5" s="1727"/>
      <c r="BQ5" s="1727"/>
      <c r="BR5" s="1726" t="s">
        <v>650</v>
      </c>
      <c r="BS5" s="1727"/>
      <c r="BT5" s="1728"/>
      <c r="BU5" s="1726" t="s">
        <v>660</v>
      </c>
      <c r="BV5" s="1727"/>
      <c r="BW5" s="1728"/>
      <c r="BX5" s="1726" t="s">
        <v>656</v>
      </c>
      <c r="BY5" s="1727"/>
      <c r="BZ5" s="1728"/>
      <c r="CB5" s="1726" t="s">
        <v>803</v>
      </c>
      <c r="CC5" s="1727"/>
      <c r="CD5" s="1727"/>
      <c r="CE5" s="1728"/>
      <c r="CF5" s="1726" t="s">
        <v>803</v>
      </c>
      <c r="CG5" s="1727"/>
      <c r="CH5" s="1727"/>
      <c r="CI5" s="1728"/>
      <c r="CJ5" s="1726" t="s">
        <v>803</v>
      </c>
      <c r="CK5" s="1727"/>
      <c r="CL5" s="1727"/>
      <c r="CM5" s="1728"/>
    </row>
    <row r="6" spans="1:16381" ht="16.149999999999999" customHeight="1" thickBot="1">
      <c r="A6" s="1755" t="s">
        <v>217</v>
      </c>
      <c r="B6" s="1763" t="s">
        <v>292</v>
      </c>
      <c r="C6" s="306" t="s">
        <v>187</v>
      </c>
      <c r="D6" s="1765" t="s">
        <v>194</v>
      </c>
      <c r="E6" s="1766"/>
      <c r="F6" s="1767"/>
      <c r="G6" s="1765" t="s">
        <v>189</v>
      </c>
      <c r="H6" s="1766"/>
      <c r="I6" s="1767"/>
      <c r="J6" s="1765" t="s">
        <v>192</v>
      </c>
      <c r="K6" s="1767"/>
      <c r="L6" s="507" t="s">
        <v>187</v>
      </c>
      <c r="M6" s="1747" t="s">
        <v>194</v>
      </c>
      <c r="N6" s="1748"/>
      <c r="O6" s="505" t="s">
        <v>189</v>
      </c>
      <c r="P6" s="510" t="s">
        <v>514</v>
      </c>
      <c r="Q6" s="509" t="s">
        <v>187</v>
      </c>
      <c r="R6" s="512" t="s">
        <v>194</v>
      </c>
      <c r="S6" s="512" t="s">
        <v>513</v>
      </c>
      <c r="T6" s="512" t="s">
        <v>517</v>
      </c>
      <c r="U6" s="513">
        <v>4</v>
      </c>
      <c r="W6" s="1774" t="s">
        <v>217</v>
      </c>
      <c r="X6" s="1132" t="s">
        <v>187</v>
      </c>
      <c r="Y6" s="1133" t="s">
        <v>194</v>
      </c>
      <c r="Z6" s="1133" t="s">
        <v>513</v>
      </c>
      <c r="AA6" s="1133" t="s">
        <v>517</v>
      </c>
      <c r="AB6" s="1134">
        <v>4</v>
      </c>
      <c r="AC6" s="104"/>
      <c r="AD6" s="1132" t="s">
        <v>187</v>
      </c>
      <c r="AE6" s="1133" t="s">
        <v>194</v>
      </c>
      <c r="AF6" s="1133" t="s">
        <v>513</v>
      </c>
      <c r="AG6" s="1133" t="s">
        <v>517</v>
      </c>
      <c r="AH6" s="1134">
        <v>4</v>
      </c>
      <c r="AI6" s="131"/>
      <c r="AJ6" s="509" t="s">
        <v>187</v>
      </c>
      <c r="AK6" s="512" t="s">
        <v>194</v>
      </c>
      <c r="AL6" s="512" t="s">
        <v>513</v>
      </c>
      <c r="AM6" s="512" t="s">
        <v>517</v>
      </c>
      <c r="AN6" s="513">
        <v>4</v>
      </c>
      <c r="AO6" s="169"/>
      <c r="AP6" s="509" t="s">
        <v>187</v>
      </c>
      <c r="AQ6" s="512" t="s">
        <v>194</v>
      </c>
      <c r="AR6" s="512" t="s">
        <v>513</v>
      </c>
      <c r="AS6" s="512" t="s">
        <v>517</v>
      </c>
      <c r="AT6" s="513">
        <v>4</v>
      </c>
      <c r="AU6" s="169"/>
      <c r="AV6" s="509" t="s">
        <v>187</v>
      </c>
      <c r="AW6" s="512" t="s">
        <v>194</v>
      </c>
      <c r="AX6" s="512" t="s">
        <v>513</v>
      </c>
      <c r="AY6" s="512" t="s">
        <v>517</v>
      </c>
      <c r="AZ6" s="513">
        <v>4</v>
      </c>
      <c r="BA6" s="131"/>
      <c r="BB6" s="509" t="s">
        <v>187</v>
      </c>
      <c r="BC6" s="512" t="s">
        <v>194</v>
      </c>
      <c r="BD6" s="512" t="s">
        <v>513</v>
      </c>
      <c r="BE6" s="512" t="s">
        <v>517</v>
      </c>
      <c r="BF6" s="513">
        <v>4</v>
      </c>
      <c r="BH6" s="1753"/>
      <c r="BI6" s="1732"/>
      <c r="BJ6" s="1733"/>
      <c r="BK6" s="1734"/>
      <c r="BL6" s="1733"/>
      <c r="BM6" s="1733"/>
      <c r="BN6" s="1734"/>
      <c r="BO6" s="1732"/>
      <c r="BP6" s="1733"/>
      <c r="BQ6" s="1733"/>
      <c r="BR6" s="1732"/>
      <c r="BS6" s="1733"/>
      <c r="BT6" s="1734"/>
      <c r="BU6" s="1732"/>
      <c r="BV6" s="1733"/>
      <c r="BW6" s="1734"/>
      <c r="BX6" s="1732"/>
      <c r="BY6" s="1733"/>
      <c r="BZ6" s="1734"/>
      <c r="CB6" s="1729"/>
      <c r="CC6" s="1730"/>
      <c r="CD6" s="1730"/>
      <c r="CE6" s="1731"/>
      <c r="CF6" s="1729"/>
      <c r="CG6" s="1730"/>
      <c r="CH6" s="1730"/>
      <c r="CI6" s="1731"/>
      <c r="CJ6" s="1729"/>
      <c r="CK6" s="1730"/>
      <c r="CL6" s="1730"/>
      <c r="CM6" s="1731"/>
    </row>
    <row r="7" spans="1:16381" ht="90.75" thickBot="1">
      <c r="A7" s="1756"/>
      <c r="B7" s="1764"/>
      <c r="C7" s="502" t="s">
        <v>233</v>
      </c>
      <c r="D7" s="503" t="s">
        <v>234</v>
      </c>
      <c r="E7" s="1759" t="s">
        <v>176</v>
      </c>
      <c r="F7" s="1760"/>
      <c r="G7" s="1758" t="s">
        <v>284</v>
      </c>
      <c r="H7" s="1759"/>
      <c r="I7" s="1760"/>
      <c r="J7" s="1761" t="s">
        <v>193</v>
      </c>
      <c r="K7" s="1762"/>
      <c r="L7" s="508" t="s">
        <v>233</v>
      </c>
      <c r="M7" s="506" t="s">
        <v>234</v>
      </c>
      <c r="N7" s="506" t="s">
        <v>176</v>
      </c>
      <c r="O7" s="506" t="s">
        <v>284</v>
      </c>
      <c r="P7" s="511" t="s">
        <v>193</v>
      </c>
      <c r="Q7" s="509" t="s">
        <v>233</v>
      </c>
      <c r="R7" s="512" t="s">
        <v>512</v>
      </c>
      <c r="S7" s="512" t="s">
        <v>38</v>
      </c>
      <c r="T7" s="512" t="s">
        <v>193</v>
      </c>
      <c r="U7" s="513" t="s">
        <v>627</v>
      </c>
      <c r="W7" s="1775"/>
      <c r="X7" s="1138" t="s">
        <v>233</v>
      </c>
      <c r="Y7" s="1139" t="s">
        <v>512</v>
      </c>
      <c r="Z7" s="1139" t="s">
        <v>38</v>
      </c>
      <c r="AA7" s="1139" t="s">
        <v>193</v>
      </c>
      <c r="AB7" s="1140" t="s">
        <v>627</v>
      </c>
      <c r="AC7" s="1164" t="s">
        <v>752</v>
      </c>
      <c r="AD7" s="1135" t="s">
        <v>233</v>
      </c>
      <c r="AE7" s="1136" t="s">
        <v>512</v>
      </c>
      <c r="AF7" s="1136" t="s">
        <v>38</v>
      </c>
      <c r="AG7" s="1136" t="s">
        <v>193</v>
      </c>
      <c r="AH7" s="1137" t="s">
        <v>627</v>
      </c>
      <c r="AI7" s="1164" t="s">
        <v>752</v>
      </c>
      <c r="AJ7" s="509" t="s">
        <v>233</v>
      </c>
      <c r="AK7" s="512" t="s">
        <v>512</v>
      </c>
      <c r="AL7" s="512" t="s">
        <v>38</v>
      </c>
      <c r="AM7" s="512" t="s">
        <v>193</v>
      </c>
      <c r="AN7" s="513" t="s">
        <v>627</v>
      </c>
      <c r="AO7" s="1164" t="s">
        <v>752</v>
      </c>
      <c r="AP7" s="509" t="s">
        <v>233</v>
      </c>
      <c r="AQ7" s="512" t="s">
        <v>512</v>
      </c>
      <c r="AR7" s="512" t="s">
        <v>38</v>
      </c>
      <c r="AS7" s="512" t="s">
        <v>193</v>
      </c>
      <c r="AT7" s="513" t="s">
        <v>627</v>
      </c>
      <c r="AU7" s="1164" t="s">
        <v>752</v>
      </c>
      <c r="AV7" s="509" t="s">
        <v>233</v>
      </c>
      <c r="AW7" s="512" t="s">
        <v>512</v>
      </c>
      <c r="AX7" s="512" t="s">
        <v>38</v>
      </c>
      <c r="AY7" s="512" t="s">
        <v>193</v>
      </c>
      <c r="AZ7" s="513" t="s">
        <v>627</v>
      </c>
      <c r="BA7" s="1164" t="s">
        <v>752</v>
      </c>
      <c r="BB7" s="509" t="s">
        <v>233</v>
      </c>
      <c r="BC7" s="512" t="s">
        <v>512</v>
      </c>
      <c r="BD7" s="512" t="s">
        <v>38</v>
      </c>
      <c r="BE7" s="512" t="s">
        <v>193</v>
      </c>
      <c r="BF7" s="513" t="s">
        <v>627</v>
      </c>
      <c r="BG7" s="1164" t="s">
        <v>752</v>
      </c>
      <c r="BH7" s="1753"/>
      <c r="BI7" s="1098" t="s">
        <v>644</v>
      </c>
      <c r="BJ7" s="40" t="s">
        <v>801</v>
      </c>
      <c r="BK7" s="1099" t="s">
        <v>790</v>
      </c>
      <c r="BL7" s="1391" t="s">
        <v>642</v>
      </c>
      <c r="BM7" s="1392" t="s">
        <v>800</v>
      </c>
      <c r="BN7" s="1393" t="s">
        <v>791</v>
      </c>
      <c r="BO7" s="1161" t="s">
        <v>648</v>
      </c>
      <c r="BP7" s="40" t="s">
        <v>799</v>
      </c>
      <c r="BQ7" s="513" t="s">
        <v>792</v>
      </c>
      <c r="BR7" s="1098" t="s">
        <v>652</v>
      </c>
      <c r="BS7" s="40" t="s">
        <v>798</v>
      </c>
      <c r="BT7" s="1099" t="s">
        <v>793</v>
      </c>
      <c r="BU7" s="1098" t="s">
        <v>662</v>
      </c>
      <c r="BV7" s="40" t="s">
        <v>797</v>
      </c>
      <c r="BW7" s="513" t="s">
        <v>794</v>
      </c>
      <c r="BX7" s="1098" t="s">
        <v>658</v>
      </c>
      <c r="BY7" s="40" t="s">
        <v>796</v>
      </c>
      <c r="BZ7" s="513" t="s">
        <v>795</v>
      </c>
      <c r="CB7" s="1098" t="s">
        <v>812</v>
      </c>
      <c r="CC7" s="1099" t="s">
        <v>813</v>
      </c>
      <c r="CD7" s="40" t="s">
        <v>812</v>
      </c>
      <c r="CE7" s="1099" t="s">
        <v>811</v>
      </c>
      <c r="CF7" s="40" t="s">
        <v>810</v>
      </c>
      <c r="CG7" s="1099" t="s">
        <v>809</v>
      </c>
      <c r="CH7" s="40" t="s">
        <v>808</v>
      </c>
      <c r="CI7" s="1162" t="s">
        <v>807</v>
      </c>
      <c r="CJ7" s="1098" t="s">
        <v>806</v>
      </c>
      <c r="CK7" s="40" t="s">
        <v>805</v>
      </c>
      <c r="CL7" s="40" t="s">
        <v>802</v>
      </c>
      <c r="CM7" s="1099" t="s">
        <v>804</v>
      </c>
    </row>
    <row r="8" spans="1:16381" ht="15.75" thickBot="1">
      <c r="A8" s="1757"/>
      <c r="B8" s="307" t="s">
        <v>293</v>
      </c>
      <c r="C8" s="307" t="s">
        <v>188</v>
      </c>
      <c r="D8" s="308" t="s">
        <v>188</v>
      </c>
      <c r="E8" s="309" t="s">
        <v>188</v>
      </c>
      <c r="F8" s="310" t="s">
        <v>191</v>
      </c>
      <c r="G8" s="311" t="s">
        <v>190</v>
      </c>
      <c r="H8" s="309" t="s">
        <v>188</v>
      </c>
      <c r="I8" s="310" t="s">
        <v>191</v>
      </c>
      <c r="J8" s="985" t="s">
        <v>188</v>
      </c>
      <c r="K8" s="504" t="s">
        <v>191</v>
      </c>
      <c r="L8" s="1735" t="s">
        <v>515</v>
      </c>
      <c r="M8" s="1736"/>
      <c r="N8" s="1736"/>
      <c r="O8" s="1736"/>
      <c r="P8" s="1737"/>
      <c r="Q8" s="1741" t="s">
        <v>515</v>
      </c>
      <c r="R8" s="1742"/>
      <c r="S8" s="1742"/>
      <c r="T8" s="1742"/>
      <c r="U8" s="1743"/>
      <c r="W8" s="127"/>
      <c r="X8" s="1150" t="s">
        <v>643</v>
      </c>
      <c r="Y8" s="335" t="s">
        <v>643</v>
      </c>
      <c r="Z8" s="335" t="s">
        <v>643</v>
      </c>
      <c r="AA8" s="335" t="s">
        <v>643</v>
      </c>
      <c r="AB8" s="1151" t="s">
        <v>643</v>
      </c>
      <c r="AC8" s="104"/>
      <c r="AD8" s="1148" t="s">
        <v>641</v>
      </c>
      <c r="AE8" s="1141" t="s">
        <v>641</v>
      </c>
      <c r="AF8" s="1141" t="s">
        <v>641</v>
      </c>
      <c r="AG8" s="1141" t="s">
        <v>641</v>
      </c>
      <c r="AH8" s="1142" t="s">
        <v>641</v>
      </c>
      <c r="AI8" s="131"/>
      <c r="AJ8" s="1148" t="s">
        <v>645</v>
      </c>
      <c r="AK8" s="1141" t="s">
        <v>645</v>
      </c>
      <c r="AL8" s="1141" t="s">
        <v>645</v>
      </c>
      <c r="AM8" s="1141" t="s">
        <v>645</v>
      </c>
      <c r="AN8" s="1142" t="s">
        <v>645</v>
      </c>
      <c r="AO8" s="169"/>
      <c r="AP8" s="1148" t="s">
        <v>649</v>
      </c>
      <c r="AQ8" s="1141" t="s">
        <v>649</v>
      </c>
      <c r="AR8" s="1141" t="s">
        <v>649</v>
      </c>
      <c r="AS8" s="1141" t="s">
        <v>649</v>
      </c>
      <c r="AT8" s="1142" t="s">
        <v>649</v>
      </c>
      <c r="AU8" s="169"/>
      <c r="AV8" s="1148" t="s">
        <v>659</v>
      </c>
      <c r="AW8" s="1141" t="s">
        <v>659</v>
      </c>
      <c r="AX8" s="1141" t="s">
        <v>659</v>
      </c>
      <c r="AY8" s="1141" t="s">
        <v>659</v>
      </c>
      <c r="AZ8" s="1142" t="s">
        <v>659</v>
      </c>
      <c r="BA8" s="131"/>
      <c r="BB8" s="1148" t="s">
        <v>655</v>
      </c>
      <c r="BC8" s="1141" t="s">
        <v>655</v>
      </c>
      <c r="BD8" s="1141" t="s">
        <v>655</v>
      </c>
      <c r="BE8" s="1141" t="s">
        <v>655</v>
      </c>
      <c r="BF8" s="1142" t="s">
        <v>655</v>
      </c>
      <c r="BH8" s="1754"/>
      <c r="BI8" s="1155" t="s">
        <v>625</v>
      </c>
      <c r="BJ8" s="1156" t="s">
        <v>229</v>
      </c>
      <c r="BK8" s="1157" t="s">
        <v>625</v>
      </c>
      <c r="BL8" s="1155" t="s">
        <v>625</v>
      </c>
      <c r="BM8" s="1156" t="s">
        <v>229</v>
      </c>
      <c r="BN8" s="1157" t="s">
        <v>625</v>
      </c>
      <c r="BO8" s="1304" t="s">
        <v>625</v>
      </c>
      <c r="BP8" s="1156" t="s">
        <v>229</v>
      </c>
      <c r="BQ8" s="1157" t="s">
        <v>625</v>
      </c>
      <c r="BR8" s="1155" t="s">
        <v>625</v>
      </c>
      <c r="BS8" s="1156" t="s">
        <v>229</v>
      </c>
      <c r="BT8" s="1157" t="s">
        <v>625</v>
      </c>
      <c r="BU8" s="1155" t="s">
        <v>625</v>
      </c>
      <c r="BV8" s="1156" t="s">
        <v>229</v>
      </c>
      <c r="BW8" s="1157" t="s">
        <v>625</v>
      </c>
      <c r="BX8" s="1155" t="s">
        <v>625</v>
      </c>
      <c r="BY8" s="1156" t="s">
        <v>229</v>
      </c>
      <c r="BZ8" s="1157" t="s">
        <v>625</v>
      </c>
      <c r="CB8" s="67" t="s">
        <v>229</v>
      </c>
      <c r="CC8" s="68" t="s">
        <v>229</v>
      </c>
      <c r="CD8" s="1160" t="s">
        <v>229</v>
      </c>
      <c r="CE8" s="68" t="s">
        <v>229</v>
      </c>
      <c r="CF8" s="1160" t="s">
        <v>229</v>
      </c>
      <c r="CG8" s="68" t="s">
        <v>229</v>
      </c>
      <c r="CH8" s="1160" t="s">
        <v>229</v>
      </c>
      <c r="CI8" s="1163" t="s">
        <v>229</v>
      </c>
      <c r="CJ8" s="67" t="s">
        <v>229</v>
      </c>
      <c r="CK8" s="1160" t="s">
        <v>229</v>
      </c>
      <c r="CL8" s="1160" t="s">
        <v>229</v>
      </c>
      <c r="CM8" s="68" t="s">
        <v>229</v>
      </c>
    </row>
    <row r="9" spans="1:16381">
      <c r="W9" s="127"/>
      <c r="X9" s="127"/>
      <c r="Y9" s="104"/>
      <c r="Z9" s="104"/>
      <c r="AA9" s="104"/>
      <c r="AB9" s="130"/>
      <c r="AC9" s="104"/>
      <c r="AD9" s="127"/>
      <c r="AE9" s="104"/>
      <c r="AF9" s="104"/>
      <c r="AG9" s="104"/>
      <c r="AH9" s="130"/>
      <c r="AI9" s="131"/>
      <c r="AJ9" s="127"/>
      <c r="AK9" s="104"/>
      <c r="AL9" s="104"/>
      <c r="AM9" s="104"/>
      <c r="AN9" s="130"/>
      <c r="AO9" s="169"/>
      <c r="AP9" s="1101"/>
      <c r="AQ9" s="104"/>
      <c r="AR9" s="104"/>
      <c r="AS9" s="104"/>
      <c r="AT9" s="130"/>
      <c r="AU9" s="169"/>
      <c r="AV9" s="127"/>
      <c r="AW9" s="104"/>
      <c r="AX9" s="104"/>
      <c r="AY9" s="104"/>
      <c r="AZ9" s="130"/>
      <c r="BA9" s="131"/>
      <c r="BB9" s="127"/>
      <c r="BC9" s="104"/>
      <c r="BD9" s="104"/>
      <c r="BE9" s="104"/>
      <c r="BF9" s="130"/>
      <c r="BH9" s="736"/>
      <c r="BI9" s="115"/>
      <c r="BJ9" s="115"/>
      <c r="BK9" s="116"/>
      <c r="BL9" s="736"/>
      <c r="BM9" s="115"/>
      <c r="BN9" s="116"/>
      <c r="BO9" s="115"/>
      <c r="BP9" s="115"/>
      <c r="BQ9" s="116"/>
      <c r="BR9" s="736"/>
      <c r="BS9" s="115"/>
      <c r="BT9" s="116"/>
      <c r="BU9" s="115"/>
      <c r="BV9" s="115"/>
      <c r="BW9" s="116"/>
      <c r="BX9" s="736"/>
      <c r="BY9" s="115"/>
      <c r="BZ9" s="116"/>
      <c r="CB9" s="708">
        <v>0</v>
      </c>
      <c r="CC9" s="647">
        <v>0</v>
      </c>
      <c r="CD9" s="647">
        <v>0</v>
      </c>
      <c r="CE9" s="715">
        <v>0</v>
      </c>
      <c r="CF9" s="708">
        <v>0</v>
      </c>
      <c r="CG9" s="647">
        <v>0</v>
      </c>
      <c r="CH9" s="647">
        <v>0</v>
      </c>
      <c r="CI9" s="715">
        <v>0</v>
      </c>
      <c r="CJ9" s="708">
        <v>0</v>
      </c>
      <c r="CK9" s="647">
        <v>0</v>
      </c>
      <c r="CL9" s="647">
        <v>0</v>
      </c>
      <c r="CM9" s="715">
        <v>0</v>
      </c>
    </row>
    <row r="10" spans="1:16381">
      <c r="A10" s="413">
        <f>'Input data'!A100</f>
        <v>2000</v>
      </c>
      <c r="B10" s="413"/>
      <c r="C10" s="471">
        <f>'4A SWD Case 1'!BG70</f>
        <v>748.95899118200191</v>
      </c>
      <c r="D10" s="515">
        <f>'4B Biological treatment '!T63</f>
        <v>0</v>
      </c>
      <c r="E10" s="472">
        <f>'4B Biological treatment '!U63</f>
        <v>8.0366018796691243</v>
      </c>
      <c r="F10" s="472">
        <f>'4B Biological treatment '!W63</f>
        <v>0.48219611278014735</v>
      </c>
      <c r="G10" s="515">
        <f>'4C2 Open-burning '!R70</f>
        <v>26.563802022871144</v>
      </c>
      <c r="H10" s="515">
        <f>'4C2 Open-burning '!Z70</f>
        <v>8.9379061199999992</v>
      </c>
      <c r="I10" s="515">
        <f>'4C2 Open-burning '!AH70</f>
        <v>0.12443073869825218</v>
      </c>
      <c r="J10" s="986">
        <f>'4D Wastewater treatment and dis'!AV107</f>
        <v>102.10120974240002</v>
      </c>
      <c r="K10" s="515">
        <f>'4D Wastewater treatment and dis'!AW107</f>
        <v>2.2185409303296706</v>
      </c>
      <c r="L10" s="471">
        <f>C10*$B$3</f>
        <v>15728.138814822039</v>
      </c>
      <c r="M10" s="515">
        <f t="shared" ref="M10:M25" si="0">D10*$B$3</f>
        <v>0</v>
      </c>
      <c r="N10" s="471">
        <f>E10*$B$3+F10*$C$3</f>
        <v>318.2494344348973</v>
      </c>
      <c r="O10" s="514">
        <f>G10+H10*$B$3+I10*$C$3</f>
        <v>252.83335953932928</v>
      </c>
      <c r="P10" s="471">
        <f>J10*$B$3+K10*$C$3</f>
        <v>2831.8730929925982</v>
      </c>
      <c r="Q10" s="471">
        <f>L10</f>
        <v>15728.138814822039</v>
      </c>
      <c r="R10" s="516">
        <f>M10+N10</f>
        <v>318.2494344348973</v>
      </c>
      <c r="S10" s="514">
        <f>O10</f>
        <v>252.83335953932928</v>
      </c>
      <c r="T10" s="471">
        <f>P10</f>
        <v>2831.8730929925982</v>
      </c>
      <c r="U10" s="471">
        <f>SUM(Q10:T10)</f>
        <v>19131.094701788865</v>
      </c>
      <c r="V10" s="515"/>
      <c r="W10" s="596">
        <f>A10</f>
        <v>2000</v>
      </c>
      <c r="X10" s="1101">
        <f>Q10</f>
        <v>15728.138814822039</v>
      </c>
      <c r="Y10" s="1102">
        <f t="shared" ref="Y10:AA10" si="1">R10</f>
        <v>318.2494344348973</v>
      </c>
      <c r="Z10" s="1102">
        <f t="shared" si="1"/>
        <v>252.83335953932928</v>
      </c>
      <c r="AA10" s="1102">
        <f t="shared" si="1"/>
        <v>2831.8730929925982</v>
      </c>
      <c r="AB10" s="1144">
        <f>SUM(X10:AA10)</f>
        <v>19131.094701788865</v>
      </c>
      <c r="AC10" s="1102"/>
      <c r="AD10" s="1101">
        <f>Q10</f>
        <v>15728.138814822039</v>
      </c>
      <c r="AE10" s="1102">
        <f t="shared" ref="AE10:AG10" si="2">R10</f>
        <v>318.2494344348973</v>
      </c>
      <c r="AF10" s="1102">
        <f t="shared" si="2"/>
        <v>252.83335953932928</v>
      </c>
      <c r="AG10" s="1102">
        <f t="shared" si="2"/>
        <v>2831.8730929925982</v>
      </c>
      <c r="AH10" s="1144">
        <f>SUM(AD10:AG10)</f>
        <v>19131.094701788865</v>
      </c>
      <c r="AI10" s="1423"/>
      <c r="AJ10" s="1101">
        <f>Q10</f>
        <v>15728.138814822039</v>
      </c>
      <c r="AK10" s="1102">
        <f t="shared" ref="AK10:AM10" si="3">R10</f>
        <v>318.2494344348973</v>
      </c>
      <c r="AL10" s="1102">
        <f t="shared" si="3"/>
        <v>252.83335953932928</v>
      </c>
      <c r="AM10" s="1102">
        <f t="shared" si="3"/>
        <v>2831.8730929925982</v>
      </c>
      <c r="AN10" s="1144">
        <f>SUM(AJ10:AM10)</f>
        <v>19131.094701788865</v>
      </c>
      <c r="AO10" s="1420"/>
      <c r="AP10" s="1101">
        <f>Q10</f>
        <v>15728.138814822039</v>
      </c>
      <c r="AQ10" s="1102">
        <f t="shared" ref="AQ10:AS10" si="4">R10</f>
        <v>318.2494344348973</v>
      </c>
      <c r="AR10" s="1102">
        <f t="shared" si="4"/>
        <v>252.83335953932928</v>
      </c>
      <c r="AS10" s="1102">
        <f t="shared" si="4"/>
        <v>2831.8730929925982</v>
      </c>
      <c r="AT10" s="1144">
        <f>SUM(AP10:AS10)</f>
        <v>19131.094701788865</v>
      </c>
      <c r="AU10" s="1416"/>
      <c r="AV10" s="1101">
        <f>X10</f>
        <v>15728.138814822039</v>
      </c>
      <c r="AW10" s="1102">
        <f>Y10</f>
        <v>318.2494344348973</v>
      </c>
      <c r="AX10" s="1102">
        <f>Z10</f>
        <v>252.83335953932928</v>
      </c>
      <c r="AY10" s="1102">
        <f>AA10</f>
        <v>2831.8730929925982</v>
      </c>
      <c r="AZ10" s="1144">
        <f>SUM(AV10:AY10)</f>
        <v>19131.094701788865</v>
      </c>
      <c r="BA10" s="1426"/>
      <c r="BB10" s="1101">
        <f>Q10</f>
        <v>15728.138814822039</v>
      </c>
      <c r="BC10" s="1102">
        <f t="shared" ref="BC10:BE10" si="5">R10</f>
        <v>318.2494344348973</v>
      </c>
      <c r="BD10" s="1102">
        <f t="shared" si="5"/>
        <v>252.83335953932928</v>
      </c>
      <c r="BE10" s="1102">
        <f t="shared" si="5"/>
        <v>2831.8730929925982</v>
      </c>
      <c r="BF10" s="1144">
        <f>SUM(BB10:BE10)</f>
        <v>19131.094701788865</v>
      </c>
      <c r="BG10" s="1428"/>
      <c r="BH10" s="596">
        <f>W10</f>
        <v>2000</v>
      </c>
      <c r="BI10" s="1102">
        <f>'Baseline data (from input)'!AZ56</f>
        <v>80.370820417446708</v>
      </c>
      <c r="BJ10" s="576">
        <f>'Baseline data (from input)'!BA56</f>
        <v>0.1421789091360664</v>
      </c>
      <c r="BK10" s="1103"/>
      <c r="BL10" s="1101">
        <f>BI10</f>
        <v>80.370820417446708</v>
      </c>
      <c r="BM10" s="576">
        <f>BJ10</f>
        <v>0.1421789091360664</v>
      </c>
      <c r="BN10" s="1103"/>
      <c r="BO10" s="1102">
        <f t="shared" ref="BO10:BP26" si="6">BI10</f>
        <v>80.370820417446708</v>
      </c>
      <c r="BP10" s="417">
        <f t="shared" si="6"/>
        <v>0.1421789091360664</v>
      </c>
      <c r="BQ10" s="1103"/>
      <c r="BR10" s="1101">
        <f>'Baseline data (from input)'!AZ56</f>
        <v>80.370820417446708</v>
      </c>
      <c r="BS10" s="417">
        <f>'Baseline data (from input)'!BA56</f>
        <v>0.1421789091360664</v>
      </c>
      <c r="BT10" s="1103"/>
      <c r="BU10" s="1102">
        <f t="shared" ref="BU10:BV26" si="7">BI10</f>
        <v>80.370820417446708</v>
      </c>
      <c r="BV10" s="417">
        <f t="shared" si="7"/>
        <v>0.1421789091360664</v>
      </c>
      <c r="BW10" s="1103"/>
      <c r="BX10" s="1101">
        <f>BU10</f>
        <v>80.370820417446708</v>
      </c>
      <c r="BY10" s="417">
        <f>BV10</f>
        <v>0.1421789091360664</v>
      </c>
      <c r="BZ10" s="1103"/>
      <c r="CA10" s="596">
        <v>2000</v>
      </c>
      <c r="CB10" s="649">
        <v>0</v>
      </c>
      <c r="CC10" s="417">
        <v>0</v>
      </c>
      <c r="CD10" s="417">
        <v>0</v>
      </c>
      <c r="CE10" s="525">
        <v>0</v>
      </c>
      <c r="CF10" s="649">
        <v>0</v>
      </c>
      <c r="CG10" s="417">
        <v>0</v>
      </c>
      <c r="CH10" s="417">
        <v>0</v>
      </c>
      <c r="CI10" s="525">
        <v>0</v>
      </c>
      <c r="CJ10" s="649">
        <v>0</v>
      </c>
      <c r="CK10" s="417">
        <v>0</v>
      </c>
      <c r="CL10" s="417">
        <v>0</v>
      </c>
      <c r="CM10" s="525">
        <v>0</v>
      </c>
      <c r="CN10" s="515"/>
      <c r="CO10" s="515"/>
      <c r="CP10" s="515"/>
      <c r="CQ10" s="515"/>
      <c r="CR10" s="413"/>
      <c r="CS10" s="413"/>
      <c r="CT10" s="413"/>
      <c r="CU10" s="413"/>
      <c r="CV10" s="413"/>
      <c r="CW10" s="413"/>
      <c r="CX10" s="413"/>
      <c r="CY10" s="413"/>
      <c r="CZ10" s="413"/>
      <c r="DA10" s="413"/>
      <c r="DB10" s="413"/>
      <c r="DC10" s="514"/>
      <c r="DD10" s="515"/>
      <c r="DE10" s="515"/>
      <c r="DF10" s="515"/>
      <c r="DG10" s="515"/>
      <c r="DH10" s="515"/>
      <c r="DI10" s="515"/>
      <c r="DJ10" s="515"/>
      <c r="DK10" s="515"/>
      <c r="DL10" s="515"/>
      <c r="DM10" s="413"/>
      <c r="DN10" s="413"/>
      <c r="DO10" s="413"/>
      <c r="DP10" s="413"/>
      <c r="DQ10" s="413"/>
      <c r="DR10" s="413"/>
      <c r="DS10" s="413"/>
      <c r="DT10" s="413"/>
      <c r="DU10" s="413"/>
      <c r="DV10" s="413"/>
      <c r="DW10" s="413"/>
      <c r="DX10" s="514"/>
      <c r="DY10" s="515"/>
      <c r="DZ10" s="515"/>
      <c r="EA10" s="515"/>
      <c r="EB10" s="515"/>
      <c r="EC10" s="515"/>
      <c r="ED10" s="515"/>
      <c r="EE10" s="515"/>
      <c r="EF10" s="515"/>
      <c r="EG10" s="515"/>
      <c r="EH10" s="413"/>
      <c r="EI10" s="413"/>
      <c r="EJ10" s="413"/>
      <c r="EK10" s="413"/>
      <c r="EL10" s="413"/>
      <c r="EM10" s="413"/>
      <c r="EN10" s="413"/>
      <c r="EO10" s="413"/>
      <c r="EP10" s="413"/>
      <c r="EQ10" s="413"/>
      <c r="ER10" s="413"/>
      <c r="ES10" s="514"/>
      <c r="ET10" s="515"/>
      <c r="EU10" s="515"/>
      <c r="EV10" s="515"/>
      <c r="EW10" s="515"/>
      <c r="EX10" s="515"/>
      <c r="EY10" s="515"/>
      <c r="EZ10" s="515"/>
      <c r="FA10" s="515"/>
      <c r="FB10" s="515"/>
      <c r="FC10" s="413"/>
      <c r="FD10" s="413"/>
      <c r="FE10" s="413"/>
      <c r="FF10" s="413"/>
      <c r="FG10" s="413"/>
      <c r="FH10" s="413"/>
      <c r="FI10" s="413"/>
      <c r="FJ10" s="413"/>
      <c r="FK10" s="413"/>
      <c r="FL10" s="413"/>
      <c r="FM10" s="413"/>
      <c r="FN10" s="514"/>
      <c r="FO10" s="515"/>
      <c r="FP10" s="515"/>
      <c r="FQ10" s="515"/>
      <c r="FR10" s="515"/>
      <c r="FS10" s="515"/>
      <c r="FT10" s="515"/>
      <c r="FU10" s="515"/>
      <c r="FV10" s="515"/>
      <c r="FW10" s="515"/>
      <c r="FX10" s="413"/>
      <c r="FY10" s="413"/>
      <c r="FZ10" s="413"/>
      <c r="GA10" s="413"/>
      <c r="GB10" s="413"/>
      <c r="GC10" s="413"/>
      <c r="GD10" s="413"/>
      <c r="GE10" s="413"/>
      <c r="GF10" s="413"/>
      <c r="GG10" s="413"/>
      <c r="GH10" s="413"/>
      <c r="GI10" s="514"/>
      <c r="GJ10" s="515"/>
      <c r="GK10" s="515"/>
      <c r="GL10" s="515"/>
      <c r="GM10" s="515"/>
      <c r="GN10" s="515"/>
      <c r="GO10" s="515"/>
      <c r="GP10" s="515"/>
      <c r="GQ10" s="515"/>
      <c r="GR10" s="515"/>
      <c r="GS10" s="413"/>
      <c r="GT10" s="413"/>
      <c r="GU10" s="413"/>
      <c r="GV10" s="413"/>
      <c r="GW10" s="413"/>
      <c r="GX10" s="413"/>
      <c r="GY10" s="413"/>
      <c r="GZ10" s="413"/>
      <c r="HA10" s="413"/>
      <c r="HB10" s="413"/>
      <c r="HC10" s="413"/>
      <c r="HD10" s="514"/>
      <c r="HE10" s="515"/>
      <c r="HF10" s="515"/>
      <c r="HG10" s="515"/>
      <c r="HH10" s="515"/>
      <c r="HI10" s="515"/>
      <c r="HJ10" s="515"/>
      <c r="HK10" s="515"/>
      <c r="HL10" s="515"/>
      <c r="HM10" s="515"/>
      <c r="HN10" s="413"/>
      <c r="HO10" s="413"/>
      <c r="HP10" s="413"/>
      <c r="HQ10" s="413"/>
      <c r="HR10" s="413"/>
      <c r="HS10" s="413"/>
      <c r="HT10" s="413"/>
      <c r="HU10" s="413"/>
      <c r="HV10" s="413"/>
      <c r="HW10" s="413"/>
      <c r="HX10" s="413"/>
      <c r="HY10" s="514"/>
      <c r="HZ10" s="515"/>
      <c r="IA10" s="515"/>
      <c r="IB10" s="515"/>
      <c r="IC10" s="515"/>
      <c r="ID10" s="515"/>
      <c r="IE10" s="515"/>
      <c r="IF10" s="515"/>
      <c r="IG10" s="515"/>
      <c r="IH10" s="515"/>
      <c r="II10" s="413"/>
      <c r="IJ10" s="413"/>
      <c r="IK10" s="413"/>
      <c r="IL10" s="413"/>
      <c r="IM10" s="413"/>
      <c r="IN10" s="413"/>
      <c r="IO10" s="413"/>
      <c r="IP10" s="413"/>
      <c r="IQ10" s="413"/>
      <c r="IR10" s="413"/>
      <c r="IS10" s="413"/>
      <c r="IT10" s="514"/>
      <c r="IU10" s="515"/>
      <c r="IV10" s="515"/>
      <c r="IW10" s="515"/>
      <c r="IX10" s="515"/>
      <c r="IY10" s="515"/>
      <c r="IZ10" s="515"/>
      <c r="JA10" s="515"/>
      <c r="JB10" s="515"/>
      <c r="JC10" s="515"/>
      <c r="JD10" s="413"/>
      <c r="JE10" s="413"/>
      <c r="JF10" s="413"/>
      <c r="JG10" s="413"/>
      <c r="JH10" s="413"/>
      <c r="JI10" s="413"/>
      <c r="JJ10" s="413"/>
      <c r="JK10" s="413"/>
      <c r="JL10" s="413"/>
      <c r="JM10" s="413"/>
      <c r="JN10" s="413"/>
      <c r="JO10" s="514"/>
      <c r="JP10" s="515"/>
      <c r="JQ10" s="515"/>
      <c r="JR10" s="515"/>
      <c r="JS10" s="515"/>
      <c r="JT10" s="515"/>
      <c r="JU10" s="515"/>
      <c r="JV10" s="515"/>
      <c r="JW10" s="515"/>
      <c r="JX10" s="515"/>
      <c r="JY10" s="413"/>
      <c r="JZ10" s="413"/>
      <c r="KA10" s="413"/>
      <c r="KB10" s="413"/>
      <c r="KC10" s="413"/>
      <c r="KD10" s="413"/>
      <c r="KE10" s="413"/>
      <c r="KF10" s="413"/>
      <c r="KG10" s="413"/>
      <c r="KH10" s="413"/>
      <c r="KI10" s="413"/>
      <c r="KJ10" s="514"/>
      <c r="KK10" s="515"/>
      <c r="KL10" s="515"/>
      <c r="KM10" s="515"/>
      <c r="KN10" s="515"/>
      <c r="KO10" s="515"/>
      <c r="KP10" s="515"/>
      <c r="KQ10" s="515"/>
      <c r="KR10" s="515"/>
      <c r="KS10" s="515"/>
      <c r="KT10" s="413"/>
      <c r="KU10" s="413"/>
      <c r="KV10" s="413"/>
      <c r="KW10" s="413"/>
      <c r="KX10" s="413"/>
      <c r="KY10" s="413"/>
      <c r="KZ10" s="413"/>
      <c r="LA10" s="413"/>
      <c r="LB10" s="413"/>
      <c r="LC10" s="413"/>
      <c r="LD10" s="413"/>
      <c r="LE10" s="514"/>
      <c r="LF10" s="515"/>
      <c r="LG10" s="515"/>
      <c r="LH10" s="515"/>
      <c r="LI10" s="515"/>
      <c r="LJ10" s="515"/>
      <c r="LK10" s="515"/>
      <c r="LL10" s="515"/>
      <c r="LM10" s="515"/>
      <c r="LN10" s="515"/>
      <c r="LO10" s="413"/>
      <c r="LP10" s="413"/>
      <c r="LQ10" s="413"/>
      <c r="LR10" s="413"/>
      <c r="LS10" s="413"/>
      <c r="LT10" s="413"/>
      <c r="LU10" s="413"/>
      <c r="LV10" s="413"/>
      <c r="LW10" s="413"/>
      <c r="LX10" s="413"/>
      <c r="LY10" s="413"/>
      <c r="LZ10" s="514"/>
      <c r="MA10" s="515"/>
      <c r="MB10" s="515"/>
      <c r="MC10" s="515"/>
      <c r="MD10" s="515"/>
      <c r="ME10" s="515"/>
      <c r="MF10" s="515"/>
      <c r="MG10" s="515"/>
      <c r="MH10" s="515"/>
      <c r="MI10" s="515"/>
      <c r="MJ10" s="413"/>
      <c r="MK10" s="413"/>
      <c r="ML10" s="413"/>
      <c r="MM10" s="413"/>
      <c r="MN10" s="413"/>
      <c r="MO10" s="413"/>
      <c r="MP10" s="413"/>
      <c r="MQ10" s="413"/>
      <c r="MR10" s="413"/>
      <c r="MS10" s="413"/>
      <c r="MT10" s="413"/>
      <c r="MU10" s="514"/>
      <c r="MV10" s="515"/>
      <c r="MW10" s="515"/>
      <c r="MX10" s="515"/>
      <c r="MY10" s="515"/>
      <c r="MZ10" s="515"/>
      <c r="NA10" s="515"/>
      <c r="NB10" s="515"/>
      <c r="NC10" s="515"/>
      <c r="ND10" s="515"/>
      <c r="NE10" s="413"/>
      <c r="NF10" s="413"/>
      <c r="NG10" s="413"/>
      <c r="NH10" s="413"/>
      <c r="NI10" s="413"/>
      <c r="NJ10" s="413"/>
      <c r="NK10" s="413"/>
      <c r="NL10" s="413"/>
      <c r="NM10" s="413"/>
      <c r="NN10" s="413"/>
      <c r="NO10" s="413"/>
      <c r="NP10" s="514"/>
      <c r="NQ10" s="515"/>
      <c r="NR10" s="515"/>
      <c r="NS10" s="515"/>
      <c r="NT10" s="515"/>
      <c r="NU10" s="515"/>
      <c r="NV10" s="515"/>
      <c r="NW10" s="515"/>
      <c r="NX10" s="515"/>
      <c r="NY10" s="515"/>
      <c r="NZ10" s="413"/>
      <c r="OA10" s="413"/>
      <c r="OB10" s="413"/>
      <c r="OC10" s="413"/>
      <c r="OD10" s="413"/>
      <c r="OE10" s="413"/>
      <c r="OF10" s="413"/>
      <c r="OG10" s="413"/>
      <c r="OH10" s="413"/>
      <c r="OI10" s="413"/>
      <c r="OJ10" s="413"/>
      <c r="OK10" s="514"/>
      <c r="OL10" s="515"/>
      <c r="OM10" s="515"/>
      <c r="ON10" s="515"/>
      <c r="OO10" s="515"/>
      <c r="OP10" s="515"/>
      <c r="OQ10" s="515"/>
      <c r="OR10" s="515"/>
      <c r="OS10" s="515"/>
      <c r="OT10" s="515"/>
      <c r="OU10" s="413"/>
      <c r="OV10" s="413"/>
      <c r="OW10" s="413"/>
      <c r="OX10" s="413"/>
      <c r="OY10" s="413"/>
      <c r="OZ10" s="413"/>
      <c r="PA10" s="413"/>
      <c r="PB10" s="413"/>
      <c r="PC10" s="413"/>
      <c r="PD10" s="413"/>
      <c r="PE10" s="413"/>
      <c r="PF10" s="514"/>
      <c r="PG10" s="515"/>
      <c r="PH10" s="515"/>
      <c r="PI10" s="515"/>
      <c r="PJ10" s="515"/>
      <c r="PK10" s="515"/>
      <c r="PL10" s="515"/>
      <c r="PM10" s="515"/>
      <c r="PN10" s="515"/>
      <c r="PO10" s="515"/>
      <c r="PP10" s="413"/>
      <c r="PQ10" s="413"/>
      <c r="PR10" s="413"/>
      <c r="PS10" s="413"/>
      <c r="PT10" s="413"/>
      <c r="PU10" s="413"/>
      <c r="PV10" s="413"/>
      <c r="PW10" s="413"/>
      <c r="PX10" s="413"/>
      <c r="PY10" s="413"/>
      <c r="PZ10" s="413"/>
      <c r="QA10" s="514"/>
      <c r="QB10" s="515"/>
      <c r="QC10" s="515"/>
      <c r="QD10" s="515"/>
      <c r="QE10" s="515"/>
      <c r="QF10" s="515"/>
      <c r="QG10" s="515"/>
      <c r="QH10" s="515"/>
      <c r="QI10" s="515"/>
      <c r="QJ10" s="515"/>
      <c r="QK10" s="413"/>
      <c r="QL10" s="413"/>
      <c r="QM10" s="413"/>
      <c r="QN10" s="413"/>
      <c r="QO10" s="413"/>
      <c r="QP10" s="413"/>
      <c r="QQ10" s="413"/>
      <c r="QR10" s="413"/>
      <c r="QS10" s="413"/>
      <c r="QT10" s="413"/>
      <c r="QU10" s="413"/>
      <c r="QV10" s="514"/>
      <c r="QW10" s="515"/>
      <c r="QX10" s="515"/>
      <c r="QY10" s="515"/>
      <c r="QZ10" s="515"/>
      <c r="RA10" s="515"/>
      <c r="RB10" s="515"/>
      <c r="RC10" s="515"/>
      <c r="RD10" s="515"/>
      <c r="RE10" s="515"/>
      <c r="RF10" s="413"/>
      <c r="RG10" s="413"/>
      <c r="RH10" s="413"/>
      <c r="RI10" s="413"/>
      <c r="RJ10" s="413"/>
      <c r="RK10" s="413"/>
      <c r="RL10" s="413"/>
      <c r="RM10" s="413"/>
      <c r="RN10" s="413"/>
      <c r="RO10" s="413"/>
      <c r="RP10" s="413"/>
      <c r="RQ10" s="514"/>
      <c r="RR10" s="515"/>
      <c r="RS10" s="515"/>
      <c r="RT10" s="515"/>
      <c r="RU10" s="515"/>
      <c r="RV10" s="515"/>
      <c r="RW10" s="515"/>
      <c r="RX10" s="515"/>
      <c r="RY10" s="515"/>
      <c r="RZ10" s="515"/>
      <c r="SA10" s="413"/>
      <c r="SB10" s="413"/>
      <c r="SC10" s="413"/>
      <c r="SD10" s="413"/>
      <c r="SE10" s="413"/>
      <c r="SF10" s="413"/>
      <c r="SG10" s="413"/>
      <c r="SH10" s="413"/>
      <c r="SI10" s="413"/>
      <c r="SJ10" s="413"/>
      <c r="SK10" s="413"/>
      <c r="SL10" s="514"/>
      <c r="SM10" s="515"/>
      <c r="SN10" s="515"/>
      <c r="SO10" s="515"/>
      <c r="SP10" s="515"/>
      <c r="SQ10" s="515"/>
      <c r="SR10" s="515"/>
      <c r="SS10" s="515"/>
      <c r="ST10" s="515"/>
      <c r="SU10" s="515"/>
      <c r="SV10" s="413"/>
      <c r="SW10" s="413"/>
      <c r="SX10" s="413"/>
      <c r="SY10" s="413"/>
      <c r="SZ10" s="413"/>
      <c r="TA10" s="413"/>
      <c r="TB10" s="413"/>
      <c r="TC10" s="413"/>
      <c r="TD10" s="413"/>
      <c r="TE10" s="413"/>
      <c r="TF10" s="413"/>
      <c r="TG10" s="514"/>
      <c r="TH10" s="515"/>
      <c r="TI10" s="515"/>
      <c r="TJ10" s="515"/>
      <c r="TK10" s="515"/>
      <c r="TL10" s="515"/>
      <c r="TM10" s="515"/>
      <c r="TN10" s="515"/>
      <c r="TO10" s="515"/>
      <c r="TP10" s="515"/>
      <c r="TQ10" s="413"/>
      <c r="TR10" s="413"/>
      <c r="TS10" s="413"/>
      <c r="TT10" s="413"/>
      <c r="TU10" s="413"/>
      <c r="TV10" s="413"/>
      <c r="TW10" s="413"/>
      <c r="TX10" s="413"/>
      <c r="TY10" s="413"/>
      <c r="TZ10" s="413"/>
      <c r="UA10" s="413"/>
      <c r="UB10" s="514"/>
      <c r="UC10" s="515"/>
      <c r="UD10" s="515"/>
      <c r="UE10" s="515"/>
      <c r="UF10" s="515"/>
      <c r="UG10" s="515"/>
      <c r="UH10" s="515"/>
      <c r="UI10" s="515"/>
      <c r="UJ10" s="515"/>
      <c r="UK10" s="515"/>
      <c r="UL10" s="413"/>
      <c r="UM10" s="413"/>
      <c r="UN10" s="413"/>
      <c r="UO10" s="413"/>
      <c r="UP10" s="413"/>
      <c r="UQ10" s="413"/>
      <c r="UR10" s="413"/>
      <c r="US10" s="413"/>
      <c r="UT10" s="413"/>
      <c r="UU10" s="413"/>
      <c r="UV10" s="413"/>
      <c r="UW10" s="514"/>
      <c r="UX10" s="515"/>
      <c r="UY10" s="515"/>
      <c r="UZ10" s="515"/>
      <c r="VA10" s="515"/>
      <c r="VB10" s="515"/>
      <c r="VC10" s="515"/>
      <c r="VD10" s="515"/>
      <c r="VE10" s="515"/>
      <c r="VF10" s="515"/>
      <c r="VG10" s="413"/>
      <c r="VH10" s="413"/>
      <c r="VI10" s="413"/>
      <c r="VJ10" s="413"/>
      <c r="VK10" s="413"/>
      <c r="VL10" s="413"/>
      <c r="VM10" s="413"/>
      <c r="VN10" s="413"/>
      <c r="VO10" s="413"/>
      <c r="VP10" s="413"/>
      <c r="VQ10" s="413"/>
      <c r="VR10" s="514"/>
      <c r="VS10" s="515"/>
      <c r="VT10" s="515"/>
      <c r="VU10" s="515"/>
      <c r="VV10" s="515"/>
      <c r="VW10" s="515"/>
      <c r="VX10" s="515"/>
      <c r="VY10" s="515"/>
      <c r="VZ10" s="515"/>
      <c r="WA10" s="515"/>
      <c r="WB10" s="413"/>
      <c r="WC10" s="413"/>
      <c r="WD10" s="413"/>
      <c r="WE10" s="413"/>
      <c r="WF10" s="413"/>
      <c r="WG10" s="413"/>
      <c r="WH10" s="413"/>
      <c r="WI10" s="413"/>
      <c r="WJ10" s="413"/>
      <c r="WK10" s="413"/>
      <c r="WL10" s="413"/>
      <c r="WM10" s="514"/>
      <c r="WN10" s="515"/>
      <c r="WO10" s="515"/>
      <c r="WP10" s="515"/>
      <c r="WQ10" s="515"/>
      <c r="WR10" s="515"/>
      <c r="WS10" s="515"/>
      <c r="WT10" s="515"/>
      <c r="WU10" s="515"/>
      <c r="WV10" s="515"/>
      <c r="WW10" s="413"/>
      <c r="WX10" s="413"/>
      <c r="WY10" s="413"/>
      <c r="WZ10" s="413"/>
      <c r="XA10" s="413"/>
      <c r="XB10" s="413"/>
      <c r="XC10" s="413"/>
      <c r="XD10" s="413"/>
      <c r="XE10" s="413"/>
      <c r="XF10" s="413"/>
      <c r="XG10" s="413"/>
      <c r="XH10" s="514"/>
      <c r="XI10" s="515"/>
      <c r="XJ10" s="515"/>
      <c r="XK10" s="515"/>
      <c r="XL10" s="515"/>
      <c r="XM10" s="515"/>
      <c r="XN10" s="515"/>
      <c r="XO10" s="515"/>
      <c r="XP10" s="515"/>
      <c r="XQ10" s="515"/>
      <c r="XR10" s="413"/>
      <c r="XS10" s="413"/>
      <c r="XT10" s="413"/>
      <c r="XU10" s="413"/>
      <c r="XV10" s="413"/>
      <c r="XW10" s="413"/>
      <c r="XX10" s="413"/>
      <c r="XY10" s="413"/>
      <c r="XZ10" s="413"/>
      <c r="YA10" s="413"/>
      <c r="YB10" s="413"/>
      <c r="YC10" s="514"/>
      <c r="YD10" s="515"/>
      <c r="YE10" s="515"/>
      <c r="YF10" s="515"/>
      <c r="YG10" s="515"/>
      <c r="YH10" s="515"/>
      <c r="YI10" s="515"/>
      <c r="YJ10" s="515"/>
      <c r="YK10" s="515"/>
      <c r="YL10" s="515"/>
      <c r="YM10" s="413"/>
      <c r="YN10" s="413"/>
      <c r="YO10" s="413"/>
      <c r="YP10" s="413"/>
      <c r="YQ10" s="413"/>
      <c r="YR10" s="413"/>
      <c r="YS10" s="413"/>
      <c r="YT10" s="413"/>
      <c r="YU10" s="413"/>
      <c r="YV10" s="413"/>
      <c r="YW10" s="413"/>
      <c r="YX10" s="514"/>
      <c r="YY10" s="515"/>
      <c r="YZ10" s="515"/>
      <c r="ZA10" s="515"/>
      <c r="ZB10" s="515"/>
      <c r="ZC10" s="515"/>
      <c r="ZD10" s="515"/>
      <c r="ZE10" s="515"/>
      <c r="ZF10" s="515"/>
      <c r="ZG10" s="515"/>
      <c r="ZH10" s="413"/>
      <c r="ZI10" s="413"/>
      <c r="ZJ10" s="413"/>
      <c r="ZK10" s="413"/>
      <c r="ZL10" s="413"/>
      <c r="ZM10" s="413"/>
      <c r="ZN10" s="413"/>
      <c r="ZO10" s="413"/>
      <c r="ZP10" s="413"/>
      <c r="ZQ10" s="413"/>
      <c r="ZR10" s="413"/>
      <c r="ZS10" s="514"/>
      <c r="ZT10" s="515"/>
      <c r="ZU10" s="515"/>
      <c r="ZV10" s="515"/>
      <c r="ZW10" s="515"/>
      <c r="ZX10" s="515"/>
      <c r="ZY10" s="515"/>
      <c r="ZZ10" s="515"/>
      <c r="AAA10" s="515"/>
      <c r="AAB10" s="515"/>
      <c r="AAC10" s="413"/>
      <c r="AAD10" s="413"/>
      <c r="AAE10" s="413"/>
      <c r="AAF10" s="413"/>
      <c r="AAG10" s="413"/>
      <c r="AAH10" s="413"/>
      <c r="AAI10" s="413"/>
      <c r="AAJ10" s="413"/>
      <c r="AAK10" s="413"/>
      <c r="AAL10" s="413"/>
      <c r="AAM10" s="413"/>
      <c r="AAN10" s="514"/>
      <c r="AAO10" s="515"/>
      <c r="AAP10" s="515"/>
      <c r="AAQ10" s="515"/>
      <c r="AAR10" s="515"/>
      <c r="AAS10" s="515"/>
      <c r="AAT10" s="515"/>
      <c r="AAU10" s="515"/>
      <c r="AAV10" s="515"/>
      <c r="AAW10" s="515"/>
      <c r="AAX10" s="413"/>
      <c r="AAY10" s="413"/>
      <c r="AAZ10" s="413"/>
      <c r="ABA10" s="413"/>
      <c r="ABB10" s="413"/>
      <c r="ABC10" s="413"/>
      <c r="ABD10" s="413"/>
      <c r="ABE10" s="413"/>
      <c r="ABF10" s="413"/>
      <c r="ABG10" s="413"/>
      <c r="ABH10" s="413"/>
      <c r="ABI10" s="514"/>
      <c r="ABJ10" s="515"/>
      <c r="ABK10" s="515"/>
      <c r="ABL10" s="515"/>
      <c r="ABM10" s="515"/>
      <c r="ABN10" s="515"/>
      <c r="ABO10" s="515"/>
      <c r="ABP10" s="515"/>
      <c r="ABQ10" s="515"/>
      <c r="ABR10" s="515"/>
      <c r="ABS10" s="413"/>
      <c r="ABT10" s="413"/>
      <c r="ABU10" s="413"/>
      <c r="ABV10" s="413"/>
      <c r="ABW10" s="413"/>
      <c r="ABX10" s="413"/>
      <c r="ABY10" s="413"/>
      <c r="ABZ10" s="413"/>
      <c r="ACA10" s="413"/>
      <c r="ACB10" s="413"/>
      <c r="ACC10" s="413"/>
      <c r="ACD10" s="514"/>
      <c r="ACE10" s="515"/>
      <c r="ACF10" s="515"/>
      <c r="ACG10" s="515"/>
      <c r="ACH10" s="515"/>
      <c r="ACI10" s="515"/>
      <c r="ACJ10" s="515"/>
      <c r="ACK10" s="515"/>
      <c r="ACL10" s="515"/>
      <c r="ACM10" s="515"/>
      <c r="ACN10" s="413"/>
      <c r="ACO10" s="413"/>
      <c r="ACP10" s="413"/>
      <c r="ACQ10" s="413"/>
      <c r="ACR10" s="413"/>
      <c r="ACS10" s="413"/>
      <c r="ACT10" s="413"/>
      <c r="ACU10" s="413"/>
      <c r="ACV10" s="413"/>
      <c r="ACW10" s="413"/>
      <c r="ACX10" s="413"/>
      <c r="ACY10" s="514"/>
      <c r="ACZ10" s="515"/>
      <c r="ADA10" s="515"/>
      <c r="ADB10" s="515"/>
      <c r="ADC10" s="515"/>
      <c r="ADD10" s="515"/>
      <c r="ADE10" s="515"/>
      <c r="ADF10" s="515"/>
      <c r="ADG10" s="515"/>
      <c r="ADH10" s="515"/>
      <c r="ADI10" s="413"/>
      <c r="ADJ10" s="413"/>
      <c r="ADK10" s="413"/>
      <c r="ADL10" s="413"/>
      <c r="ADM10" s="413"/>
      <c r="ADN10" s="413"/>
      <c r="ADO10" s="413"/>
      <c r="ADP10" s="413"/>
      <c r="ADQ10" s="413"/>
      <c r="ADR10" s="413"/>
      <c r="ADS10" s="413"/>
      <c r="ADT10" s="514"/>
      <c r="ADU10" s="515"/>
      <c r="ADV10" s="515"/>
      <c r="ADW10" s="515"/>
      <c r="ADX10" s="515"/>
      <c r="ADY10" s="515"/>
      <c r="ADZ10" s="515"/>
      <c r="AEA10" s="515"/>
      <c r="AEB10" s="515"/>
      <c r="AEC10" s="515"/>
      <c r="AED10" s="413"/>
      <c r="AEE10" s="413"/>
      <c r="AEF10" s="413"/>
      <c r="AEG10" s="413"/>
      <c r="AEH10" s="413"/>
      <c r="AEI10" s="413"/>
      <c r="AEJ10" s="413"/>
      <c r="AEK10" s="413"/>
      <c r="AEL10" s="413"/>
      <c r="AEM10" s="413"/>
      <c r="AEN10" s="413"/>
      <c r="AEO10" s="514"/>
      <c r="AEP10" s="515"/>
      <c r="AEQ10" s="515"/>
      <c r="AER10" s="515"/>
      <c r="AES10" s="515"/>
      <c r="AET10" s="515"/>
      <c r="AEU10" s="515"/>
      <c r="AEV10" s="515"/>
      <c r="AEW10" s="515"/>
      <c r="AEX10" s="515"/>
      <c r="AEY10" s="413"/>
      <c r="AEZ10" s="413"/>
      <c r="AFA10" s="413"/>
      <c r="AFB10" s="413"/>
      <c r="AFC10" s="413"/>
      <c r="AFD10" s="413"/>
      <c r="AFE10" s="413"/>
      <c r="AFF10" s="413"/>
      <c r="AFG10" s="413"/>
      <c r="AFH10" s="413"/>
      <c r="AFI10" s="413"/>
      <c r="AFJ10" s="514"/>
      <c r="AFK10" s="515"/>
      <c r="AFL10" s="515"/>
      <c r="AFM10" s="515"/>
      <c r="AFN10" s="515"/>
      <c r="AFO10" s="515"/>
      <c r="AFP10" s="515"/>
      <c r="AFQ10" s="515"/>
      <c r="AFR10" s="515"/>
      <c r="AFS10" s="515"/>
      <c r="AFT10" s="413"/>
      <c r="AFU10" s="413"/>
      <c r="AFV10" s="413"/>
      <c r="AFW10" s="413"/>
      <c r="AFX10" s="413"/>
      <c r="AFY10" s="413"/>
      <c r="AFZ10" s="413"/>
      <c r="AGA10" s="413"/>
      <c r="AGB10" s="413"/>
      <c r="AGC10" s="413"/>
      <c r="AGD10" s="413"/>
      <c r="AGE10" s="514"/>
      <c r="AGF10" s="515"/>
      <c r="AGG10" s="515"/>
      <c r="AGH10" s="515"/>
      <c r="AGI10" s="515"/>
      <c r="AGJ10" s="515"/>
      <c r="AGK10" s="515"/>
      <c r="AGL10" s="515"/>
      <c r="AGM10" s="515"/>
      <c r="AGN10" s="515"/>
      <c r="AGO10" s="413"/>
      <c r="AGP10" s="413"/>
      <c r="AGQ10" s="413"/>
      <c r="AGR10" s="413"/>
      <c r="AGS10" s="413"/>
      <c r="AGT10" s="413"/>
      <c r="AGU10" s="413"/>
      <c r="AGV10" s="413"/>
      <c r="AGW10" s="413"/>
      <c r="AGX10" s="413"/>
      <c r="AGY10" s="413"/>
      <c r="AGZ10" s="514"/>
      <c r="AHA10" s="515"/>
      <c r="AHB10" s="515"/>
      <c r="AHC10" s="515"/>
      <c r="AHD10" s="515"/>
      <c r="AHE10" s="515"/>
      <c r="AHF10" s="515"/>
      <c r="AHG10" s="515"/>
      <c r="AHH10" s="515"/>
      <c r="AHI10" s="515"/>
      <c r="AHJ10" s="413"/>
      <c r="AHK10" s="413"/>
      <c r="AHL10" s="413"/>
      <c r="AHM10" s="413"/>
      <c r="AHN10" s="413"/>
      <c r="AHO10" s="413"/>
      <c r="AHP10" s="413"/>
      <c r="AHQ10" s="413"/>
      <c r="AHR10" s="413"/>
      <c r="AHS10" s="413"/>
      <c r="AHT10" s="413"/>
      <c r="AHU10" s="514"/>
      <c r="AHV10" s="515"/>
      <c r="AHW10" s="515"/>
      <c r="AHX10" s="515"/>
      <c r="AHY10" s="515"/>
      <c r="AHZ10" s="515"/>
      <c r="AIA10" s="515"/>
      <c r="AIB10" s="515"/>
      <c r="AIC10" s="515"/>
      <c r="AID10" s="515"/>
      <c r="AIE10" s="413"/>
      <c r="AIF10" s="413"/>
      <c r="AIG10" s="413"/>
      <c r="AIH10" s="413"/>
      <c r="AII10" s="413"/>
      <c r="AIJ10" s="413"/>
      <c r="AIK10" s="413"/>
      <c r="AIL10" s="413"/>
      <c r="AIM10" s="413"/>
      <c r="AIN10" s="413"/>
      <c r="AIO10" s="413"/>
      <c r="AIP10" s="514"/>
      <c r="AIQ10" s="515"/>
      <c r="AIR10" s="515"/>
      <c r="AIS10" s="515"/>
      <c r="AIT10" s="515"/>
      <c r="AIU10" s="515"/>
      <c r="AIV10" s="515"/>
      <c r="AIW10" s="515"/>
      <c r="AIX10" s="515"/>
      <c r="AIY10" s="515"/>
      <c r="AIZ10" s="413"/>
      <c r="AJA10" s="413"/>
      <c r="AJB10" s="413"/>
      <c r="AJC10" s="413"/>
      <c r="AJD10" s="413"/>
      <c r="AJE10" s="413"/>
      <c r="AJF10" s="413"/>
      <c r="AJG10" s="413"/>
      <c r="AJH10" s="413"/>
      <c r="AJI10" s="413"/>
      <c r="AJJ10" s="413"/>
      <c r="AJK10" s="514"/>
      <c r="AJL10" s="515"/>
      <c r="AJM10" s="515"/>
      <c r="AJN10" s="515"/>
      <c r="AJO10" s="515"/>
      <c r="AJP10" s="515"/>
      <c r="AJQ10" s="515"/>
      <c r="AJR10" s="515"/>
      <c r="AJS10" s="515"/>
      <c r="AJT10" s="515"/>
      <c r="AJU10" s="413"/>
      <c r="AJV10" s="413"/>
      <c r="AJW10" s="413"/>
      <c r="AJX10" s="413"/>
      <c r="AJY10" s="413"/>
      <c r="AJZ10" s="413"/>
      <c r="AKA10" s="413"/>
      <c r="AKB10" s="413"/>
      <c r="AKC10" s="413"/>
      <c r="AKD10" s="413"/>
      <c r="AKE10" s="413"/>
      <c r="AKF10" s="514"/>
      <c r="AKG10" s="515"/>
      <c r="AKH10" s="515"/>
      <c r="AKI10" s="515"/>
      <c r="AKJ10" s="515"/>
      <c r="AKK10" s="515"/>
      <c r="AKL10" s="515"/>
      <c r="AKM10" s="515"/>
      <c r="AKN10" s="515"/>
      <c r="AKO10" s="515"/>
      <c r="AKP10" s="413"/>
      <c r="AKQ10" s="413"/>
      <c r="AKR10" s="413"/>
      <c r="AKS10" s="413"/>
      <c r="AKT10" s="413"/>
      <c r="AKU10" s="413"/>
      <c r="AKV10" s="413"/>
      <c r="AKW10" s="413"/>
      <c r="AKX10" s="413"/>
      <c r="AKY10" s="413"/>
      <c r="AKZ10" s="413"/>
      <c r="ALA10" s="514"/>
      <c r="ALB10" s="515"/>
      <c r="ALC10" s="515"/>
      <c r="ALD10" s="515"/>
      <c r="ALE10" s="515"/>
      <c r="ALF10" s="515"/>
      <c r="ALG10" s="515"/>
      <c r="ALH10" s="515"/>
      <c r="ALI10" s="515"/>
      <c r="ALJ10" s="515"/>
      <c r="ALK10" s="413"/>
      <c r="ALL10" s="413"/>
      <c r="ALM10" s="413"/>
      <c r="ALN10" s="413"/>
      <c r="ALO10" s="413"/>
      <c r="ALP10" s="413"/>
      <c r="ALQ10" s="413"/>
      <c r="ALR10" s="413"/>
      <c r="ALS10" s="413"/>
      <c r="ALT10" s="413"/>
      <c r="ALU10" s="413"/>
      <c r="ALV10" s="514"/>
      <c r="ALW10" s="515"/>
      <c r="ALX10" s="515"/>
      <c r="ALY10" s="515"/>
      <c r="ALZ10" s="515"/>
      <c r="AMA10" s="515"/>
      <c r="AMB10" s="515"/>
      <c r="AMC10" s="515"/>
      <c r="AMD10" s="515"/>
      <c r="AME10" s="515"/>
      <c r="AMF10" s="413"/>
      <c r="AMG10" s="413"/>
      <c r="AMH10" s="413"/>
      <c r="AMI10" s="413"/>
      <c r="AMJ10" s="413"/>
      <c r="AMK10" s="413"/>
      <c r="AML10" s="413"/>
      <c r="AMM10" s="413"/>
      <c r="AMN10" s="413"/>
      <c r="AMO10" s="413"/>
      <c r="AMP10" s="413"/>
      <c r="AMQ10" s="514"/>
      <c r="AMR10" s="515"/>
      <c r="AMS10" s="515"/>
      <c r="AMT10" s="515"/>
      <c r="AMU10" s="515"/>
      <c r="AMV10" s="515"/>
      <c r="AMW10" s="515"/>
      <c r="AMX10" s="515"/>
      <c r="AMY10" s="515"/>
      <c r="AMZ10" s="515"/>
      <c r="ANA10" s="413"/>
      <c r="ANB10" s="413"/>
      <c r="ANC10" s="413"/>
      <c r="AND10" s="413"/>
      <c r="ANE10" s="413"/>
      <c r="ANF10" s="413"/>
      <c r="ANG10" s="413"/>
      <c r="ANH10" s="413"/>
      <c r="ANI10" s="413"/>
      <c r="ANJ10" s="413"/>
      <c r="ANK10" s="413"/>
      <c r="ANL10" s="514"/>
      <c r="ANM10" s="515"/>
      <c r="ANN10" s="515"/>
      <c r="ANO10" s="515"/>
      <c r="ANP10" s="515"/>
      <c r="ANQ10" s="515"/>
      <c r="ANR10" s="515"/>
      <c r="ANS10" s="515"/>
      <c r="ANT10" s="515"/>
      <c r="ANU10" s="515"/>
      <c r="ANV10" s="413"/>
      <c r="ANW10" s="413"/>
      <c r="ANX10" s="413"/>
      <c r="ANY10" s="413"/>
      <c r="ANZ10" s="413"/>
      <c r="AOA10" s="413"/>
      <c r="AOB10" s="413"/>
      <c r="AOC10" s="413"/>
      <c r="AOD10" s="413"/>
      <c r="AOE10" s="413"/>
      <c r="AOF10" s="413"/>
      <c r="AOG10" s="514"/>
      <c r="AOH10" s="515"/>
      <c r="AOI10" s="515"/>
      <c r="AOJ10" s="515"/>
      <c r="AOK10" s="515"/>
      <c r="AOL10" s="515"/>
      <c r="AOM10" s="515"/>
      <c r="AON10" s="515"/>
      <c r="AOO10" s="515"/>
      <c r="AOP10" s="515"/>
      <c r="AOQ10" s="413"/>
      <c r="AOR10" s="413"/>
      <c r="AOS10" s="413"/>
      <c r="AOT10" s="413"/>
      <c r="AOU10" s="413"/>
      <c r="AOV10" s="413"/>
      <c r="AOW10" s="413"/>
      <c r="AOX10" s="413"/>
      <c r="AOY10" s="413"/>
      <c r="AOZ10" s="413"/>
      <c r="APA10" s="413"/>
      <c r="APB10" s="514"/>
      <c r="APC10" s="515"/>
      <c r="APD10" s="515"/>
      <c r="APE10" s="515"/>
      <c r="APF10" s="515"/>
      <c r="APG10" s="515"/>
      <c r="APH10" s="515"/>
      <c r="API10" s="515"/>
      <c r="APJ10" s="515"/>
      <c r="APK10" s="515"/>
      <c r="APL10" s="413"/>
      <c r="APM10" s="413"/>
      <c r="APN10" s="413"/>
      <c r="APO10" s="413"/>
      <c r="APP10" s="413"/>
      <c r="APQ10" s="413"/>
      <c r="APR10" s="413"/>
      <c r="APS10" s="413"/>
      <c r="APT10" s="413"/>
      <c r="APU10" s="413"/>
      <c r="APV10" s="413"/>
      <c r="APW10" s="514"/>
      <c r="APX10" s="515"/>
      <c r="APY10" s="515"/>
      <c r="APZ10" s="515"/>
      <c r="AQA10" s="515"/>
      <c r="AQB10" s="515"/>
      <c r="AQC10" s="515"/>
      <c r="AQD10" s="515"/>
      <c r="AQE10" s="515"/>
      <c r="AQF10" s="515"/>
      <c r="AQG10" s="413"/>
      <c r="AQH10" s="413"/>
      <c r="AQI10" s="413"/>
      <c r="AQJ10" s="413"/>
      <c r="AQK10" s="413"/>
      <c r="AQL10" s="413"/>
      <c r="AQM10" s="413"/>
      <c r="AQN10" s="413"/>
      <c r="AQO10" s="413"/>
      <c r="AQP10" s="413"/>
      <c r="AQQ10" s="413"/>
      <c r="AQR10" s="514"/>
      <c r="AQS10" s="515"/>
      <c r="AQT10" s="515"/>
      <c r="AQU10" s="515"/>
      <c r="AQV10" s="515"/>
      <c r="AQW10" s="515"/>
      <c r="AQX10" s="515"/>
      <c r="AQY10" s="515"/>
      <c r="AQZ10" s="515"/>
      <c r="ARA10" s="515"/>
      <c r="ARB10" s="413"/>
      <c r="ARC10" s="413"/>
      <c r="ARD10" s="413"/>
      <c r="ARE10" s="413"/>
      <c r="ARF10" s="413"/>
      <c r="ARG10" s="413"/>
      <c r="ARH10" s="413"/>
      <c r="ARI10" s="413"/>
      <c r="ARJ10" s="413"/>
      <c r="ARK10" s="413"/>
      <c r="ARL10" s="413"/>
      <c r="ARM10" s="514"/>
      <c r="ARN10" s="515"/>
      <c r="ARO10" s="515"/>
      <c r="ARP10" s="515"/>
      <c r="ARQ10" s="515"/>
      <c r="ARR10" s="515"/>
      <c r="ARS10" s="515"/>
      <c r="ART10" s="515"/>
      <c r="ARU10" s="515"/>
      <c r="ARV10" s="515"/>
      <c r="ARW10" s="413"/>
      <c r="ARX10" s="413"/>
      <c r="ARY10" s="413"/>
      <c r="ARZ10" s="413"/>
      <c r="ASA10" s="413"/>
      <c r="ASB10" s="413"/>
      <c r="ASC10" s="413"/>
      <c r="ASD10" s="413"/>
      <c r="ASE10" s="413"/>
      <c r="ASF10" s="413"/>
      <c r="ASG10" s="413"/>
      <c r="ASH10" s="514"/>
      <c r="ASI10" s="515"/>
      <c r="ASJ10" s="515"/>
      <c r="ASK10" s="515"/>
      <c r="ASL10" s="515"/>
      <c r="ASM10" s="515"/>
      <c r="ASN10" s="515"/>
      <c r="ASO10" s="515"/>
      <c r="ASP10" s="515"/>
      <c r="ASQ10" s="515"/>
      <c r="ASR10" s="413"/>
      <c r="ASS10" s="413"/>
      <c r="AST10" s="413"/>
      <c r="ASU10" s="413"/>
      <c r="ASV10" s="413"/>
      <c r="ASW10" s="413"/>
      <c r="ASX10" s="413"/>
      <c r="ASY10" s="413"/>
      <c r="ASZ10" s="413"/>
      <c r="ATA10" s="413"/>
      <c r="ATB10" s="413"/>
      <c r="ATC10" s="514"/>
      <c r="ATD10" s="515"/>
      <c r="ATE10" s="515"/>
      <c r="ATF10" s="515"/>
      <c r="ATG10" s="515"/>
      <c r="ATH10" s="515"/>
      <c r="ATI10" s="515"/>
      <c r="ATJ10" s="515"/>
      <c r="ATK10" s="515"/>
      <c r="ATL10" s="515"/>
      <c r="ATM10" s="413"/>
      <c r="ATN10" s="413"/>
      <c r="ATO10" s="413"/>
      <c r="ATP10" s="413"/>
      <c r="ATQ10" s="413"/>
      <c r="ATR10" s="413"/>
      <c r="ATS10" s="413"/>
      <c r="ATT10" s="413"/>
      <c r="ATU10" s="413"/>
      <c r="ATV10" s="413"/>
      <c r="ATW10" s="413"/>
      <c r="ATX10" s="514"/>
      <c r="ATY10" s="515"/>
      <c r="ATZ10" s="515"/>
      <c r="AUA10" s="515"/>
      <c r="AUB10" s="515"/>
      <c r="AUC10" s="515"/>
      <c r="AUD10" s="515"/>
      <c r="AUE10" s="515"/>
      <c r="AUF10" s="515"/>
      <c r="AUG10" s="515"/>
      <c r="AUH10" s="413"/>
      <c r="AUI10" s="413"/>
      <c r="AUJ10" s="413"/>
      <c r="AUK10" s="413"/>
      <c r="AUL10" s="413"/>
      <c r="AUM10" s="413"/>
      <c r="AUN10" s="413"/>
      <c r="AUO10" s="413"/>
      <c r="AUP10" s="413"/>
      <c r="AUQ10" s="413"/>
      <c r="AUR10" s="413"/>
      <c r="AUS10" s="514"/>
      <c r="AUT10" s="515"/>
      <c r="AUU10" s="515"/>
      <c r="AUV10" s="515"/>
      <c r="AUW10" s="515"/>
      <c r="AUX10" s="515"/>
      <c r="AUY10" s="515"/>
      <c r="AUZ10" s="515"/>
      <c r="AVA10" s="515"/>
      <c r="AVB10" s="515"/>
      <c r="AVC10" s="413"/>
      <c r="AVD10" s="413"/>
      <c r="AVE10" s="413"/>
      <c r="AVF10" s="413"/>
      <c r="AVG10" s="413"/>
      <c r="AVH10" s="413"/>
      <c r="AVI10" s="413"/>
      <c r="AVJ10" s="413"/>
      <c r="AVK10" s="413"/>
      <c r="AVL10" s="413"/>
      <c r="AVM10" s="413"/>
      <c r="AVN10" s="514"/>
      <c r="AVO10" s="515"/>
      <c r="AVP10" s="515"/>
      <c r="AVQ10" s="515"/>
      <c r="AVR10" s="515"/>
      <c r="AVS10" s="515"/>
      <c r="AVT10" s="515"/>
      <c r="AVU10" s="515"/>
      <c r="AVV10" s="515"/>
      <c r="AVW10" s="515"/>
      <c r="AVX10" s="413"/>
      <c r="AVY10" s="413"/>
      <c r="AVZ10" s="413"/>
      <c r="AWA10" s="413"/>
      <c r="AWB10" s="413"/>
      <c r="AWC10" s="413"/>
      <c r="AWD10" s="413"/>
      <c r="AWE10" s="413"/>
      <c r="AWF10" s="413"/>
      <c r="AWG10" s="413"/>
      <c r="AWH10" s="413"/>
      <c r="AWI10" s="514"/>
      <c r="AWJ10" s="515"/>
      <c r="AWK10" s="515"/>
      <c r="AWL10" s="515"/>
      <c r="AWM10" s="515"/>
      <c r="AWN10" s="515"/>
      <c r="AWO10" s="515"/>
      <c r="AWP10" s="515"/>
      <c r="AWQ10" s="515"/>
      <c r="AWR10" s="515"/>
      <c r="AWS10" s="413"/>
      <c r="AWT10" s="413"/>
      <c r="AWU10" s="413"/>
      <c r="AWV10" s="413"/>
      <c r="AWW10" s="413"/>
      <c r="AWX10" s="413"/>
      <c r="AWY10" s="413"/>
      <c r="AWZ10" s="413"/>
      <c r="AXA10" s="413"/>
      <c r="AXB10" s="413"/>
      <c r="AXC10" s="413"/>
      <c r="AXD10" s="514"/>
      <c r="AXE10" s="515"/>
      <c r="AXF10" s="515"/>
      <c r="AXG10" s="515"/>
      <c r="AXH10" s="515"/>
      <c r="AXI10" s="515"/>
      <c r="AXJ10" s="515"/>
      <c r="AXK10" s="515"/>
      <c r="AXL10" s="515"/>
      <c r="AXM10" s="515"/>
      <c r="AXN10" s="413"/>
      <c r="AXO10" s="413"/>
      <c r="AXP10" s="413"/>
      <c r="AXQ10" s="413"/>
      <c r="AXR10" s="413"/>
      <c r="AXS10" s="413"/>
      <c r="AXT10" s="413"/>
      <c r="AXU10" s="413"/>
      <c r="AXV10" s="413"/>
      <c r="AXW10" s="413"/>
      <c r="AXX10" s="413"/>
      <c r="AXY10" s="514"/>
      <c r="AXZ10" s="515"/>
      <c r="AYA10" s="515"/>
      <c r="AYB10" s="515"/>
      <c r="AYC10" s="515"/>
      <c r="AYD10" s="515"/>
      <c r="AYE10" s="515"/>
      <c r="AYF10" s="515"/>
      <c r="AYG10" s="515"/>
      <c r="AYH10" s="515"/>
      <c r="AYI10" s="413"/>
      <c r="AYJ10" s="413"/>
      <c r="AYK10" s="413"/>
      <c r="AYL10" s="413"/>
      <c r="AYM10" s="413"/>
      <c r="AYN10" s="413"/>
      <c r="AYO10" s="413"/>
      <c r="AYP10" s="413"/>
      <c r="AYQ10" s="413"/>
      <c r="AYR10" s="413"/>
      <c r="AYS10" s="413"/>
      <c r="AYT10" s="514"/>
      <c r="AYU10" s="515"/>
      <c r="AYV10" s="515"/>
      <c r="AYW10" s="515"/>
      <c r="AYX10" s="515"/>
      <c r="AYY10" s="515"/>
      <c r="AYZ10" s="515"/>
      <c r="AZA10" s="515"/>
      <c r="AZB10" s="515"/>
      <c r="AZC10" s="515"/>
      <c r="AZD10" s="413"/>
      <c r="AZE10" s="413"/>
      <c r="AZF10" s="413"/>
      <c r="AZG10" s="413"/>
      <c r="AZH10" s="413"/>
      <c r="AZI10" s="413"/>
      <c r="AZJ10" s="413"/>
      <c r="AZK10" s="413"/>
      <c r="AZL10" s="413"/>
      <c r="AZM10" s="413"/>
      <c r="AZN10" s="413"/>
      <c r="AZO10" s="514"/>
      <c r="AZP10" s="515"/>
      <c r="AZQ10" s="515"/>
      <c r="AZR10" s="515"/>
      <c r="AZS10" s="515"/>
      <c r="AZT10" s="515"/>
      <c r="AZU10" s="515"/>
      <c r="AZV10" s="515"/>
      <c r="AZW10" s="515"/>
      <c r="AZX10" s="515"/>
      <c r="AZY10" s="413"/>
      <c r="AZZ10" s="413"/>
      <c r="BAA10" s="413"/>
      <c r="BAB10" s="413"/>
      <c r="BAC10" s="413"/>
      <c r="BAD10" s="413"/>
      <c r="BAE10" s="413"/>
      <c r="BAF10" s="413"/>
      <c r="BAG10" s="413"/>
      <c r="BAH10" s="413"/>
      <c r="BAI10" s="413"/>
      <c r="BAJ10" s="514"/>
      <c r="BAK10" s="515"/>
      <c r="BAL10" s="515"/>
      <c r="BAM10" s="515"/>
      <c r="BAN10" s="515"/>
      <c r="BAO10" s="515"/>
      <c r="BAP10" s="515"/>
      <c r="BAQ10" s="515"/>
      <c r="BAR10" s="515"/>
      <c r="BAS10" s="515"/>
      <c r="BAT10" s="413"/>
      <c r="BAU10" s="413"/>
      <c r="BAV10" s="413"/>
      <c r="BAW10" s="413"/>
      <c r="BAX10" s="413"/>
      <c r="BAY10" s="413"/>
      <c r="BAZ10" s="413"/>
      <c r="BBA10" s="413"/>
      <c r="BBB10" s="413"/>
      <c r="BBC10" s="413"/>
      <c r="BBD10" s="413"/>
      <c r="BBE10" s="514"/>
      <c r="BBF10" s="515"/>
      <c r="BBG10" s="515"/>
      <c r="BBH10" s="515"/>
      <c r="BBI10" s="515"/>
      <c r="BBJ10" s="515"/>
      <c r="BBK10" s="515"/>
      <c r="BBL10" s="515"/>
      <c r="BBM10" s="515"/>
      <c r="BBN10" s="515"/>
      <c r="BBO10" s="413"/>
      <c r="BBP10" s="413"/>
      <c r="BBQ10" s="413"/>
      <c r="BBR10" s="413"/>
      <c r="BBS10" s="413"/>
      <c r="BBT10" s="413"/>
      <c r="BBU10" s="413"/>
      <c r="BBV10" s="413"/>
      <c r="BBW10" s="413"/>
      <c r="BBX10" s="413"/>
      <c r="BBY10" s="413"/>
      <c r="BBZ10" s="514"/>
      <c r="BCA10" s="515"/>
      <c r="BCB10" s="515"/>
      <c r="BCC10" s="515"/>
      <c r="BCD10" s="515"/>
      <c r="BCE10" s="515"/>
      <c r="BCF10" s="515"/>
      <c r="BCG10" s="515"/>
      <c r="BCH10" s="515"/>
      <c r="BCI10" s="515"/>
      <c r="BCJ10" s="413"/>
      <c r="BCK10" s="413"/>
      <c r="BCL10" s="413"/>
      <c r="BCM10" s="413"/>
      <c r="BCN10" s="413"/>
      <c r="BCO10" s="413"/>
      <c r="BCP10" s="413"/>
      <c r="BCQ10" s="413"/>
      <c r="BCR10" s="413"/>
      <c r="BCS10" s="413"/>
      <c r="BCT10" s="413"/>
      <c r="BCU10" s="514"/>
      <c r="BCV10" s="515"/>
      <c r="BCW10" s="515"/>
      <c r="BCX10" s="515"/>
      <c r="BCY10" s="515"/>
      <c r="BCZ10" s="515"/>
      <c r="BDA10" s="515"/>
      <c r="BDB10" s="515"/>
      <c r="BDC10" s="515"/>
      <c r="BDD10" s="515"/>
      <c r="BDE10" s="413"/>
      <c r="BDF10" s="413"/>
      <c r="BDG10" s="413"/>
      <c r="BDH10" s="413"/>
      <c r="BDI10" s="413"/>
      <c r="BDJ10" s="413"/>
      <c r="BDK10" s="413"/>
      <c r="BDL10" s="413"/>
      <c r="BDM10" s="413"/>
      <c r="BDN10" s="413"/>
      <c r="BDO10" s="413"/>
      <c r="BDP10" s="514"/>
      <c r="BDQ10" s="515"/>
      <c r="BDR10" s="515"/>
      <c r="BDS10" s="515"/>
      <c r="BDT10" s="515"/>
      <c r="BDU10" s="515"/>
      <c r="BDV10" s="515"/>
      <c r="BDW10" s="515"/>
      <c r="BDX10" s="515"/>
      <c r="BDY10" s="515"/>
      <c r="BDZ10" s="413"/>
      <c r="BEA10" s="413"/>
      <c r="BEB10" s="413"/>
      <c r="BEC10" s="413"/>
      <c r="BED10" s="413"/>
      <c r="BEE10" s="413"/>
      <c r="BEF10" s="413"/>
      <c r="BEG10" s="413"/>
      <c r="BEH10" s="413"/>
      <c r="BEI10" s="413"/>
      <c r="BEJ10" s="413"/>
      <c r="BEK10" s="514"/>
      <c r="BEL10" s="515"/>
      <c r="BEM10" s="515"/>
      <c r="BEN10" s="515"/>
      <c r="BEO10" s="515"/>
      <c r="BEP10" s="515"/>
      <c r="BEQ10" s="515"/>
      <c r="BER10" s="515"/>
      <c r="BES10" s="515"/>
      <c r="BET10" s="515"/>
      <c r="BEU10" s="413"/>
      <c r="BEV10" s="413"/>
      <c r="BEW10" s="413"/>
      <c r="BEX10" s="413"/>
      <c r="BEY10" s="413"/>
      <c r="BEZ10" s="413"/>
      <c r="BFA10" s="413"/>
      <c r="BFB10" s="413"/>
      <c r="BFC10" s="413"/>
      <c r="BFD10" s="413"/>
      <c r="BFE10" s="413"/>
      <c r="BFF10" s="514"/>
      <c r="BFG10" s="515"/>
      <c r="BFH10" s="515"/>
      <c r="BFI10" s="515"/>
      <c r="BFJ10" s="515"/>
      <c r="BFK10" s="515"/>
      <c r="BFL10" s="515"/>
      <c r="BFM10" s="515"/>
      <c r="BFN10" s="515"/>
      <c r="BFO10" s="515"/>
      <c r="BFP10" s="413"/>
      <c r="BFQ10" s="413"/>
      <c r="BFR10" s="413"/>
      <c r="BFS10" s="413"/>
      <c r="BFT10" s="413"/>
      <c r="BFU10" s="413"/>
      <c r="BFV10" s="413"/>
      <c r="BFW10" s="413"/>
      <c r="BFX10" s="413"/>
      <c r="BFY10" s="413"/>
      <c r="BFZ10" s="413"/>
      <c r="BGA10" s="514"/>
      <c r="BGB10" s="515"/>
      <c r="BGC10" s="515"/>
      <c r="BGD10" s="515"/>
      <c r="BGE10" s="515"/>
      <c r="BGF10" s="515"/>
      <c r="BGG10" s="515"/>
      <c r="BGH10" s="515"/>
      <c r="BGI10" s="515"/>
      <c r="BGJ10" s="515"/>
      <c r="BGK10" s="413"/>
      <c r="BGL10" s="413"/>
      <c r="BGM10" s="413"/>
      <c r="BGN10" s="413"/>
      <c r="BGO10" s="413"/>
      <c r="BGP10" s="413"/>
      <c r="BGQ10" s="413"/>
      <c r="BGR10" s="413"/>
      <c r="BGS10" s="413"/>
      <c r="BGT10" s="413"/>
      <c r="BGU10" s="413"/>
      <c r="BGV10" s="514"/>
      <c r="BGW10" s="515"/>
      <c r="BGX10" s="515"/>
      <c r="BGY10" s="515"/>
      <c r="BGZ10" s="515"/>
      <c r="BHA10" s="515"/>
      <c r="BHB10" s="515"/>
      <c r="BHC10" s="515"/>
      <c r="BHD10" s="515"/>
      <c r="BHE10" s="515"/>
      <c r="BHF10" s="413"/>
      <c r="BHG10" s="413"/>
      <c r="BHH10" s="413"/>
      <c r="BHI10" s="413"/>
      <c r="BHJ10" s="413"/>
      <c r="BHK10" s="413"/>
      <c r="BHL10" s="413"/>
      <c r="BHM10" s="413"/>
      <c r="BHN10" s="413"/>
      <c r="BHO10" s="413"/>
      <c r="BHP10" s="413"/>
      <c r="BHQ10" s="514"/>
      <c r="BHR10" s="515"/>
      <c r="BHS10" s="515"/>
      <c r="BHT10" s="515"/>
      <c r="BHU10" s="515"/>
      <c r="BHV10" s="515"/>
      <c r="BHW10" s="515"/>
      <c r="BHX10" s="515"/>
      <c r="BHY10" s="515"/>
      <c r="BHZ10" s="515"/>
      <c r="BIA10" s="413"/>
      <c r="BIB10" s="413"/>
      <c r="BIC10" s="413"/>
      <c r="BID10" s="413"/>
      <c r="BIE10" s="413"/>
      <c r="BIF10" s="413"/>
      <c r="BIG10" s="413"/>
      <c r="BIH10" s="413"/>
      <c r="BII10" s="413"/>
      <c r="BIJ10" s="413"/>
      <c r="BIK10" s="413"/>
      <c r="BIL10" s="514"/>
      <c r="BIM10" s="515"/>
      <c r="BIN10" s="515"/>
      <c r="BIO10" s="515"/>
      <c r="BIP10" s="515"/>
      <c r="BIQ10" s="515"/>
      <c r="BIR10" s="515"/>
      <c r="BIS10" s="515"/>
      <c r="BIT10" s="515"/>
      <c r="BIU10" s="515"/>
      <c r="BIV10" s="413"/>
      <c r="BIW10" s="413"/>
      <c r="BIX10" s="413"/>
      <c r="BIY10" s="413"/>
      <c r="BIZ10" s="413"/>
      <c r="BJA10" s="413"/>
      <c r="BJB10" s="413"/>
      <c r="BJC10" s="413"/>
      <c r="BJD10" s="413"/>
      <c r="BJE10" s="413"/>
      <c r="BJF10" s="413"/>
      <c r="BJG10" s="514"/>
      <c r="BJH10" s="515"/>
      <c r="BJI10" s="515"/>
      <c r="BJJ10" s="515"/>
      <c r="BJK10" s="515"/>
      <c r="BJL10" s="515"/>
      <c r="BJM10" s="515"/>
      <c r="BJN10" s="515"/>
      <c r="BJO10" s="515"/>
      <c r="BJP10" s="515"/>
      <c r="BJQ10" s="413"/>
      <c r="BJR10" s="413"/>
      <c r="BJS10" s="413"/>
      <c r="BJT10" s="413"/>
      <c r="BJU10" s="413"/>
      <c r="BJV10" s="413"/>
      <c r="BJW10" s="413"/>
      <c r="BJX10" s="413"/>
      <c r="BJY10" s="413"/>
      <c r="BJZ10" s="413"/>
      <c r="BKA10" s="413"/>
      <c r="BKB10" s="514"/>
      <c r="BKC10" s="515"/>
      <c r="BKD10" s="515"/>
      <c r="BKE10" s="515"/>
      <c r="BKF10" s="515"/>
      <c r="BKG10" s="515"/>
      <c r="BKH10" s="515"/>
      <c r="BKI10" s="515"/>
      <c r="BKJ10" s="515"/>
      <c r="BKK10" s="515"/>
      <c r="BKL10" s="413"/>
      <c r="BKM10" s="413"/>
      <c r="BKN10" s="413"/>
      <c r="BKO10" s="413"/>
      <c r="BKP10" s="413"/>
      <c r="BKQ10" s="413"/>
      <c r="BKR10" s="413"/>
      <c r="BKS10" s="413"/>
      <c r="BKT10" s="413"/>
      <c r="BKU10" s="413"/>
      <c r="BKV10" s="413"/>
      <c r="BKW10" s="514"/>
      <c r="BKX10" s="515"/>
      <c r="BKY10" s="515"/>
      <c r="BKZ10" s="515"/>
      <c r="BLA10" s="515"/>
      <c r="BLB10" s="515"/>
      <c r="BLC10" s="515"/>
      <c r="BLD10" s="515"/>
      <c r="BLE10" s="515"/>
      <c r="BLF10" s="515"/>
      <c r="BLG10" s="413"/>
      <c r="BLH10" s="413"/>
      <c r="BLI10" s="413"/>
      <c r="BLJ10" s="413"/>
      <c r="BLK10" s="413"/>
      <c r="BLL10" s="413"/>
      <c r="BLM10" s="413"/>
      <c r="BLN10" s="413"/>
      <c r="BLO10" s="413"/>
      <c r="BLP10" s="413"/>
      <c r="BLQ10" s="413"/>
      <c r="BLR10" s="514"/>
      <c r="BLS10" s="515"/>
      <c r="BLT10" s="515"/>
      <c r="BLU10" s="515"/>
      <c r="BLV10" s="515"/>
      <c r="BLW10" s="515"/>
      <c r="BLX10" s="515"/>
      <c r="BLY10" s="515"/>
      <c r="BLZ10" s="515"/>
      <c r="BMA10" s="515"/>
      <c r="BMB10" s="413"/>
      <c r="BMC10" s="413"/>
      <c r="BMD10" s="413"/>
      <c r="BME10" s="413"/>
      <c r="BMF10" s="413"/>
      <c r="BMG10" s="413"/>
      <c r="BMH10" s="413"/>
      <c r="BMI10" s="413"/>
      <c r="BMJ10" s="413"/>
      <c r="BMK10" s="413"/>
      <c r="BML10" s="413"/>
      <c r="BMM10" s="514"/>
      <c r="BMN10" s="515"/>
      <c r="BMO10" s="515"/>
      <c r="BMP10" s="515"/>
      <c r="BMQ10" s="515"/>
      <c r="BMR10" s="515"/>
      <c r="BMS10" s="515"/>
      <c r="BMT10" s="515"/>
      <c r="BMU10" s="515"/>
      <c r="BMV10" s="515"/>
      <c r="BMW10" s="413"/>
      <c r="BMX10" s="413"/>
      <c r="BMY10" s="413"/>
      <c r="BMZ10" s="413"/>
      <c r="BNA10" s="413"/>
      <c r="BNB10" s="413"/>
      <c r="BNC10" s="413"/>
      <c r="BND10" s="413"/>
      <c r="BNE10" s="413"/>
      <c r="BNF10" s="413"/>
      <c r="BNG10" s="413"/>
      <c r="BNH10" s="514"/>
      <c r="BNI10" s="515"/>
      <c r="BNJ10" s="515"/>
      <c r="BNK10" s="515"/>
      <c r="BNL10" s="515"/>
      <c r="BNM10" s="515"/>
      <c r="BNN10" s="515"/>
      <c r="BNO10" s="515"/>
      <c r="BNP10" s="515"/>
      <c r="BNQ10" s="515"/>
      <c r="BNR10" s="413"/>
      <c r="BNS10" s="413"/>
      <c r="BNT10" s="413"/>
      <c r="BNU10" s="413"/>
      <c r="BNV10" s="413"/>
      <c r="BNW10" s="413"/>
      <c r="BNX10" s="413"/>
      <c r="BNY10" s="413"/>
      <c r="BNZ10" s="413"/>
      <c r="BOA10" s="413"/>
      <c r="BOB10" s="413"/>
      <c r="BOC10" s="514"/>
      <c r="BOD10" s="515"/>
      <c r="BOE10" s="515"/>
      <c r="BOF10" s="515"/>
      <c r="BOG10" s="515"/>
      <c r="BOH10" s="515"/>
      <c r="BOI10" s="515"/>
      <c r="BOJ10" s="515"/>
      <c r="BOK10" s="515"/>
      <c r="BOL10" s="515"/>
      <c r="BOM10" s="413"/>
      <c r="BON10" s="413"/>
      <c r="BOO10" s="413"/>
      <c r="BOP10" s="413"/>
      <c r="BOQ10" s="413"/>
      <c r="BOR10" s="413"/>
      <c r="BOS10" s="413"/>
      <c r="BOT10" s="413"/>
      <c r="BOU10" s="413"/>
      <c r="BOV10" s="413"/>
      <c r="BOW10" s="413"/>
      <c r="BOX10" s="514"/>
      <c r="BOY10" s="515"/>
      <c r="BOZ10" s="515"/>
      <c r="BPA10" s="515"/>
      <c r="BPB10" s="515"/>
      <c r="BPC10" s="515"/>
      <c r="BPD10" s="515"/>
      <c r="BPE10" s="515"/>
      <c r="BPF10" s="515"/>
      <c r="BPG10" s="515"/>
      <c r="BPH10" s="413"/>
      <c r="BPI10" s="413"/>
      <c r="BPJ10" s="413"/>
      <c r="BPK10" s="413"/>
      <c r="BPL10" s="413"/>
      <c r="BPM10" s="413"/>
      <c r="BPN10" s="413"/>
      <c r="BPO10" s="413"/>
      <c r="BPP10" s="413"/>
      <c r="BPQ10" s="413"/>
      <c r="BPR10" s="413"/>
      <c r="BPS10" s="514"/>
      <c r="BPT10" s="515"/>
      <c r="BPU10" s="515"/>
      <c r="BPV10" s="515"/>
      <c r="BPW10" s="515"/>
      <c r="BPX10" s="515"/>
      <c r="BPY10" s="515"/>
      <c r="BPZ10" s="515"/>
      <c r="BQA10" s="515"/>
      <c r="BQB10" s="515"/>
      <c r="BQC10" s="413"/>
      <c r="BQD10" s="413"/>
      <c r="BQE10" s="413"/>
      <c r="BQF10" s="413"/>
      <c r="BQG10" s="413"/>
      <c r="BQH10" s="413"/>
      <c r="BQI10" s="413"/>
      <c r="BQJ10" s="413"/>
      <c r="BQK10" s="413"/>
      <c r="BQL10" s="413"/>
      <c r="BQM10" s="413"/>
      <c r="BQN10" s="514"/>
      <c r="BQO10" s="515"/>
      <c r="BQP10" s="515"/>
      <c r="BQQ10" s="515"/>
      <c r="BQR10" s="515"/>
      <c r="BQS10" s="515"/>
      <c r="BQT10" s="515"/>
      <c r="BQU10" s="515"/>
      <c r="BQV10" s="515"/>
      <c r="BQW10" s="515"/>
      <c r="BQX10" s="413"/>
      <c r="BQY10" s="413"/>
      <c r="BQZ10" s="413"/>
      <c r="BRA10" s="413"/>
      <c r="BRB10" s="413"/>
      <c r="BRC10" s="413"/>
      <c r="BRD10" s="413"/>
      <c r="BRE10" s="413"/>
      <c r="BRF10" s="413"/>
      <c r="BRG10" s="413"/>
      <c r="BRH10" s="413"/>
      <c r="BRI10" s="514"/>
      <c r="BRJ10" s="515"/>
      <c r="BRK10" s="515"/>
      <c r="BRL10" s="515"/>
      <c r="BRM10" s="515"/>
      <c r="BRN10" s="515"/>
      <c r="BRO10" s="515"/>
      <c r="BRP10" s="515"/>
      <c r="BRQ10" s="515"/>
      <c r="BRR10" s="515"/>
      <c r="BRS10" s="413"/>
      <c r="BRT10" s="413"/>
      <c r="BRU10" s="413"/>
      <c r="BRV10" s="413"/>
      <c r="BRW10" s="413"/>
      <c r="BRX10" s="413"/>
      <c r="BRY10" s="413"/>
      <c r="BRZ10" s="413"/>
      <c r="BSA10" s="413"/>
      <c r="BSB10" s="413"/>
      <c r="BSC10" s="413"/>
      <c r="BSD10" s="514"/>
      <c r="BSE10" s="515"/>
      <c r="BSF10" s="515"/>
      <c r="BSG10" s="515"/>
      <c r="BSH10" s="515"/>
      <c r="BSI10" s="515"/>
      <c r="BSJ10" s="515"/>
      <c r="BSK10" s="515"/>
      <c r="BSL10" s="515"/>
      <c r="BSM10" s="515"/>
      <c r="BSN10" s="413"/>
      <c r="BSO10" s="413"/>
      <c r="BSP10" s="413"/>
      <c r="BSQ10" s="413"/>
      <c r="BSR10" s="413"/>
      <c r="BSS10" s="413"/>
      <c r="BST10" s="413"/>
      <c r="BSU10" s="413"/>
      <c r="BSV10" s="413"/>
      <c r="BSW10" s="413"/>
      <c r="BSX10" s="413"/>
      <c r="BSY10" s="514"/>
      <c r="BSZ10" s="515"/>
      <c r="BTA10" s="515"/>
      <c r="BTB10" s="515"/>
      <c r="BTC10" s="515"/>
      <c r="BTD10" s="515"/>
      <c r="BTE10" s="515"/>
      <c r="BTF10" s="515"/>
      <c r="BTG10" s="515"/>
      <c r="BTH10" s="515"/>
      <c r="BTI10" s="413"/>
      <c r="BTJ10" s="413"/>
      <c r="BTK10" s="413"/>
      <c r="BTL10" s="413"/>
      <c r="BTM10" s="413"/>
      <c r="BTN10" s="413"/>
      <c r="BTO10" s="413"/>
      <c r="BTP10" s="413"/>
      <c r="BTQ10" s="413"/>
      <c r="BTR10" s="413"/>
      <c r="BTS10" s="413"/>
      <c r="BTT10" s="514"/>
      <c r="BTU10" s="515"/>
      <c r="BTV10" s="515"/>
      <c r="BTW10" s="515"/>
      <c r="BTX10" s="515"/>
      <c r="BTY10" s="515"/>
      <c r="BTZ10" s="515"/>
      <c r="BUA10" s="515"/>
      <c r="BUB10" s="515"/>
      <c r="BUC10" s="515"/>
      <c r="BUD10" s="413"/>
      <c r="BUE10" s="413"/>
      <c r="BUF10" s="413"/>
      <c r="BUG10" s="413"/>
      <c r="BUH10" s="413"/>
      <c r="BUI10" s="413"/>
      <c r="BUJ10" s="413"/>
      <c r="BUK10" s="413"/>
      <c r="BUL10" s="413"/>
      <c r="BUM10" s="413"/>
      <c r="BUN10" s="413"/>
      <c r="BUO10" s="514"/>
      <c r="BUP10" s="515"/>
      <c r="BUQ10" s="515"/>
      <c r="BUR10" s="515"/>
      <c r="BUS10" s="515"/>
      <c r="BUT10" s="515"/>
      <c r="BUU10" s="515"/>
      <c r="BUV10" s="515"/>
      <c r="BUW10" s="515"/>
      <c r="BUX10" s="515"/>
      <c r="BUY10" s="413"/>
      <c r="BUZ10" s="413"/>
      <c r="BVA10" s="413"/>
      <c r="BVB10" s="413"/>
      <c r="BVC10" s="413"/>
      <c r="BVD10" s="413"/>
      <c r="BVE10" s="413"/>
      <c r="BVF10" s="413"/>
      <c r="BVG10" s="413"/>
      <c r="BVH10" s="413"/>
      <c r="BVI10" s="413"/>
      <c r="BVJ10" s="514"/>
      <c r="BVK10" s="515"/>
      <c r="BVL10" s="515"/>
      <c r="BVM10" s="515"/>
      <c r="BVN10" s="515"/>
      <c r="BVO10" s="515"/>
      <c r="BVP10" s="515"/>
      <c r="BVQ10" s="515"/>
      <c r="BVR10" s="515"/>
      <c r="BVS10" s="515"/>
      <c r="BVT10" s="413"/>
      <c r="BVU10" s="413"/>
      <c r="BVV10" s="413"/>
      <c r="BVW10" s="413"/>
      <c r="BVX10" s="413"/>
      <c r="BVY10" s="413"/>
      <c r="BVZ10" s="413"/>
      <c r="BWA10" s="413"/>
      <c r="BWB10" s="413"/>
      <c r="BWC10" s="413"/>
      <c r="BWD10" s="413"/>
      <c r="BWE10" s="514"/>
      <c r="BWF10" s="515"/>
      <c r="BWG10" s="515"/>
      <c r="BWH10" s="515"/>
      <c r="BWI10" s="515"/>
      <c r="BWJ10" s="515"/>
      <c r="BWK10" s="515"/>
      <c r="BWL10" s="515"/>
      <c r="BWM10" s="515"/>
      <c r="BWN10" s="515"/>
      <c r="BWO10" s="413"/>
      <c r="BWP10" s="413"/>
      <c r="BWQ10" s="413"/>
      <c r="BWR10" s="413"/>
      <c r="BWS10" s="413"/>
      <c r="BWT10" s="413"/>
      <c r="BWU10" s="413"/>
      <c r="BWV10" s="413"/>
      <c r="BWW10" s="413"/>
      <c r="BWX10" s="413"/>
      <c r="BWY10" s="413"/>
      <c r="BWZ10" s="514"/>
      <c r="BXA10" s="515"/>
      <c r="BXB10" s="515"/>
      <c r="BXC10" s="515"/>
      <c r="BXD10" s="515"/>
      <c r="BXE10" s="515"/>
      <c r="BXF10" s="515"/>
      <c r="BXG10" s="515"/>
      <c r="BXH10" s="515"/>
      <c r="BXI10" s="515"/>
      <c r="BXJ10" s="413"/>
      <c r="BXK10" s="413"/>
      <c r="BXL10" s="413"/>
      <c r="BXM10" s="413"/>
      <c r="BXN10" s="413"/>
      <c r="BXO10" s="413"/>
      <c r="BXP10" s="413"/>
      <c r="BXQ10" s="413"/>
      <c r="BXR10" s="413"/>
      <c r="BXS10" s="413"/>
      <c r="BXT10" s="413"/>
      <c r="BXU10" s="514"/>
      <c r="BXV10" s="515"/>
      <c r="BXW10" s="515"/>
      <c r="BXX10" s="515"/>
      <c r="BXY10" s="515"/>
      <c r="BXZ10" s="515"/>
      <c r="BYA10" s="515"/>
      <c r="BYB10" s="515"/>
      <c r="BYC10" s="515"/>
      <c r="BYD10" s="515"/>
      <c r="BYE10" s="413"/>
      <c r="BYF10" s="413"/>
      <c r="BYG10" s="413"/>
      <c r="BYH10" s="413"/>
      <c r="BYI10" s="413"/>
      <c r="BYJ10" s="413"/>
      <c r="BYK10" s="413"/>
      <c r="BYL10" s="413"/>
      <c r="BYM10" s="413"/>
      <c r="BYN10" s="413"/>
      <c r="BYO10" s="413"/>
      <c r="BYP10" s="514"/>
      <c r="BYQ10" s="515"/>
      <c r="BYR10" s="515"/>
      <c r="BYS10" s="515"/>
      <c r="BYT10" s="515"/>
      <c r="BYU10" s="515"/>
      <c r="BYV10" s="515"/>
      <c r="BYW10" s="515"/>
      <c r="BYX10" s="515"/>
      <c r="BYY10" s="515"/>
      <c r="BYZ10" s="413"/>
      <c r="BZA10" s="413"/>
      <c r="BZB10" s="413"/>
      <c r="BZC10" s="413"/>
      <c r="BZD10" s="413"/>
      <c r="BZE10" s="413"/>
      <c r="BZF10" s="413"/>
      <c r="BZG10" s="413"/>
      <c r="BZH10" s="413"/>
      <c r="BZI10" s="413"/>
      <c r="BZJ10" s="413"/>
      <c r="BZK10" s="514"/>
      <c r="BZL10" s="515"/>
      <c r="BZM10" s="515"/>
      <c r="BZN10" s="515"/>
      <c r="BZO10" s="515"/>
      <c r="BZP10" s="515"/>
      <c r="BZQ10" s="515"/>
      <c r="BZR10" s="515"/>
      <c r="BZS10" s="515"/>
      <c r="BZT10" s="515"/>
      <c r="BZU10" s="413"/>
      <c r="BZV10" s="413"/>
      <c r="BZW10" s="413"/>
      <c r="BZX10" s="413"/>
      <c r="BZY10" s="413"/>
      <c r="BZZ10" s="413"/>
      <c r="CAA10" s="413"/>
      <c r="CAB10" s="413"/>
      <c r="CAC10" s="413"/>
      <c r="CAD10" s="413"/>
      <c r="CAE10" s="413"/>
      <c r="CAF10" s="514"/>
      <c r="CAG10" s="515"/>
      <c r="CAH10" s="515"/>
      <c r="CAI10" s="515"/>
      <c r="CAJ10" s="515"/>
      <c r="CAK10" s="515"/>
      <c r="CAL10" s="515"/>
      <c r="CAM10" s="515"/>
      <c r="CAN10" s="515"/>
      <c r="CAO10" s="515"/>
      <c r="CAP10" s="413"/>
      <c r="CAQ10" s="413"/>
      <c r="CAR10" s="413"/>
      <c r="CAS10" s="413"/>
      <c r="CAT10" s="413"/>
      <c r="CAU10" s="413"/>
      <c r="CAV10" s="413"/>
      <c r="CAW10" s="413"/>
      <c r="CAX10" s="413"/>
      <c r="CAY10" s="413"/>
      <c r="CAZ10" s="413"/>
      <c r="CBA10" s="514"/>
      <c r="CBB10" s="515"/>
      <c r="CBC10" s="515"/>
      <c r="CBD10" s="515"/>
      <c r="CBE10" s="515"/>
      <c r="CBF10" s="515"/>
      <c r="CBG10" s="515"/>
      <c r="CBH10" s="515"/>
      <c r="CBI10" s="515"/>
      <c r="CBJ10" s="515"/>
      <c r="CBK10" s="413"/>
      <c r="CBL10" s="413"/>
      <c r="CBM10" s="413"/>
      <c r="CBN10" s="413"/>
      <c r="CBO10" s="413"/>
      <c r="CBP10" s="413"/>
      <c r="CBQ10" s="413"/>
      <c r="CBR10" s="413"/>
      <c r="CBS10" s="413"/>
      <c r="CBT10" s="413"/>
      <c r="CBU10" s="413"/>
      <c r="CBV10" s="514"/>
      <c r="CBW10" s="515"/>
      <c r="CBX10" s="515"/>
      <c r="CBY10" s="515"/>
      <c r="CBZ10" s="515"/>
      <c r="CCA10" s="515"/>
      <c r="CCB10" s="515"/>
      <c r="CCC10" s="515"/>
      <c r="CCD10" s="515"/>
      <c r="CCE10" s="515"/>
      <c r="CCF10" s="413"/>
      <c r="CCG10" s="413"/>
      <c r="CCH10" s="413"/>
      <c r="CCI10" s="413"/>
      <c r="CCJ10" s="413"/>
      <c r="CCK10" s="413"/>
      <c r="CCL10" s="413"/>
      <c r="CCM10" s="413"/>
      <c r="CCN10" s="413"/>
      <c r="CCO10" s="413"/>
      <c r="CCP10" s="413"/>
      <c r="CCQ10" s="514"/>
      <c r="CCR10" s="515"/>
      <c r="CCS10" s="515"/>
      <c r="CCT10" s="515"/>
      <c r="CCU10" s="515"/>
      <c r="CCV10" s="515"/>
      <c r="CCW10" s="515"/>
      <c r="CCX10" s="515"/>
      <c r="CCY10" s="515"/>
      <c r="CCZ10" s="515"/>
      <c r="CDA10" s="413"/>
      <c r="CDB10" s="413"/>
      <c r="CDC10" s="413"/>
      <c r="CDD10" s="413"/>
      <c r="CDE10" s="413"/>
      <c r="CDF10" s="413"/>
      <c r="CDG10" s="413"/>
      <c r="CDH10" s="413"/>
      <c r="CDI10" s="413"/>
      <c r="CDJ10" s="413"/>
      <c r="CDK10" s="413"/>
      <c r="CDL10" s="514"/>
      <c r="CDM10" s="515"/>
      <c r="CDN10" s="515"/>
      <c r="CDO10" s="515"/>
      <c r="CDP10" s="515"/>
      <c r="CDQ10" s="515"/>
      <c r="CDR10" s="515"/>
      <c r="CDS10" s="515"/>
      <c r="CDT10" s="515"/>
      <c r="CDU10" s="515"/>
      <c r="CDV10" s="413"/>
      <c r="CDW10" s="413"/>
      <c r="CDX10" s="413"/>
      <c r="CDY10" s="413"/>
      <c r="CDZ10" s="413"/>
      <c r="CEA10" s="413"/>
      <c r="CEB10" s="413"/>
      <c r="CEC10" s="413"/>
      <c r="CED10" s="413"/>
      <c r="CEE10" s="413"/>
      <c r="CEF10" s="413"/>
      <c r="CEG10" s="514"/>
      <c r="CEH10" s="515"/>
      <c r="CEI10" s="515"/>
      <c r="CEJ10" s="515"/>
      <c r="CEK10" s="515"/>
      <c r="CEL10" s="515"/>
      <c r="CEM10" s="515"/>
      <c r="CEN10" s="515"/>
      <c r="CEO10" s="515"/>
      <c r="CEP10" s="515"/>
      <c r="CEQ10" s="413"/>
      <c r="CER10" s="413"/>
      <c r="CES10" s="413"/>
      <c r="CET10" s="413"/>
      <c r="CEU10" s="413"/>
      <c r="CEV10" s="413"/>
      <c r="CEW10" s="413"/>
      <c r="CEX10" s="413"/>
      <c r="CEY10" s="413"/>
      <c r="CEZ10" s="413"/>
      <c r="CFA10" s="413"/>
      <c r="CFB10" s="514"/>
      <c r="CFC10" s="515"/>
      <c r="CFD10" s="515"/>
      <c r="CFE10" s="515"/>
      <c r="CFF10" s="515"/>
      <c r="CFG10" s="515"/>
      <c r="CFH10" s="515"/>
      <c r="CFI10" s="515"/>
      <c r="CFJ10" s="515"/>
      <c r="CFK10" s="515"/>
      <c r="CFL10" s="413"/>
      <c r="CFM10" s="413"/>
      <c r="CFN10" s="413"/>
      <c r="CFO10" s="413"/>
      <c r="CFP10" s="413"/>
      <c r="CFQ10" s="413"/>
      <c r="CFR10" s="413"/>
      <c r="CFS10" s="413"/>
      <c r="CFT10" s="413"/>
      <c r="CFU10" s="413"/>
      <c r="CFV10" s="413"/>
      <c r="CFW10" s="514"/>
      <c r="CFX10" s="515"/>
      <c r="CFY10" s="515"/>
      <c r="CFZ10" s="515"/>
      <c r="CGA10" s="515"/>
      <c r="CGB10" s="515"/>
      <c r="CGC10" s="515"/>
      <c r="CGD10" s="515"/>
      <c r="CGE10" s="515"/>
      <c r="CGF10" s="515"/>
      <c r="CGG10" s="413"/>
      <c r="CGH10" s="413"/>
      <c r="CGI10" s="413"/>
      <c r="CGJ10" s="413"/>
      <c r="CGK10" s="413"/>
      <c r="CGL10" s="413"/>
      <c r="CGM10" s="413"/>
      <c r="CGN10" s="413"/>
      <c r="CGO10" s="413"/>
      <c r="CGP10" s="413"/>
      <c r="CGQ10" s="413"/>
      <c r="CGR10" s="514"/>
      <c r="CGS10" s="515"/>
      <c r="CGT10" s="515"/>
      <c r="CGU10" s="515"/>
      <c r="CGV10" s="515"/>
      <c r="CGW10" s="515"/>
      <c r="CGX10" s="515"/>
      <c r="CGY10" s="515"/>
      <c r="CGZ10" s="515"/>
      <c r="CHA10" s="515"/>
      <c r="CHB10" s="413"/>
      <c r="CHC10" s="413"/>
      <c r="CHD10" s="413"/>
      <c r="CHE10" s="413"/>
      <c r="CHF10" s="413"/>
      <c r="CHG10" s="413"/>
      <c r="CHH10" s="413"/>
      <c r="CHI10" s="413"/>
      <c r="CHJ10" s="413"/>
      <c r="CHK10" s="413"/>
      <c r="CHL10" s="413"/>
      <c r="CHM10" s="514"/>
      <c r="CHN10" s="515"/>
      <c r="CHO10" s="515"/>
      <c r="CHP10" s="515"/>
      <c r="CHQ10" s="515"/>
      <c r="CHR10" s="515"/>
      <c r="CHS10" s="515"/>
      <c r="CHT10" s="515"/>
      <c r="CHU10" s="515"/>
      <c r="CHV10" s="515"/>
      <c r="CHW10" s="413"/>
      <c r="CHX10" s="413"/>
      <c r="CHY10" s="413"/>
      <c r="CHZ10" s="413"/>
      <c r="CIA10" s="413"/>
      <c r="CIB10" s="413"/>
      <c r="CIC10" s="413"/>
      <c r="CID10" s="413"/>
      <c r="CIE10" s="413"/>
      <c r="CIF10" s="413"/>
      <c r="CIG10" s="413"/>
      <c r="CIH10" s="514"/>
      <c r="CII10" s="515"/>
      <c r="CIJ10" s="515"/>
      <c r="CIK10" s="515"/>
      <c r="CIL10" s="515"/>
      <c r="CIM10" s="515"/>
      <c r="CIN10" s="515"/>
      <c r="CIO10" s="515"/>
      <c r="CIP10" s="515"/>
      <c r="CIQ10" s="515"/>
      <c r="CIR10" s="413"/>
      <c r="CIS10" s="413"/>
      <c r="CIT10" s="413"/>
      <c r="CIU10" s="413"/>
      <c r="CIV10" s="413"/>
      <c r="CIW10" s="413"/>
      <c r="CIX10" s="413"/>
      <c r="CIY10" s="413"/>
      <c r="CIZ10" s="413"/>
      <c r="CJA10" s="413"/>
      <c r="CJB10" s="413"/>
      <c r="CJC10" s="514"/>
      <c r="CJD10" s="515"/>
      <c r="CJE10" s="515"/>
      <c r="CJF10" s="515"/>
      <c r="CJG10" s="515"/>
      <c r="CJH10" s="515"/>
      <c r="CJI10" s="515"/>
      <c r="CJJ10" s="515"/>
      <c r="CJK10" s="515"/>
      <c r="CJL10" s="515"/>
      <c r="CJM10" s="413"/>
      <c r="CJN10" s="413"/>
      <c r="CJO10" s="413"/>
      <c r="CJP10" s="413"/>
      <c r="CJQ10" s="413"/>
      <c r="CJR10" s="413"/>
      <c r="CJS10" s="413"/>
      <c r="CJT10" s="413"/>
      <c r="CJU10" s="413"/>
      <c r="CJV10" s="413"/>
      <c r="CJW10" s="413"/>
      <c r="CJX10" s="514"/>
      <c r="CJY10" s="515"/>
      <c r="CJZ10" s="515"/>
      <c r="CKA10" s="515"/>
      <c r="CKB10" s="515"/>
      <c r="CKC10" s="515"/>
      <c r="CKD10" s="515"/>
      <c r="CKE10" s="515"/>
      <c r="CKF10" s="515"/>
      <c r="CKG10" s="515"/>
      <c r="CKH10" s="413"/>
      <c r="CKI10" s="413"/>
      <c r="CKJ10" s="413"/>
      <c r="CKK10" s="413"/>
      <c r="CKL10" s="413"/>
      <c r="CKM10" s="413"/>
      <c r="CKN10" s="413"/>
      <c r="CKO10" s="413"/>
      <c r="CKP10" s="413"/>
      <c r="CKQ10" s="413"/>
      <c r="CKR10" s="413"/>
      <c r="CKS10" s="514"/>
      <c r="CKT10" s="515"/>
      <c r="CKU10" s="515"/>
      <c r="CKV10" s="515"/>
      <c r="CKW10" s="515"/>
      <c r="CKX10" s="515"/>
      <c r="CKY10" s="515"/>
      <c r="CKZ10" s="515"/>
      <c r="CLA10" s="515"/>
      <c r="CLB10" s="515"/>
      <c r="CLC10" s="413"/>
      <c r="CLD10" s="413"/>
      <c r="CLE10" s="413"/>
      <c r="CLF10" s="413"/>
      <c r="CLG10" s="413"/>
      <c r="CLH10" s="413"/>
      <c r="CLI10" s="413"/>
      <c r="CLJ10" s="413"/>
      <c r="CLK10" s="413"/>
      <c r="CLL10" s="413"/>
      <c r="CLM10" s="413"/>
      <c r="CLN10" s="514"/>
      <c r="CLO10" s="515"/>
      <c r="CLP10" s="515"/>
      <c r="CLQ10" s="515"/>
      <c r="CLR10" s="515"/>
      <c r="CLS10" s="515"/>
      <c r="CLT10" s="515"/>
      <c r="CLU10" s="515"/>
      <c r="CLV10" s="515"/>
      <c r="CLW10" s="515"/>
      <c r="CLX10" s="413"/>
      <c r="CLY10" s="413"/>
      <c r="CLZ10" s="413"/>
      <c r="CMA10" s="413"/>
      <c r="CMB10" s="413"/>
      <c r="CMC10" s="413"/>
      <c r="CMD10" s="413"/>
      <c r="CME10" s="413"/>
      <c r="CMF10" s="413"/>
      <c r="CMG10" s="413"/>
      <c r="CMH10" s="413"/>
      <c r="CMI10" s="514"/>
      <c r="CMJ10" s="515"/>
      <c r="CMK10" s="515"/>
      <c r="CML10" s="515"/>
      <c r="CMM10" s="515"/>
      <c r="CMN10" s="515"/>
      <c r="CMO10" s="515"/>
      <c r="CMP10" s="515"/>
      <c r="CMQ10" s="515"/>
      <c r="CMR10" s="515"/>
      <c r="CMS10" s="413"/>
      <c r="CMT10" s="413"/>
      <c r="CMU10" s="413"/>
      <c r="CMV10" s="413"/>
      <c r="CMW10" s="413"/>
      <c r="CMX10" s="413"/>
      <c r="CMY10" s="413"/>
      <c r="CMZ10" s="413"/>
      <c r="CNA10" s="413"/>
      <c r="CNB10" s="413"/>
      <c r="CNC10" s="413"/>
      <c r="CND10" s="514"/>
      <c r="CNE10" s="515"/>
      <c r="CNF10" s="515"/>
      <c r="CNG10" s="515"/>
      <c r="CNH10" s="515"/>
      <c r="CNI10" s="515"/>
      <c r="CNJ10" s="515"/>
      <c r="CNK10" s="515"/>
      <c r="CNL10" s="515"/>
      <c r="CNM10" s="515"/>
      <c r="CNN10" s="413"/>
      <c r="CNO10" s="413"/>
      <c r="CNP10" s="413"/>
      <c r="CNQ10" s="413"/>
      <c r="CNR10" s="413"/>
      <c r="CNS10" s="413"/>
      <c r="CNT10" s="413"/>
      <c r="CNU10" s="413"/>
      <c r="CNV10" s="413"/>
      <c r="CNW10" s="413"/>
      <c r="CNX10" s="413"/>
      <c r="CNY10" s="514"/>
      <c r="CNZ10" s="515"/>
      <c r="COA10" s="515"/>
      <c r="COB10" s="515"/>
      <c r="COC10" s="515"/>
      <c r="COD10" s="515"/>
      <c r="COE10" s="515"/>
      <c r="COF10" s="515"/>
      <c r="COG10" s="515"/>
      <c r="COH10" s="515"/>
      <c r="COI10" s="413"/>
      <c r="COJ10" s="413"/>
      <c r="COK10" s="413"/>
      <c r="COL10" s="413"/>
      <c r="COM10" s="413"/>
      <c r="CON10" s="413"/>
      <c r="COO10" s="413"/>
      <c r="COP10" s="413"/>
      <c r="COQ10" s="413"/>
      <c r="COR10" s="413"/>
      <c r="COS10" s="413"/>
      <c r="COT10" s="514"/>
      <c r="COU10" s="515"/>
      <c r="COV10" s="515"/>
      <c r="COW10" s="515"/>
      <c r="COX10" s="515"/>
      <c r="COY10" s="515"/>
      <c r="COZ10" s="515"/>
      <c r="CPA10" s="515"/>
      <c r="CPB10" s="515"/>
      <c r="CPC10" s="515"/>
      <c r="CPD10" s="413"/>
      <c r="CPE10" s="413"/>
      <c r="CPF10" s="413"/>
      <c r="CPG10" s="413"/>
      <c r="CPH10" s="413"/>
      <c r="CPI10" s="413"/>
      <c r="CPJ10" s="413"/>
      <c r="CPK10" s="413"/>
      <c r="CPL10" s="413"/>
      <c r="CPM10" s="413"/>
      <c r="CPN10" s="413"/>
      <c r="CPO10" s="514"/>
      <c r="CPP10" s="515"/>
      <c r="CPQ10" s="515"/>
      <c r="CPR10" s="515"/>
      <c r="CPS10" s="515"/>
      <c r="CPT10" s="515"/>
      <c r="CPU10" s="515"/>
      <c r="CPV10" s="515"/>
      <c r="CPW10" s="515"/>
      <c r="CPX10" s="515"/>
      <c r="CPY10" s="413"/>
      <c r="CPZ10" s="413"/>
      <c r="CQA10" s="413"/>
      <c r="CQB10" s="413"/>
      <c r="CQC10" s="413"/>
      <c r="CQD10" s="413"/>
      <c r="CQE10" s="413"/>
      <c r="CQF10" s="413"/>
      <c r="CQG10" s="413"/>
      <c r="CQH10" s="413"/>
      <c r="CQI10" s="413"/>
      <c r="CQJ10" s="514"/>
      <c r="CQK10" s="515"/>
      <c r="CQL10" s="515"/>
      <c r="CQM10" s="515"/>
      <c r="CQN10" s="515"/>
      <c r="CQO10" s="515"/>
      <c r="CQP10" s="515"/>
      <c r="CQQ10" s="515"/>
      <c r="CQR10" s="515"/>
      <c r="CQS10" s="515"/>
      <c r="CQT10" s="413"/>
      <c r="CQU10" s="413"/>
      <c r="CQV10" s="413"/>
      <c r="CQW10" s="413"/>
      <c r="CQX10" s="413"/>
      <c r="CQY10" s="413"/>
      <c r="CQZ10" s="413"/>
      <c r="CRA10" s="413"/>
      <c r="CRB10" s="413"/>
      <c r="CRC10" s="413"/>
      <c r="CRD10" s="413"/>
      <c r="CRE10" s="514"/>
      <c r="CRF10" s="515"/>
      <c r="CRG10" s="515"/>
      <c r="CRH10" s="515"/>
      <c r="CRI10" s="515"/>
      <c r="CRJ10" s="515"/>
      <c r="CRK10" s="515"/>
      <c r="CRL10" s="515"/>
      <c r="CRM10" s="515"/>
      <c r="CRN10" s="515"/>
      <c r="CRO10" s="413"/>
      <c r="CRP10" s="413"/>
      <c r="CRQ10" s="413"/>
      <c r="CRR10" s="413"/>
      <c r="CRS10" s="413"/>
      <c r="CRT10" s="413"/>
      <c r="CRU10" s="413"/>
      <c r="CRV10" s="413"/>
      <c r="CRW10" s="413"/>
      <c r="CRX10" s="413"/>
      <c r="CRY10" s="413"/>
      <c r="CRZ10" s="514"/>
      <c r="CSA10" s="515"/>
      <c r="CSB10" s="515"/>
      <c r="CSC10" s="515"/>
      <c r="CSD10" s="515"/>
      <c r="CSE10" s="515"/>
      <c r="CSF10" s="515"/>
      <c r="CSG10" s="515"/>
      <c r="CSH10" s="515"/>
      <c r="CSI10" s="515"/>
      <c r="CSJ10" s="413"/>
      <c r="CSK10" s="413"/>
      <c r="CSL10" s="413"/>
      <c r="CSM10" s="413"/>
      <c r="CSN10" s="413"/>
      <c r="CSO10" s="413"/>
      <c r="CSP10" s="413"/>
      <c r="CSQ10" s="413"/>
      <c r="CSR10" s="413"/>
      <c r="CSS10" s="413"/>
      <c r="CST10" s="413"/>
      <c r="CSU10" s="514"/>
      <c r="CSV10" s="515"/>
      <c r="CSW10" s="515"/>
      <c r="CSX10" s="515"/>
      <c r="CSY10" s="515"/>
      <c r="CSZ10" s="515"/>
      <c r="CTA10" s="515"/>
      <c r="CTB10" s="515"/>
      <c r="CTC10" s="515"/>
      <c r="CTD10" s="515"/>
      <c r="CTE10" s="413"/>
      <c r="CTF10" s="413"/>
      <c r="CTG10" s="413"/>
      <c r="CTH10" s="413"/>
      <c r="CTI10" s="413"/>
      <c r="CTJ10" s="413"/>
      <c r="CTK10" s="413"/>
      <c r="CTL10" s="413"/>
      <c r="CTM10" s="413"/>
      <c r="CTN10" s="413"/>
      <c r="CTO10" s="413"/>
      <c r="CTP10" s="514"/>
      <c r="CTQ10" s="515"/>
      <c r="CTR10" s="515"/>
      <c r="CTS10" s="515"/>
      <c r="CTT10" s="515"/>
      <c r="CTU10" s="515"/>
      <c r="CTV10" s="515"/>
      <c r="CTW10" s="515"/>
      <c r="CTX10" s="515"/>
      <c r="CTY10" s="515"/>
      <c r="CTZ10" s="413"/>
      <c r="CUA10" s="413"/>
      <c r="CUB10" s="413"/>
      <c r="CUC10" s="413"/>
      <c r="CUD10" s="413"/>
      <c r="CUE10" s="413"/>
      <c r="CUF10" s="413"/>
      <c r="CUG10" s="413"/>
      <c r="CUH10" s="413"/>
      <c r="CUI10" s="413"/>
      <c r="CUJ10" s="413"/>
      <c r="CUK10" s="514"/>
      <c r="CUL10" s="515"/>
      <c r="CUM10" s="515"/>
      <c r="CUN10" s="515"/>
      <c r="CUO10" s="515"/>
      <c r="CUP10" s="515"/>
      <c r="CUQ10" s="515"/>
      <c r="CUR10" s="515"/>
      <c r="CUS10" s="515"/>
      <c r="CUT10" s="515"/>
      <c r="CUU10" s="413"/>
      <c r="CUV10" s="413"/>
      <c r="CUW10" s="413"/>
      <c r="CUX10" s="413"/>
      <c r="CUY10" s="413"/>
      <c r="CUZ10" s="413"/>
      <c r="CVA10" s="413"/>
      <c r="CVB10" s="413"/>
      <c r="CVC10" s="413"/>
      <c r="CVD10" s="413"/>
      <c r="CVE10" s="413"/>
      <c r="CVF10" s="514"/>
      <c r="CVG10" s="515"/>
      <c r="CVH10" s="515"/>
      <c r="CVI10" s="515"/>
      <c r="CVJ10" s="515"/>
      <c r="CVK10" s="515"/>
      <c r="CVL10" s="515"/>
      <c r="CVM10" s="515"/>
      <c r="CVN10" s="515"/>
      <c r="CVO10" s="515"/>
      <c r="CVP10" s="413"/>
      <c r="CVQ10" s="413"/>
      <c r="CVR10" s="413"/>
      <c r="CVS10" s="413"/>
      <c r="CVT10" s="413"/>
      <c r="CVU10" s="413"/>
      <c r="CVV10" s="413"/>
      <c r="CVW10" s="413"/>
      <c r="CVX10" s="413"/>
      <c r="CVY10" s="413"/>
      <c r="CVZ10" s="413"/>
      <c r="CWA10" s="514"/>
      <c r="CWB10" s="515"/>
      <c r="CWC10" s="515"/>
      <c r="CWD10" s="515"/>
      <c r="CWE10" s="515"/>
      <c r="CWF10" s="515"/>
      <c r="CWG10" s="515"/>
      <c r="CWH10" s="515"/>
      <c r="CWI10" s="515"/>
      <c r="CWJ10" s="515"/>
      <c r="CWK10" s="413"/>
      <c r="CWL10" s="413"/>
      <c r="CWM10" s="413"/>
      <c r="CWN10" s="413"/>
      <c r="CWO10" s="413"/>
      <c r="CWP10" s="413"/>
      <c r="CWQ10" s="413"/>
      <c r="CWR10" s="413"/>
      <c r="CWS10" s="413"/>
      <c r="CWT10" s="413"/>
      <c r="CWU10" s="413"/>
      <c r="CWV10" s="514"/>
      <c r="CWW10" s="515"/>
      <c r="CWX10" s="515"/>
      <c r="CWY10" s="515"/>
      <c r="CWZ10" s="515"/>
      <c r="CXA10" s="515"/>
      <c r="CXB10" s="515"/>
      <c r="CXC10" s="515"/>
      <c r="CXD10" s="515"/>
      <c r="CXE10" s="515"/>
      <c r="CXF10" s="413"/>
      <c r="CXG10" s="413"/>
      <c r="CXH10" s="413"/>
      <c r="CXI10" s="413"/>
      <c r="CXJ10" s="413"/>
      <c r="CXK10" s="413"/>
      <c r="CXL10" s="413"/>
      <c r="CXM10" s="413"/>
      <c r="CXN10" s="413"/>
      <c r="CXO10" s="413"/>
      <c r="CXP10" s="413"/>
      <c r="CXQ10" s="514"/>
      <c r="CXR10" s="515"/>
      <c r="CXS10" s="515"/>
      <c r="CXT10" s="515"/>
      <c r="CXU10" s="515"/>
      <c r="CXV10" s="515"/>
      <c r="CXW10" s="515"/>
      <c r="CXX10" s="515"/>
      <c r="CXY10" s="515"/>
      <c r="CXZ10" s="515"/>
      <c r="CYA10" s="413"/>
      <c r="CYB10" s="413"/>
      <c r="CYC10" s="413"/>
      <c r="CYD10" s="413"/>
      <c r="CYE10" s="413"/>
      <c r="CYF10" s="413"/>
      <c r="CYG10" s="413"/>
      <c r="CYH10" s="413"/>
      <c r="CYI10" s="413"/>
      <c r="CYJ10" s="413"/>
      <c r="CYK10" s="413"/>
      <c r="CYL10" s="514"/>
      <c r="CYM10" s="515"/>
      <c r="CYN10" s="515"/>
      <c r="CYO10" s="515"/>
      <c r="CYP10" s="515"/>
      <c r="CYQ10" s="515"/>
      <c r="CYR10" s="515"/>
      <c r="CYS10" s="515"/>
      <c r="CYT10" s="515"/>
      <c r="CYU10" s="515"/>
      <c r="CYV10" s="413"/>
      <c r="CYW10" s="413"/>
      <c r="CYX10" s="413"/>
      <c r="CYY10" s="413"/>
      <c r="CYZ10" s="413"/>
      <c r="CZA10" s="413"/>
      <c r="CZB10" s="413"/>
      <c r="CZC10" s="413"/>
      <c r="CZD10" s="413"/>
      <c r="CZE10" s="413"/>
      <c r="CZF10" s="413"/>
      <c r="CZG10" s="514"/>
      <c r="CZH10" s="515"/>
      <c r="CZI10" s="515"/>
      <c r="CZJ10" s="515"/>
      <c r="CZK10" s="515"/>
      <c r="CZL10" s="515"/>
      <c r="CZM10" s="515"/>
      <c r="CZN10" s="515"/>
      <c r="CZO10" s="515"/>
      <c r="CZP10" s="515"/>
      <c r="CZQ10" s="413"/>
      <c r="CZR10" s="413"/>
      <c r="CZS10" s="413"/>
      <c r="CZT10" s="413"/>
      <c r="CZU10" s="413"/>
      <c r="CZV10" s="413"/>
      <c r="CZW10" s="413"/>
      <c r="CZX10" s="413"/>
      <c r="CZY10" s="413"/>
      <c r="CZZ10" s="413"/>
      <c r="DAA10" s="413"/>
      <c r="DAB10" s="514"/>
      <c r="DAC10" s="515"/>
      <c r="DAD10" s="515"/>
      <c r="DAE10" s="515"/>
      <c r="DAF10" s="515"/>
      <c r="DAG10" s="515"/>
      <c r="DAH10" s="515"/>
      <c r="DAI10" s="515"/>
      <c r="DAJ10" s="515"/>
      <c r="DAK10" s="515"/>
      <c r="DAL10" s="413"/>
      <c r="DAM10" s="413"/>
      <c r="DAN10" s="413"/>
      <c r="DAO10" s="413"/>
      <c r="DAP10" s="413"/>
      <c r="DAQ10" s="413"/>
      <c r="DAR10" s="413"/>
      <c r="DAS10" s="413"/>
      <c r="DAT10" s="413"/>
      <c r="DAU10" s="413"/>
      <c r="DAV10" s="413"/>
      <c r="DAW10" s="514"/>
      <c r="DAX10" s="515"/>
      <c r="DAY10" s="515"/>
      <c r="DAZ10" s="515"/>
      <c r="DBA10" s="515"/>
      <c r="DBB10" s="515"/>
      <c r="DBC10" s="515"/>
      <c r="DBD10" s="515"/>
      <c r="DBE10" s="515"/>
      <c r="DBF10" s="515"/>
      <c r="DBG10" s="413"/>
      <c r="DBH10" s="413"/>
      <c r="DBI10" s="413"/>
      <c r="DBJ10" s="413"/>
      <c r="DBK10" s="413"/>
      <c r="DBL10" s="413"/>
      <c r="DBM10" s="413"/>
      <c r="DBN10" s="413"/>
      <c r="DBO10" s="413"/>
      <c r="DBP10" s="413"/>
      <c r="DBQ10" s="413"/>
      <c r="DBR10" s="514"/>
      <c r="DBS10" s="515"/>
      <c r="DBT10" s="515"/>
      <c r="DBU10" s="515"/>
      <c r="DBV10" s="515"/>
      <c r="DBW10" s="515"/>
      <c r="DBX10" s="515"/>
      <c r="DBY10" s="515"/>
      <c r="DBZ10" s="515"/>
      <c r="DCA10" s="515"/>
      <c r="DCB10" s="413"/>
      <c r="DCC10" s="413"/>
      <c r="DCD10" s="413"/>
      <c r="DCE10" s="413"/>
      <c r="DCF10" s="413"/>
      <c r="DCG10" s="413"/>
      <c r="DCH10" s="413"/>
      <c r="DCI10" s="413"/>
      <c r="DCJ10" s="413"/>
      <c r="DCK10" s="413"/>
      <c r="DCL10" s="413"/>
      <c r="DCM10" s="514"/>
      <c r="DCN10" s="515"/>
      <c r="DCO10" s="515"/>
      <c r="DCP10" s="515"/>
      <c r="DCQ10" s="515"/>
      <c r="DCR10" s="515"/>
      <c r="DCS10" s="515"/>
      <c r="DCT10" s="515"/>
      <c r="DCU10" s="515"/>
      <c r="DCV10" s="515"/>
      <c r="DCW10" s="413"/>
      <c r="DCX10" s="413"/>
      <c r="DCY10" s="413"/>
      <c r="DCZ10" s="413"/>
      <c r="DDA10" s="413"/>
      <c r="DDB10" s="413"/>
      <c r="DDC10" s="413"/>
      <c r="DDD10" s="413"/>
      <c r="DDE10" s="413"/>
      <c r="DDF10" s="413"/>
      <c r="DDG10" s="413"/>
      <c r="DDH10" s="514"/>
      <c r="DDI10" s="515"/>
      <c r="DDJ10" s="515"/>
      <c r="DDK10" s="515"/>
      <c r="DDL10" s="515"/>
      <c r="DDM10" s="515"/>
      <c r="DDN10" s="515"/>
      <c r="DDO10" s="515"/>
      <c r="DDP10" s="515"/>
      <c r="DDQ10" s="515"/>
      <c r="DDR10" s="413"/>
      <c r="DDS10" s="413"/>
      <c r="DDT10" s="413"/>
      <c r="DDU10" s="413"/>
      <c r="DDV10" s="413"/>
      <c r="DDW10" s="413"/>
      <c r="DDX10" s="413"/>
      <c r="DDY10" s="413"/>
      <c r="DDZ10" s="413"/>
      <c r="DEA10" s="413"/>
      <c r="DEB10" s="413"/>
      <c r="DEC10" s="514"/>
      <c r="DED10" s="515"/>
      <c r="DEE10" s="515"/>
      <c r="DEF10" s="515"/>
      <c r="DEG10" s="515"/>
      <c r="DEH10" s="515"/>
      <c r="DEI10" s="515"/>
      <c r="DEJ10" s="515"/>
      <c r="DEK10" s="515"/>
      <c r="DEL10" s="515"/>
      <c r="DEM10" s="413"/>
      <c r="DEN10" s="413"/>
      <c r="DEO10" s="413"/>
      <c r="DEP10" s="413"/>
      <c r="DEQ10" s="413"/>
      <c r="DER10" s="413"/>
      <c r="DES10" s="413"/>
      <c r="DET10" s="413"/>
      <c r="DEU10" s="413"/>
      <c r="DEV10" s="413"/>
      <c r="DEW10" s="413"/>
      <c r="DEX10" s="514"/>
      <c r="DEY10" s="515"/>
      <c r="DEZ10" s="515"/>
      <c r="DFA10" s="515"/>
      <c r="DFB10" s="515"/>
      <c r="DFC10" s="515"/>
      <c r="DFD10" s="515"/>
      <c r="DFE10" s="515"/>
      <c r="DFF10" s="515"/>
      <c r="DFG10" s="515"/>
      <c r="DFH10" s="413"/>
      <c r="DFI10" s="413"/>
      <c r="DFJ10" s="413"/>
      <c r="DFK10" s="413"/>
      <c r="DFL10" s="413"/>
      <c r="DFM10" s="413"/>
      <c r="DFN10" s="413"/>
      <c r="DFO10" s="413"/>
      <c r="DFP10" s="413"/>
      <c r="DFQ10" s="413"/>
      <c r="DFR10" s="413"/>
      <c r="DFS10" s="514"/>
      <c r="DFT10" s="515"/>
      <c r="DFU10" s="515"/>
      <c r="DFV10" s="515"/>
      <c r="DFW10" s="515"/>
      <c r="DFX10" s="515"/>
      <c r="DFY10" s="515"/>
      <c r="DFZ10" s="515"/>
      <c r="DGA10" s="515"/>
      <c r="DGB10" s="515"/>
      <c r="DGC10" s="413"/>
      <c r="DGD10" s="413"/>
      <c r="DGE10" s="413"/>
      <c r="DGF10" s="413"/>
      <c r="DGG10" s="413"/>
      <c r="DGH10" s="413"/>
      <c r="DGI10" s="413"/>
      <c r="DGJ10" s="413"/>
      <c r="DGK10" s="413"/>
      <c r="DGL10" s="413"/>
      <c r="DGM10" s="413"/>
      <c r="DGN10" s="514"/>
      <c r="DGO10" s="515"/>
      <c r="DGP10" s="515"/>
      <c r="DGQ10" s="515"/>
      <c r="DGR10" s="515"/>
      <c r="DGS10" s="515"/>
      <c r="DGT10" s="515"/>
      <c r="DGU10" s="515"/>
      <c r="DGV10" s="515"/>
      <c r="DGW10" s="515"/>
      <c r="DGX10" s="413"/>
      <c r="DGY10" s="413"/>
      <c r="DGZ10" s="413"/>
      <c r="DHA10" s="413"/>
      <c r="DHB10" s="413"/>
      <c r="DHC10" s="413"/>
      <c r="DHD10" s="413"/>
      <c r="DHE10" s="413"/>
      <c r="DHF10" s="413"/>
      <c r="DHG10" s="413"/>
      <c r="DHH10" s="413"/>
      <c r="DHI10" s="514"/>
      <c r="DHJ10" s="515"/>
      <c r="DHK10" s="515"/>
      <c r="DHL10" s="515"/>
      <c r="DHM10" s="515"/>
      <c r="DHN10" s="515"/>
      <c r="DHO10" s="515"/>
      <c r="DHP10" s="515"/>
      <c r="DHQ10" s="515"/>
      <c r="DHR10" s="515"/>
      <c r="DHS10" s="413"/>
      <c r="DHT10" s="413"/>
      <c r="DHU10" s="413"/>
      <c r="DHV10" s="413"/>
      <c r="DHW10" s="413"/>
      <c r="DHX10" s="413"/>
      <c r="DHY10" s="413"/>
      <c r="DHZ10" s="413"/>
      <c r="DIA10" s="413"/>
      <c r="DIB10" s="413"/>
      <c r="DIC10" s="413"/>
      <c r="DID10" s="514"/>
      <c r="DIE10" s="515"/>
      <c r="DIF10" s="515"/>
      <c r="DIG10" s="515"/>
      <c r="DIH10" s="515"/>
      <c r="DII10" s="515"/>
      <c r="DIJ10" s="515"/>
      <c r="DIK10" s="515"/>
      <c r="DIL10" s="515"/>
      <c r="DIM10" s="515"/>
      <c r="DIN10" s="413"/>
      <c r="DIO10" s="413"/>
      <c r="DIP10" s="413"/>
      <c r="DIQ10" s="413"/>
      <c r="DIR10" s="413"/>
      <c r="DIS10" s="413"/>
      <c r="DIT10" s="413"/>
      <c r="DIU10" s="413"/>
      <c r="DIV10" s="413"/>
      <c r="DIW10" s="413"/>
      <c r="DIX10" s="413"/>
      <c r="DIY10" s="514"/>
      <c r="DIZ10" s="515"/>
      <c r="DJA10" s="515"/>
      <c r="DJB10" s="515"/>
      <c r="DJC10" s="515"/>
      <c r="DJD10" s="515"/>
      <c r="DJE10" s="515"/>
      <c r="DJF10" s="515"/>
      <c r="DJG10" s="515"/>
      <c r="DJH10" s="515"/>
      <c r="DJI10" s="413"/>
      <c r="DJJ10" s="413"/>
      <c r="DJK10" s="413"/>
      <c r="DJL10" s="413"/>
      <c r="DJM10" s="413"/>
      <c r="DJN10" s="413"/>
      <c r="DJO10" s="413"/>
      <c r="DJP10" s="413"/>
      <c r="DJQ10" s="413"/>
      <c r="DJR10" s="413"/>
      <c r="DJS10" s="413"/>
      <c r="DJT10" s="514"/>
      <c r="DJU10" s="515"/>
      <c r="DJV10" s="515"/>
      <c r="DJW10" s="515"/>
      <c r="DJX10" s="515"/>
      <c r="DJY10" s="515"/>
      <c r="DJZ10" s="515"/>
      <c r="DKA10" s="515"/>
      <c r="DKB10" s="515"/>
      <c r="DKC10" s="515"/>
      <c r="DKD10" s="413"/>
      <c r="DKE10" s="413"/>
      <c r="DKF10" s="413"/>
      <c r="DKG10" s="413"/>
      <c r="DKH10" s="413"/>
      <c r="DKI10" s="413"/>
      <c r="DKJ10" s="413"/>
      <c r="DKK10" s="413"/>
      <c r="DKL10" s="413"/>
      <c r="DKM10" s="413"/>
      <c r="DKN10" s="413"/>
      <c r="DKO10" s="514"/>
      <c r="DKP10" s="515"/>
      <c r="DKQ10" s="515"/>
      <c r="DKR10" s="515"/>
      <c r="DKS10" s="515"/>
      <c r="DKT10" s="515"/>
      <c r="DKU10" s="515"/>
      <c r="DKV10" s="515"/>
      <c r="DKW10" s="515"/>
      <c r="DKX10" s="515"/>
      <c r="DKY10" s="413"/>
      <c r="DKZ10" s="413"/>
      <c r="DLA10" s="413"/>
      <c r="DLB10" s="413"/>
      <c r="DLC10" s="413"/>
      <c r="DLD10" s="413"/>
      <c r="DLE10" s="413"/>
      <c r="DLF10" s="413"/>
      <c r="DLG10" s="413"/>
      <c r="DLH10" s="413"/>
      <c r="DLI10" s="413"/>
      <c r="DLJ10" s="514"/>
      <c r="DLK10" s="515"/>
      <c r="DLL10" s="515"/>
      <c r="DLM10" s="515"/>
      <c r="DLN10" s="515"/>
      <c r="DLO10" s="515"/>
      <c r="DLP10" s="515"/>
      <c r="DLQ10" s="515"/>
      <c r="DLR10" s="515"/>
      <c r="DLS10" s="515"/>
      <c r="DLT10" s="413"/>
      <c r="DLU10" s="413"/>
      <c r="DLV10" s="413"/>
      <c r="DLW10" s="413"/>
      <c r="DLX10" s="413"/>
      <c r="DLY10" s="413"/>
      <c r="DLZ10" s="413"/>
      <c r="DMA10" s="413"/>
      <c r="DMB10" s="413"/>
      <c r="DMC10" s="413"/>
      <c r="DMD10" s="413"/>
      <c r="DME10" s="514"/>
      <c r="DMF10" s="515"/>
      <c r="DMG10" s="515"/>
      <c r="DMH10" s="515"/>
      <c r="DMI10" s="515"/>
      <c r="DMJ10" s="515"/>
      <c r="DMK10" s="515"/>
      <c r="DML10" s="515"/>
      <c r="DMM10" s="515"/>
      <c r="DMN10" s="515"/>
      <c r="DMO10" s="413"/>
      <c r="DMP10" s="413"/>
      <c r="DMQ10" s="413"/>
      <c r="DMR10" s="413"/>
      <c r="DMS10" s="413"/>
      <c r="DMT10" s="413"/>
      <c r="DMU10" s="413"/>
      <c r="DMV10" s="413"/>
      <c r="DMW10" s="413"/>
      <c r="DMX10" s="413"/>
      <c r="DMY10" s="413"/>
      <c r="DMZ10" s="514"/>
      <c r="DNA10" s="515"/>
      <c r="DNB10" s="515"/>
      <c r="DNC10" s="515"/>
      <c r="DND10" s="515"/>
      <c r="DNE10" s="515"/>
      <c r="DNF10" s="515"/>
      <c r="DNG10" s="515"/>
      <c r="DNH10" s="515"/>
      <c r="DNI10" s="515"/>
      <c r="DNJ10" s="413"/>
      <c r="DNK10" s="413"/>
      <c r="DNL10" s="413"/>
      <c r="DNM10" s="413"/>
      <c r="DNN10" s="413"/>
      <c r="DNO10" s="413"/>
      <c r="DNP10" s="413"/>
      <c r="DNQ10" s="413"/>
      <c r="DNR10" s="413"/>
      <c r="DNS10" s="413"/>
      <c r="DNT10" s="413"/>
      <c r="DNU10" s="514"/>
      <c r="DNV10" s="515"/>
      <c r="DNW10" s="515"/>
      <c r="DNX10" s="515"/>
      <c r="DNY10" s="515"/>
      <c r="DNZ10" s="515"/>
      <c r="DOA10" s="515"/>
      <c r="DOB10" s="515"/>
      <c r="DOC10" s="515"/>
      <c r="DOD10" s="515"/>
      <c r="DOE10" s="413"/>
      <c r="DOF10" s="413"/>
      <c r="DOG10" s="413"/>
      <c r="DOH10" s="413"/>
      <c r="DOI10" s="413"/>
      <c r="DOJ10" s="413"/>
      <c r="DOK10" s="413"/>
      <c r="DOL10" s="413"/>
      <c r="DOM10" s="413"/>
      <c r="DON10" s="413"/>
      <c r="DOO10" s="413"/>
      <c r="DOP10" s="514"/>
      <c r="DOQ10" s="515"/>
      <c r="DOR10" s="515"/>
      <c r="DOS10" s="515"/>
      <c r="DOT10" s="515"/>
      <c r="DOU10" s="515"/>
      <c r="DOV10" s="515"/>
      <c r="DOW10" s="515"/>
      <c r="DOX10" s="515"/>
      <c r="DOY10" s="515"/>
      <c r="DOZ10" s="413"/>
      <c r="DPA10" s="413"/>
      <c r="DPB10" s="413"/>
      <c r="DPC10" s="413"/>
      <c r="DPD10" s="413"/>
      <c r="DPE10" s="413"/>
      <c r="DPF10" s="413"/>
      <c r="DPG10" s="413"/>
      <c r="DPH10" s="413"/>
      <c r="DPI10" s="413"/>
      <c r="DPJ10" s="413"/>
      <c r="DPK10" s="514"/>
      <c r="DPL10" s="515"/>
      <c r="DPM10" s="515"/>
      <c r="DPN10" s="515"/>
      <c r="DPO10" s="515"/>
      <c r="DPP10" s="515"/>
      <c r="DPQ10" s="515"/>
      <c r="DPR10" s="515"/>
      <c r="DPS10" s="515"/>
      <c r="DPT10" s="515"/>
      <c r="DPU10" s="413"/>
      <c r="DPV10" s="413"/>
      <c r="DPW10" s="413"/>
      <c r="DPX10" s="413"/>
      <c r="DPY10" s="413"/>
      <c r="DPZ10" s="413"/>
      <c r="DQA10" s="413"/>
      <c r="DQB10" s="413"/>
      <c r="DQC10" s="413"/>
      <c r="DQD10" s="413"/>
      <c r="DQE10" s="413"/>
      <c r="DQF10" s="514"/>
      <c r="DQG10" s="515"/>
      <c r="DQH10" s="515"/>
      <c r="DQI10" s="515"/>
      <c r="DQJ10" s="515"/>
      <c r="DQK10" s="515"/>
      <c r="DQL10" s="515"/>
      <c r="DQM10" s="515"/>
      <c r="DQN10" s="515"/>
      <c r="DQO10" s="515"/>
      <c r="DQP10" s="413"/>
      <c r="DQQ10" s="413"/>
      <c r="DQR10" s="413"/>
      <c r="DQS10" s="413"/>
      <c r="DQT10" s="413"/>
      <c r="DQU10" s="413"/>
      <c r="DQV10" s="413"/>
      <c r="DQW10" s="413"/>
      <c r="DQX10" s="413"/>
      <c r="DQY10" s="413"/>
      <c r="DQZ10" s="413"/>
      <c r="DRA10" s="514"/>
      <c r="DRB10" s="515"/>
      <c r="DRC10" s="515"/>
      <c r="DRD10" s="515"/>
      <c r="DRE10" s="515"/>
      <c r="DRF10" s="515"/>
      <c r="DRG10" s="515"/>
      <c r="DRH10" s="515"/>
      <c r="DRI10" s="515"/>
      <c r="DRJ10" s="515"/>
      <c r="DRK10" s="413"/>
      <c r="DRL10" s="413"/>
      <c r="DRM10" s="413"/>
      <c r="DRN10" s="413"/>
      <c r="DRO10" s="413"/>
      <c r="DRP10" s="413"/>
      <c r="DRQ10" s="413"/>
      <c r="DRR10" s="413"/>
      <c r="DRS10" s="413"/>
      <c r="DRT10" s="413"/>
      <c r="DRU10" s="413"/>
      <c r="DRV10" s="514"/>
      <c r="DRW10" s="515"/>
      <c r="DRX10" s="515"/>
      <c r="DRY10" s="515"/>
      <c r="DRZ10" s="515"/>
      <c r="DSA10" s="515"/>
      <c r="DSB10" s="515"/>
      <c r="DSC10" s="515"/>
      <c r="DSD10" s="515"/>
      <c r="DSE10" s="515"/>
      <c r="DSF10" s="413"/>
      <c r="DSG10" s="413"/>
      <c r="DSH10" s="413"/>
      <c r="DSI10" s="413"/>
      <c r="DSJ10" s="413"/>
      <c r="DSK10" s="413"/>
      <c r="DSL10" s="413"/>
      <c r="DSM10" s="413"/>
      <c r="DSN10" s="413"/>
      <c r="DSO10" s="413"/>
      <c r="DSP10" s="413"/>
      <c r="DSQ10" s="514"/>
      <c r="DSR10" s="515"/>
      <c r="DSS10" s="515"/>
      <c r="DST10" s="515"/>
      <c r="DSU10" s="515"/>
      <c r="DSV10" s="515"/>
      <c r="DSW10" s="515"/>
      <c r="DSX10" s="515"/>
      <c r="DSY10" s="515"/>
      <c r="DSZ10" s="515"/>
      <c r="DTA10" s="413"/>
      <c r="DTB10" s="413"/>
      <c r="DTC10" s="413"/>
      <c r="DTD10" s="413"/>
      <c r="DTE10" s="413"/>
      <c r="DTF10" s="413"/>
      <c r="DTG10" s="413"/>
      <c r="DTH10" s="413"/>
      <c r="DTI10" s="413"/>
      <c r="DTJ10" s="413"/>
      <c r="DTK10" s="413"/>
      <c r="DTL10" s="514"/>
      <c r="DTM10" s="515"/>
      <c r="DTN10" s="515"/>
      <c r="DTO10" s="515"/>
      <c r="DTP10" s="515"/>
      <c r="DTQ10" s="515"/>
      <c r="DTR10" s="515"/>
      <c r="DTS10" s="515"/>
      <c r="DTT10" s="515"/>
      <c r="DTU10" s="515"/>
      <c r="DTV10" s="413"/>
      <c r="DTW10" s="413"/>
      <c r="DTX10" s="413"/>
      <c r="DTY10" s="413"/>
      <c r="DTZ10" s="413"/>
      <c r="DUA10" s="413"/>
      <c r="DUB10" s="413"/>
      <c r="DUC10" s="413"/>
      <c r="DUD10" s="413"/>
      <c r="DUE10" s="413"/>
      <c r="DUF10" s="413"/>
      <c r="DUG10" s="514"/>
      <c r="DUH10" s="515"/>
      <c r="DUI10" s="515"/>
      <c r="DUJ10" s="515"/>
      <c r="DUK10" s="515"/>
      <c r="DUL10" s="515"/>
      <c r="DUM10" s="515"/>
      <c r="DUN10" s="515"/>
      <c r="DUO10" s="515"/>
      <c r="DUP10" s="515"/>
      <c r="DUQ10" s="413"/>
      <c r="DUR10" s="413"/>
      <c r="DUS10" s="413"/>
      <c r="DUT10" s="413"/>
      <c r="DUU10" s="413"/>
      <c r="DUV10" s="413"/>
      <c r="DUW10" s="413"/>
      <c r="DUX10" s="413"/>
      <c r="DUY10" s="413"/>
      <c r="DUZ10" s="413"/>
      <c r="DVA10" s="413"/>
      <c r="DVB10" s="514"/>
      <c r="DVC10" s="515"/>
      <c r="DVD10" s="515"/>
      <c r="DVE10" s="515"/>
      <c r="DVF10" s="515"/>
      <c r="DVG10" s="515"/>
      <c r="DVH10" s="515"/>
      <c r="DVI10" s="515"/>
      <c r="DVJ10" s="515"/>
      <c r="DVK10" s="515"/>
      <c r="DVL10" s="413"/>
      <c r="DVM10" s="413"/>
      <c r="DVN10" s="413"/>
      <c r="DVO10" s="413"/>
      <c r="DVP10" s="413"/>
      <c r="DVQ10" s="413"/>
      <c r="DVR10" s="413"/>
      <c r="DVS10" s="413"/>
      <c r="DVT10" s="413"/>
      <c r="DVU10" s="413"/>
      <c r="DVV10" s="413"/>
      <c r="DVW10" s="514"/>
      <c r="DVX10" s="515"/>
      <c r="DVY10" s="515"/>
      <c r="DVZ10" s="515"/>
      <c r="DWA10" s="515"/>
      <c r="DWB10" s="515"/>
      <c r="DWC10" s="515"/>
      <c r="DWD10" s="515"/>
      <c r="DWE10" s="515"/>
      <c r="DWF10" s="515"/>
      <c r="DWG10" s="413"/>
      <c r="DWH10" s="413"/>
      <c r="DWI10" s="413"/>
      <c r="DWJ10" s="413"/>
      <c r="DWK10" s="413"/>
      <c r="DWL10" s="413"/>
      <c r="DWM10" s="413"/>
      <c r="DWN10" s="413"/>
      <c r="DWO10" s="413"/>
      <c r="DWP10" s="413"/>
      <c r="DWQ10" s="413"/>
      <c r="DWR10" s="514"/>
      <c r="DWS10" s="515"/>
      <c r="DWT10" s="515"/>
      <c r="DWU10" s="515"/>
      <c r="DWV10" s="515"/>
      <c r="DWW10" s="515"/>
      <c r="DWX10" s="515"/>
      <c r="DWY10" s="515"/>
      <c r="DWZ10" s="515"/>
      <c r="DXA10" s="515"/>
      <c r="DXB10" s="413"/>
      <c r="DXC10" s="413"/>
      <c r="DXD10" s="413"/>
      <c r="DXE10" s="413"/>
      <c r="DXF10" s="413"/>
      <c r="DXG10" s="413"/>
      <c r="DXH10" s="413"/>
      <c r="DXI10" s="413"/>
      <c r="DXJ10" s="413"/>
      <c r="DXK10" s="413"/>
      <c r="DXL10" s="413"/>
      <c r="DXM10" s="514"/>
      <c r="DXN10" s="515"/>
      <c r="DXO10" s="515"/>
      <c r="DXP10" s="515"/>
      <c r="DXQ10" s="515"/>
      <c r="DXR10" s="515"/>
      <c r="DXS10" s="515"/>
      <c r="DXT10" s="515"/>
      <c r="DXU10" s="515"/>
      <c r="DXV10" s="515"/>
      <c r="DXW10" s="413"/>
      <c r="DXX10" s="413"/>
      <c r="DXY10" s="413"/>
      <c r="DXZ10" s="413"/>
      <c r="DYA10" s="413"/>
      <c r="DYB10" s="413"/>
      <c r="DYC10" s="413"/>
      <c r="DYD10" s="413"/>
      <c r="DYE10" s="413"/>
      <c r="DYF10" s="413"/>
      <c r="DYG10" s="413"/>
      <c r="DYH10" s="514"/>
      <c r="DYI10" s="515"/>
      <c r="DYJ10" s="515"/>
      <c r="DYK10" s="515"/>
      <c r="DYL10" s="515"/>
      <c r="DYM10" s="515"/>
      <c r="DYN10" s="515"/>
      <c r="DYO10" s="515"/>
      <c r="DYP10" s="515"/>
      <c r="DYQ10" s="515"/>
      <c r="DYR10" s="413"/>
      <c r="DYS10" s="413"/>
      <c r="DYT10" s="413"/>
      <c r="DYU10" s="413"/>
      <c r="DYV10" s="413"/>
      <c r="DYW10" s="413"/>
      <c r="DYX10" s="413"/>
      <c r="DYY10" s="413"/>
      <c r="DYZ10" s="413"/>
      <c r="DZA10" s="413"/>
      <c r="DZB10" s="413"/>
      <c r="DZC10" s="514"/>
      <c r="DZD10" s="515"/>
      <c r="DZE10" s="515"/>
      <c r="DZF10" s="515"/>
      <c r="DZG10" s="515"/>
      <c r="DZH10" s="515"/>
      <c r="DZI10" s="515"/>
      <c r="DZJ10" s="515"/>
      <c r="DZK10" s="515"/>
      <c r="DZL10" s="515"/>
      <c r="DZM10" s="413"/>
      <c r="DZN10" s="413"/>
      <c r="DZO10" s="413"/>
      <c r="DZP10" s="413"/>
      <c r="DZQ10" s="413"/>
      <c r="DZR10" s="413"/>
      <c r="DZS10" s="413"/>
      <c r="DZT10" s="413"/>
      <c r="DZU10" s="413"/>
      <c r="DZV10" s="413"/>
      <c r="DZW10" s="413"/>
      <c r="DZX10" s="514"/>
      <c r="DZY10" s="515"/>
      <c r="DZZ10" s="515"/>
      <c r="EAA10" s="515"/>
      <c r="EAB10" s="515"/>
      <c r="EAC10" s="515"/>
      <c r="EAD10" s="515"/>
      <c r="EAE10" s="515"/>
      <c r="EAF10" s="515"/>
      <c r="EAG10" s="515"/>
      <c r="EAH10" s="413"/>
      <c r="EAI10" s="413"/>
      <c r="EAJ10" s="413"/>
      <c r="EAK10" s="413"/>
      <c r="EAL10" s="413"/>
      <c r="EAM10" s="413"/>
      <c r="EAN10" s="413"/>
      <c r="EAO10" s="413"/>
      <c r="EAP10" s="413"/>
      <c r="EAQ10" s="413"/>
      <c r="EAR10" s="413"/>
      <c r="EAS10" s="514"/>
      <c r="EAT10" s="515"/>
      <c r="EAU10" s="515"/>
      <c r="EAV10" s="515"/>
      <c r="EAW10" s="515"/>
      <c r="EAX10" s="515"/>
      <c r="EAY10" s="515"/>
      <c r="EAZ10" s="515"/>
      <c r="EBA10" s="515"/>
      <c r="EBB10" s="515"/>
      <c r="EBC10" s="413"/>
      <c r="EBD10" s="413"/>
      <c r="EBE10" s="413"/>
      <c r="EBF10" s="413"/>
      <c r="EBG10" s="413"/>
      <c r="EBH10" s="413"/>
      <c r="EBI10" s="413"/>
      <c r="EBJ10" s="413"/>
      <c r="EBK10" s="413"/>
      <c r="EBL10" s="413"/>
      <c r="EBM10" s="413"/>
      <c r="EBN10" s="514"/>
      <c r="EBO10" s="515"/>
      <c r="EBP10" s="515"/>
      <c r="EBQ10" s="515"/>
      <c r="EBR10" s="515"/>
      <c r="EBS10" s="515"/>
      <c r="EBT10" s="515"/>
      <c r="EBU10" s="515"/>
      <c r="EBV10" s="515"/>
      <c r="EBW10" s="515"/>
      <c r="EBX10" s="413"/>
      <c r="EBY10" s="413"/>
      <c r="EBZ10" s="413"/>
      <c r="ECA10" s="413"/>
      <c r="ECB10" s="413"/>
      <c r="ECC10" s="413"/>
      <c r="ECD10" s="413"/>
      <c r="ECE10" s="413"/>
      <c r="ECF10" s="413"/>
      <c r="ECG10" s="413"/>
      <c r="ECH10" s="413"/>
      <c r="ECI10" s="514"/>
      <c r="ECJ10" s="515"/>
      <c r="ECK10" s="515"/>
      <c r="ECL10" s="515"/>
      <c r="ECM10" s="515"/>
      <c r="ECN10" s="515"/>
      <c r="ECO10" s="515"/>
      <c r="ECP10" s="515"/>
      <c r="ECQ10" s="515"/>
      <c r="ECR10" s="515"/>
      <c r="ECS10" s="413"/>
      <c r="ECT10" s="413"/>
      <c r="ECU10" s="413"/>
      <c r="ECV10" s="413"/>
      <c r="ECW10" s="413"/>
      <c r="ECX10" s="413"/>
      <c r="ECY10" s="413"/>
      <c r="ECZ10" s="413"/>
      <c r="EDA10" s="413"/>
      <c r="EDB10" s="413"/>
      <c r="EDC10" s="413"/>
      <c r="EDD10" s="514"/>
      <c r="EDE10" s="515"/>
      <c r="EDF10" s="515"/>
      <c r="EDG10" s="515"/>
      <c r="EDH10" s="515"/>
      <c r="EDI10" s="515"/>
      <c r="EDJ10" s="515"/>
      <c r="EDK10" s="515"/>
      <c r="EDL10" s="515"/>
      <c r="EDM10" s="515"/>
      <c r="EDN10" s="413"/>
      <c r="EDO10" s="413"/>
      <c r="EDP10" s="413"/>
      <c r="EDQ10" s="413"/>
      <c r="EDR10" s="413"/>
      <c r="EDS10" s="413"/>
      <c r="EDT10" s="413"/>
      <c r="EDU10" s="413"/>
      <c r="EDV10" s="413"/>
      <c r="EDW10" s="413"/>
      <c r="EDX10" s="413"/>
      <c r="EDY10" s="514"/>
      <c r="EDZ10" s="515"/>
      <c r="EEA10" s="515"/>
      <c r="EEB10" s="515"/>
      <c r="EEC10" s="515"/>
      <c r="EED10" s="515"/>
      <c r="EEE10" s="515"/>
      <c r="EEF10" s="515"/>
      <c r="EEG10" s="515"/>
      <c r="EEH10" s="515"/>
      <c r="EEI10" s="413"/>
      <c r="EEJ10" s="413"/>
      <c r="EEK10" s="413"/>
      <c r="EEL10" s="413"/>
      <c r="EEM10" s="413"/>
      <c r="EEN10" s="413"/>
      <c r="EEO10" s="413"/>
      <c r="EEP10" s="413"/>
      <c r="EEQ10" s="413"/>
      <c r="EER10" s="413"/>
      <c r="EES10" s="413"/>
      <c r="EET10" s="514"/>
      <c r="EEU10" s="515"/>
      <c r="EEV10" s="515"/>
      <c r="EEW10" s="515"/>
      <c r="EEX10" s="515"/>
      <c r="EEY10" s="515"/>
      <c r="EEZ10" s="515"/>
      <c r="EFA10" s="515"/>
      <c r="EFB10" s="515"/>
      <c r="EFC10" s="515"/>
      <c r="EFD10" s="413"/>
      <c r="EFE10" s="413"/>
      <c r="EFF10" s="413"/>
      <c r="EFG10" s="413"/>
      <c r="EFH10" s="413"/>
      <c r="EFI10" s="413"/>
      <c r="EFJ10" s="413"/>
      <c r="EFK10" s="413"/>
      <c r="EFL10" s="413"/>
      <c r="EFM10" s="413"/>
      <c r="EFN10" s="413"/>
      <c r="EFO10" s="514"/>
      <c r="EFP10" s="515"/>
      <c r="EFQ10" s="515"/>
      <c r="EFR10" s="515"/>
      <c r="EFS10" s="515"/>
      <c r="EFT10" s="515"/>
      <c r="EFU10" s="515"/>
      <c r="EFV10" s="515"/>
      <c r="EFW10" s="515"/>
      <c r="EFX10" s="515"/>
      <c r="EFY10" s="413"/>
      <c r="EFZ10" s="413"/>
      <c r="EGA10" s="413"/>
      <c r="EGB10" s="413"/>
      <c r="EGC10" s="413"/>
      <c r="EGD10" s="413"/>
      <c r="EGE10" s="413"/>
      <c r="EGF10" s="413"/>
      <c r="EGG10" s="413"/>
      <c r="EGH10" s="413"/>
      <c r="EGI10" s="413"/>
      <c r="EGJ10" s="514"/>
      <c r="EGK10" s="515"/>
      <c r="EGL10" s="515"/>
      <c r="EGM10" s="515"/>
      <c r="EGN10" s="515"/>
      <c r="EGO10" s="515"/>
      <c r="EGP10" s="515"/>
      <c r="EGQ10" s="515"/>
      <c r="EGR10" s="515"/>
      <c r="EGS10" s="515"/>
      <c r="EGT10" s="413"/>
      <c r="EGU10" s="413"/>
      <c r="EGV10" s="413"/>
      <c r="EGW10" s="413"/>
      <c r="EGX10" s="413"/>
      <c r="EGY10" s="413"/>
      <c r="EGZ10" s="413"/>
      <c r="EHA10" s="413"/>
      <c r="EHB10" s="413"/>
      <c r="EHC10" s="413"/>
      <c r="EHD10" s="413"/>
      <c r="EHE10" s="514"/>
      <c r="EHF10" s="515"/>
      <c r="EHG10" s="515"/>
      <c r="EHH10" s="515"/>
      <c r="EHI10" s="515"/>
      <c r="EHJ10" s="515"/>
      <c r="EHK10" s="515"/>
      <c r="EHL10" s="515"/>
      <c r="EHM10" s="515"/>
      <c r="EHN10" s="515"/>
      <c r="EHO10" s="413"/>
      <c r="EHP10" s="413"/>
      <c r="EHQ10" s="413"/>
      <c r="EHR10" s="413"/>
      <c r="EHS10" s="413"/>
      <c r="EHT10" s="413"/>
      <c r="EHU10" s="413"/>
      <c r="EHV10" s="413"/>
      <c r="EHW10" s="413"/>
      <c r="EHX10" s="413"/>
      <c r="EHY10" s="413"/>
      <c r="EHZ10" s="514"/>
      <c r="EIA10" s="515"/>
      <c r="EIB10" s="515"/>
      <c r="EIC10" s="515"/>
      <c r="EID10" s="515"/>
      <c r="EIE10" s="515"/>
      <c r="EIF10" s="515"/>
      <c r="EIG10" s="515"/>
      <c r="EIH10" s="515"/>
      <c r="EII10" s="515"/>
      <c r="EIJ10" s="413"/>
      <c r="EIK10" s="413"/>
      <c r="EIL10" s="413"/>
      <c r="EIM10" s="413"/>
      <c r="EIN10" s="413"/>
      <c r="EIO10" s="413"/>
      <c r="EIP10" s="413"/>
      <c r="EIQ10" s="413"/>
      <c r="EIR10" s="413"/>
      <c r="EIS10" s="413"/>
      <c r="EIT10" s="413"/>
      <c r="EIU10" s="514"/>
      <c r="EIV10" s="515"/>
      <c r="EIW10" s="515"/>
      <c r="EIX10" s="515"/>
      <c r="EIY10" s="515"/>
      <c r="EIZ10" s="515"/>
      <c r="EJA10" s="515"/>
      <c r="EJB10" s="515"/>
      <c r="EJC10" s="515"/>
      <c r="EJD10" s="515"/>
      <c r="EJE10" s="413"/>
      <c r="EJF10" s="413"/>
      <c r="EJG10" s="413"/>
      <c r="EJH10" s="413"/>
      <c r="EJI10" s="413"/>
      <c r="EJJ10" s="413"/>
      <c r="EJK10" s="413"/>
      <c r="EJL10" s="413"/>
      <c r="EJM10" s="413"/>
      <c r="EJN10" s="413"/>
      <c r="EJO10" s="413"/>
      <c r="EJP10" s="514"/>
      <c r="EJQ10" s="515"/>
      <c r="EJR10" s="515"/>
      <c r="EJS10" s="515"/>
      <c r="EJT10" s="515"/>
      <c r="EJU10" s="515"/>
      <c r="EJV10" s="515"/>
      <c r="EJW10" s="515"/>
      <c r="EJX10" s="515"/>
      <c r="EJY10" s="515"/>
      <c r="EJZ10" s="413"/>
      <c r="EKA10" s="413"/>
      <c r="EKB10" s="413"/>
      <c r="EKC10" s="413"/>
      <c r="EKD10" s="413"/>
      <c r="EKE10" s="413"/>
      <c r="EKF10" s="413"/>
      <c r="EKG10" s="413"/>
      <c r="EKH10" s="413"/>
      <c r="EKI10" s="413"/>
      <c r="EKJ10" s="413"/>
      <c r="EKK10" s="514"/>
      <c r="EKL10" s="515"/>
      <c r="EKM10" s="515"/>
      <c r="EKN10" s="515"/>
      <c r="EKO10" s="515"/>
      <c r="EKP10" s="515"/>
      <c r="EKQ10" s="515"/>
      <c r="EKR10" s="515"/>
      <c r="EKS10" s="515"/>
      <c r="EKT10" s="515"/>
      <c r="EKU10" s="413"/>
      <c r="EKV10" s="413"/>
      <c r="EKW10" s="413"/>
      <c r="EKX10" s="413"/>
      <c r="EKY10" s="413"/>
      <c r="EKZ10" s="413"/>
      <c r="ELA10" s="413"/>
      <c r="ELB10" s="413"/>
      <c r="ELC10" s="413"/>
      <c r="ELD10" s="413"/>
      <c r="ELE10" s="413"/>
      <c r="ELF10" s="514"/>
      <c r="ELG10" s="515"/>
      <c r="ELH10" s="515"/>
      <c r="ELI10" s="515"/>
      <c r="ELJ10" s="515"/>
      <c r="ELK10" s="515"/>
      <c r="ELL10" s="515"/>
      <c r="ELM10" s="515"/>
      <c r="ELN10" s="515"/>
      <c r="ELO10" s="515"/>
      <c r="ELP10" s="413"/>
      <c r="ELQ10" s="413"/>
      <c r="ELR10" s="413"/>
      <c r="ELS10" s="413"/>
      <c r="ELT10" s="413"/>
      <c r="ELU10" s="413"/>
      <c r="ELV10" s="413"/>
      <c r="ELW10" s="413"/>
      <c r="ELX10" s="413"/>
      <c r="ELY10" s="413"/>
      <c r="ELZ10" s="413"/>
      <c r="EMA10" s="514"/>
      <c r="EMB10" s="515"/>
      <c r="EMC10" s="515"/>
      <c r="EMD10" s="515"/>
      <c r="EME10" s="515"/>
      <c r="EMF10" s="515"/>
      <c r="EMG10" s="515"/>
      <c r="EMH10" s="515"/>
      <c r="EMI10" s="515"/>
      <c r="EMJ10" s="515"/>
      <c r="EMK10" s="413"/>
      <c r="EML10" s="413"/>
      <c r="EMM10" s="413"/>
      <c r="EMN10" s="413"/>
      <c r="EMO10" s="413"/>
      <c r="EMP10" s="413"/>
      <c r="EMQ10" s="413"/>
      <c r="EMR10" s="413"/>
      <c r="EMS10" s="413"/>
      <c r="EMT10" s="413"/>
      <c r="EMU10" s="413"/>
      <c r="EMV10" s="514"/>
      <c r="EMW10" s="515"/>
      <c r="EMX10" s="515"/>
      <c r="EMY10" s="515"/>
      <c r="EMZ10" s="515"/>
      <c r="ENA10" s="515"/>
      <c r="ENB10" s="515"/>
      <c r="ENC10" s="515"/>
      <c r="END10" s="515"/>
      <c r="ENE10" s="515"/>
      <c r="ENF10" s="413"/>
      <c r="ENG10" s="413"/>
      <c r="ENH10" s="413"/>
      <c r="ENI10" s="413"/>
      <c r="ENJ10" s="413"/>
      <c r="ENK10" s="413"/>
      <c r="ENL10" s="413"/>
      <c r="ENM10" s="413"/>
      <c r="ENN10" s="413"/>
      <c r="ENO10" s="413"/>
      <c r="ENP10" s="413"/>
      <c r="ENQ10" s="514"/>
      <c r="ENR10" s="515"/>
      <c r="ENS10" s="515"/>
      <c r="ENT10" s="515"/>
      <c r="ENU10" s="515"/>
      <c r="ENV10" s="515"/>
      <c r="ENW10" s="515"/>
      <c r="ENX10" s="515"/>
      <c r="ENY10" s="515"/>
      <c r="ENZ10" s="515"/>
      <c r="EOA10" s="413"/>
      <c r="EOB10" s="413"/>
      <c r="EOC10" s="413"/>
      <c r="EOD10" s="413"/>
      <c r="EOE10" s="413"/>
      <c r="EOF10" s="413"/>
      <c r="EOG10" s="413"/>
      <c r="EOH10" s="413"/>
      <c r="EOI10" s="413"/>
      <c r="EOJ10" s="413"/>
      <c r="EOK10" s="413"/>
      <c r="EOL10" s="514"/>
      <c r="EOM10" s="515"/>
      <c r="EON10" s="515"/>
      <c r="EOO10" s="515"/>
      <c r="EOP10" s="515"/>
      <c r="EOQ10" s="515"/>
      <c r="EOR10" s="515"/>
      <c r="EOS10" s="515"/>
      <c r="EOT10" s="515"/>
      <c r="EOU10" s="515"/>
      <c r="EOV10" s="413"/>
      <c r="EOW10" s="413"/>
      <c r="EOX10" s="413"/>
      <c r="EOY10" s="413"/>
      <c r="EOZ10" s="413"/>
      <c r="EPA10" s="413"/>
      <c r="EPB10" s="413"/>
      <c r="EPC10" s="413"/>
      <c r="EPD10" s="413"/>
      <c r="EPE10" s="413"/>
      <c r="EPF10" s="413"/>
      <c r="EPG10" s="514"/>
      <c r="EPH10" s="515"/>
      <c r="EPI10" s="515"/>
      <c r="EPJ10" s="515"/>
      <c r="EPK10" s="515"/>
      <c r="EPL10" s="515"/>
      <c r="EPM10" s="515"/>
      <c r="EPN10" s="515"/>
      <c r="EPO10" s="515"/>
      <c r="EPP10" s="515"/>
      <c r="EPQ10" s="413"/>
      <c r="EPR10" s="413"/>
      <c r="EPS10" s="413"/>
      <c r="EPT10" s="413"/>
      <c r="EPU10" s="413"/>
      <c r="EPV10" s="413"/>
      <c r="EPW10" s="413"/>
      <c r="EPX10" s="413"/>
      <c r="EPY10" s="413"/>
      <c r="EPZ10" s="413"/>
      <c r="EQA10" s="413"/>
      <c r="EQB10" s="514"/>
      <c r="EQC10" s="515"/>
      <c r="EQD10" s="515"/>
      <c r="EQE10" s="515"/>
      <c r="EQF10" s="515"/>
      <c r="EQG10" s="515"/>
      <c r="EQH10" s="515"/>
      <c r="EQI10" s="515"/>
      <c r="EQJ10" s="515"/>
      <c r="EQK10" s="515"/>
      <c r="EQL10" s="413"/>
      <c r="EQM10" s="413"/>
      <c r="EQN10" s="413"/>
      <c r="EQO10" s="413"/>
      <c r="EQP10" s="413"/>
      <c r="EQQ10" s="413"/>
      <c r="EQR10" s="413"/>
      <c r="EQS10" s="413"/>
      <c r="EQT10" s="413"/>
      <c r="EQU10" s="413"/>
      <c r="EQV10" s="413"/>
      <c r="EQW10" s="514"/>
      <c r="EQX10" s="515"/>
      <c r="EQY10" s="515"/>
      <c r="EQZ10" s="515"/>
      <c r="ERA10" s="515"/>
      <c r="ERB10" s="515"/>
      <c r="ERC10" s="515"/>
      <c r="ERD10" s="515"/>
      <c r="ERE10" s="515"/>
      <c r="ERF10" s="515"/>
      <c r="ERG10" s="413"/>
      <c r="ERH10" s="413"/>
      <c r="ERI10" s="413"/>
      <c r="ERJ10" s="413"/>
      <c r="ERK10" s="413"/>
      <c r="ERL10" s="413"/>
      <c r="ERM10" s="413"/>
      <c r="ERN10" s="413"/>
      <c r="ERO10" s="413"/>
      <c r="ERP10" s="413"/>
      <c r="ERQ10" s="413"/>
      <c r="ERR10" s="514"/>
      <c r="ERS10" s="515"/>
      <c r="ERT10" s="515"/>
      <c r="ERU10" s="515"/>
      <c r="ERV10" s="515"/>
      <c r="ERW10" s="515"/>
      <c r="ERX10" s="515"/>
      <c r="ERY10" s="515"/>
      <c r="ERZ10" s="515"/>
      <c r="ESA10" s="515"/>
      <c r="ESB10" s="413"/>
      <c r="ESC10" s="413"/>
      <c r="ESD10" s="413"/>
      <c r="ESE10" s="413"/>
      <c r="ESF10" s="413"/>
      <c r="ESG10" s="413"/>
      <c r="ESH10" s="413"/>
      <c r="ESI10" s="413"/>
      <c r="ESJ10" s="413"/>
      <c r="ESK10" s="413"/>
      <c r="ESL10" s="413"/>
      <c r="ESM10" s="514"/>
      <c r="ESN10" s="515"/>
      <c r="ESO10" s="515"/>
      <c r="ESP10" s="515"/>
      <c r="ESQ10" s="515"/>
      <c r="ESR10" s="515"/>
      <c r="ESS10" s="515"/>
      <c r="EST10" s="515"/>
      <c r="ESU10" s="515"/>
      <c r="ESV10" s="515"/>
      <c r="ESW10" s="413"/>
      <c r="ESX10" s="413"/>
      <c r="ESY10" s="413"/>
      <c r="ESZ10" s="413"/>
      <c r="ETA10" s="413"/>
      <c r="ETB10" s="413"/>
      <c r="ETC10" s="413"/>
      <c r="ETD10" s="413"/>
      <c r="ETE10" s="413"/>
      <c r="ETF10" s="413"/>
      <c r="ETG10" s="413"/>
      <c r="ETH10" s="514"/>
      <c r="ETI10" s="515"/>
      <c r="ETJ10" s="515"/>
      <c r="ETK10" s="515"/>
      <c r="ETL10" s="515"/>
      <c r="ETM10" s="515"/>
      <c r="ETN10" s="515"/>
      <c r="ETO10" s="515"/>
      <c r="ETP10" s="515"/>
      <c r="ETQ10" s="515"/>
      <c r="ETR10" s="413"/>
      <c r="ETS10" s="413"/>
      <c r="ETT10" s="413"/>
      <c r="ETU10" s="413"/>
      <c r="ETV10" s="413"/>
      <c r="ETW10" s="413"/>
      <c r="ETX10" s="413"/>
      <c r="ETY10" s="413"/>
      <c r="ETZ10" s="413"/>
      <c r="EUA10" s="413"/>
      <c r="EUB10" s="413"/>
      <c r="EUC10" s="514"/>
      <c r="EUD10" s="515"/>
      <c r="EUE10" s="515"/>
      <c r="EUF10" s="515"/>
      <c r="EUG10" s="515"/>
      <c r="EUH10" s="515"/>
      <c r="EUI10" s="515"/>
      <c r="EUJ10" s="515"/>
      <c r="EUK10" s="515"/>
      <c r="EUL10" s="515"/>
      <c r="EUM10" s="413"/>
      <c r="EUN10" s="413"/>
      <c r="EUO10" s="413"/>
      <c r="EUP10" s="413"/>
      <c r="EUQ10" s="413"/>
      <c r="EUR10" s="413"/>
      <c r="EUS10" s="413"/>
      <c r="EUT10" s="413"/>
      <c r="EUU10" s="413"/>
      <c r="EUV10" s="413"/>
      <c r="EUW10" s="413"/>
      <c r="EUX10" s="514"/>
      <c r="EUY10" s="515"/>
      <c r="EUZ10" s="515"/>
      <c r="EVA10" s="515"/>
      <c r="EVB10" s="515"/>
      <c r="EVC10" s="515"/>
      <c r="EVD10" s="515"/>
      <c r="EVE10" s="515"/>
      <c r="EVF10" s="515"/>
      <c r="EVG10" s="515"/>
      <c r="EVH10" s="413"/>
      <c r="EVI10" s="413"/>
      <c r="EVJ10" s="413"/>
      <c r="EVK10" s="413"/>
      <c r="EVL10" s="413"/>
      <c r="EVM10" s="413"/>
      <c r="EVN10" s="413"/>
      <c r="EVO10" s="413"/>
      <c r="EVP10" s="413"/>
      <c r="EVQ10" s="413"/>
      <c r="EVR10" s="413"/>
      <c r="EVS10" s="514"/>
      <c r="EVT10" s="515"/>
      <c r="EVU10" s="515"/>
      <c r="EVV10" s="515"/>
      <c r="EVW10" s="515"/>
      <c r="EVX10" s="515"/>
      <c r="EVY10" s="515"/>
      <c r="EVZ10" s="515"/>
      <c r="EWA10" s="515"/>
      <c r="EWB10" s="515"/>
      <c r="EWC10" s="413"/>
      <c r="EWD10" s="413"/>
      <c r="EWE10" s="413"/>
      <c r="EWF10" s="413"/>
      <c r="EWG10" s="413"/>
      <c r="EWH10" s="413"/>
      <c r="EWI10" s="413"/>
      <c r="EWJ10" s="413"/>
      <c r="EWK10" s="413"/>
      <c r="EWL10" s="413"/>
      <c r="EWM10" s="413"/>
      <c r="EWN10" s="514"/>
      <c r="EWO10" s="515"/>
      <c r="EWP10" s="515"/>
      <c r="EWQ10" s="515"/>
      <c r="EWR10" s="515"/>
      <c r="EWS10" s="515"/>
      <c r="EWT10" s="515"/>
      <c r="EWU10" s="515"/>
      <c r="EWV10" s="515"/>
      <c r="EWW10" s="515"/>
      <c r="EWX10" s="413"/>
      <c r="EWY10" s="413"/>
      <c r="EWZ10" s="413"/>
      <c r="EXA10" s="413"/>
      <c r="EXB10" s="413"/>
      <c r="EXC10" s="413"/>
      <c r="EXD10" s="413"/>
      <c r="EXE10" s="413"/>
      <c r="EXF10" s="413"/>
      <c r="EXG10" s="413"/>
      <c r="EXH10" s="413"/>
      <c r="EXI10" s="514"/>
      <c r="EXJ10" s="515"/>
      <c r="EXK10" s="515"/>
      <c r="EXL10" s="515"/>
      <c r="EXM10" s="515"/>
      <c r="EXN10" s="515"/>
      <c r="EXO10" s="515"/>
      <c r="EXP10" s="515"/>
      <c r="EXQ10" s="515"/>
      <c r="EXR10" s="515"/>
      <c r="EXS10" s="413"/>
      <c r="EXT10" s="413"/>
      <c r="EXU10" s="413"/>
      <c r="EXV10" s="413"/>
      <c r="EXW10" s="413"/>
      <c r="EXX10" s="413"/>
      <c r="EXY10" s="413"/>
      <c r="EXZ10" s="413"/>
      <c r="EYA10" s="413"/>
      <c r="EYB10" s="413"/>
      <c r="EYC10" s="413"/>
      <c r="EYD10" s="514"/>
      <c r="EYE10" s="515"/>
      <c r="EYF10" s="515"/>
      <c r="EYG10" s="515"/>
      <c r="EYH10" s="515"/>
      <c r="EYI10" s="515"/>
      <c r="EYJ10" s="515"/>
      <c r="EYK10" s="515"/>
      <c r="EYL10" s="515"/>
      <c r="EYM10" s="515"/>
      <c r="EYN10" s="413"/>
      <c r="EYO10" s="413"/>
      <c r="EYP10" s="413"/>
      <c r="EYQ10" s="413"/>
      <c r="EYR10" s="413"/>
      <c r="EYS10" s="413"/>
      <c r="EYT10" s="413"/>
      <c r="EYU10" s="413"/>
      <c r="EYV10" s="413"/>
      <c r="EYW10" s="413"/>
      <c r="EYX10" s="413"/>
      <c r="EYY10" s="514"/>
      <c r="EYZ10" s="515"/>
      <c r="EZA10" s="515"/>
      <c r="EZB10" s="515"/>
      <c r="EZC10" s="515"/>
      <c r="EZD10" s="515"/>
      <c r="EZE10" s="515"/>
      <c r="EZF10" s="515"/>
      <c r="EZG10" s="515"/>
      <c r="EZH10" s="515"/>
      <c r="EZI10" s="413"/>
      <c r="EZJ10" s="413"/>
      <c r="EZK10" s="413"/>
      <c r="EZL10" s="413"/>
      <c r="EZM10" s="413"/>
      <c r="EZN10" s="413"/>
      <c r="EZO10" s="413"/>
      <c r="EZP10" s="413"/>
      <c r="EZQ10" s="413"/>
      <c r="EZR10" s="413"/>
      <c r="EZS10" s="413"/>
      <c r="EZT10" s="514"/>
      <c r="EZU10" s="515"/>
      <c r="EZV10" s="515"/>
      <c r="EZW10" s="515"/>
      <c r="EZX10" s="515"/>
      <c r="EZY10" s="515"/>
      <c r="EZZ10" s="515"/>
      <c r="FAA10" s="515"/>
      <c r="FAB10" s="515"/>
      <c r="FAC10" s="515"/>
      <c r="FAD10" s="413"/>
      <c r="FAE10" s="413"/>
      <c r="FAF10" s="413"/>
      <c r="FAG10" s="413"/>
      <c r="FAH10" s="413"/>
      <c r="FAI10" s="413"/>
      <c r="FAJ10" s="413"/>
      <c r="FAK10" s="413"/>
      <c r="FAL10" s="413"/>
      <c r="FAM10" s="413"/>
      <c r="FAN10" s="413"/>
      <c r="FAO10" s="514"/>
      <c r="FAP10" s="515"/>
      <c r="FAQ10" s="515"/>
      <c r="FAR10" s="515"/>
      <c r="FAS10" s="515"/>
      <c r="FAT10" s="515"/>
      <c r="FAU10" s="515"/>
      <c r="FAV10" s="515"/>
      <c r="FAW10" s="515"/>
      <c r="FAX10" s="515"/>
      <c r="FAY10" s="413"/>
      <c r="FAZ10" s="413"/>
      <c r="FBA10" s="413"/>
      <c r="FBB10" s="413"/>
      <c r="FBC10" s="413"/>
      <c r="FBD10" s="413"/>
      <c r="FBE10" s="413"/>
      <c r="FBF10" s="413"/>
      <c r="FBG10" s="413"/>
      <c r="FBH10" s="413"/>
      <c r="FBI10" s="413"/>
      <c r="FBJ10" s="514"/>
      <c r="FBK10" s="515"/>
      <c r="FBL10" s="515"/>
      <c r="FBM10" s="515"/>
      <c r="FBN10" s="515"/>
      <c r="FBO10" s="515"/>
      <c r="FBP10" s="515"/>
      <c r="FBQ10" s="515"/>
      <c r="FBR10" s="515"/>
      <c r="FBS10" s="515"/>
      <c r="FBT10" s="413"/>
      <c r="FBU10" s="413"/>
      <c r="FBV10" s="413"/>
      <c r="FBW10" s="413"/>
      <c r="FBX10" s="413"/>
      <c r="FBY10" s="413"/>
      <c r="FBZ10" s="413"/>
      <c r="FCA10" s="413"/>
      <c r="FCB10" s="413"/>
      <c r="FCC10" s="413"/>
      <c r="FCD10" s="413"/>
      <c r="FCE10" s="514"/>
      <c r="FCF10" s="515"/>
      <c r="FCG10" s="515"/>
      <c r="FCH10" s="515"/>
      <c r="FCI10" s="515"/>
      <c r="FCJ10" s="515"/>
      <c r="FCK10" s="515"/>
      <c r="FCL10" s="515"/>
      <c r="FCM10" s="515"/>
      <c r="FCN10" s="515"/>
      <c r="FCO10" s="413"/>
      <c r="FCP10" s="413"/>
      <c r="FCQ10" s="413"/>
      <c r="FCR10" s="413"/>
      <c r="FCS10" s="413"/>
      <c r="FCT10" s="413"/>
      <c r="FCU10" s="413"/>
      <c r="FCV10" s="413"/>
      <c r="FCW10" s="413"/>
      <c r="FCX10" s="413"/>
      <c r="FCY10" s="413"/>
      <c r="FCZ10" s="514"/>
      <c r="FDA10" s="515"/>
      <c r="FDB10" s="515"/>
      <c r="FDC10" s="515"/>
      <c r="FDD10" s="515"/>
      <c r="FDE10" s="515"/>
      <c r="FDF10" s="515"/>
      <c r="FDG10" s="515"/>
      <c r="FDH10" s="515"/>
      <c r="FDI10" s="515"/>
      <c r="FDJ10" s="413"/>
      <c r="FDK10" s="413"/>
      <c r="FDL10" s="413"/>
      <c r="FDM10" s="413"/>
      <c r="FDN10" s="413"/>
      <c r="FDO10" s="413"/>
      <c r="FDP10" s="413"/>
      <c r="FDQ10" s="413"/>
      <c r="FDR10" s="413"/>
      <c r="FDS10" s="413"/>
      <c r="FDT10" s="413"/>
      <c r="FDU10" s="514"/>
      <c r="FDV10" s="515"/>
      <c r="FDW10" s="515"/>
      <c r="FDX10" s="515"/>
      <c r="FDY10" s="515"/>
      <c r="FDZ10" s="515"/>
      <c r="FEA10" s="515"/>
      <c r="FEB10" s="515"/>
      <c r="FEC10" s="515"/>
      <c r="FED10" s="515"/>
      <c r="FEE10" s="413"/>
      <c r="FEF10" s="413"/>
      <c r="FEG10" s="413"/>
      <c r="FEH10" s="413"/>
      <c r="FEI10" s="413"/>
      <c r="FEJ10" s="413"/>
      <c r="FEK10" s="413"/>
      <c r="FEL10" s="413"/>
      <c r="FEM10" s="413"/>
      <c r="FEN10" s="413"/>
      <c r="FEO10" s="413"/>
      <c r="FEP10" s="514"/>
      <c r="FEQ10" s="515"/>
      <c r="FER10" s="515"/>
      <c r="FES10" s="515"/>
      <c r="FET10" s="515"/>
      <c r="FEU10" s="515"/>
      <c r="FEV10" s="515"/>
      <c r="FEW10" s="515"/>
      <c r="FEX10" s="515"/>
      <c r="FEY10" s="515"/>
      <c r="FEZ10" s="413"/>
      <c r="FFA10" s="413"/>
      <c r="FFB10" s="413"/>
      <c r="FFC10" s="413"/>
      <c r="FFD10" s="413"/>
      <c r="FFE10" s="413"/>
      <c r="FFF10" s="413"/>
      <c r="FFG10" s="413"/>
      <c r="FFH10" s="413"/>
      <c r="FFI10" s="413"/>
      <c r="FFJ10" s="413"/>
      <c r="FFK10" s="514"/>
      <c r="FFL10" s="515"/>
      <c r="FFM10" s="515"/>
      <c r="FFN10" s="515"/>
      <c r="FFO10" s="515"/>
      <c r="FFP10" s="515"/>
      <c r="FFQ10" s="515"/>
      <c r="FFR10" s="515"/>
      <c r="FFS10" s="515"/>
      <c r="FFT10" s="515"/>
      <c r="FFU10" s="413"/>
      <c r="FFV10" s="413"/>
      <c r="FFW10" s="413"/>
      <c r="FFX10" s="413"/>
      <c r="FFY10" s="413"/>
      <c r="FFZ10" s="413"/>
      <c r="FGA10" s="413"/>
      <c r="FGB10" s="413"/>
      <c r="FGC10" s="413"/>
      <c r="FGD10" s="413"/>
      <c r="FGE10" s="413"/>
      <c r="FGF10" s="514"/>
      <c r="FGG10" s="515"/>
      <c r="FGH10" s="515"/>
      <c r="FGI10" s="515"/>
      <c r="FGJ10" s="515"/>
      <c r="FGK10" s="515"/>
      <c r="FGL10" s="515"/>
      <c r="FGM10" s="515"/>
      <c r="FGN10" s="515"/>
      <c r="FGO10" s="515"/>
      <c r="FGP10" s="413"/>
      <c r="FGQ10" s="413"/>
      <c r="FGR10" s="413"/>
      <c r="FGS10" s="413"/>
      <c r="FGT10" s="413"/>
      <c r="FGU10" s="413"/>
      <c r="FGV10" s="413"/>
      <c r="FGW10" s="413"/>
      <c r="FGX10" s="413"/>
      <c r="FGY10" s="413"/>
      <c r="FGZ10" s="413"/>
      <c r="FHA10" s="514"/>
      <c r="FHB10" s="515"/>
      <c r="FHC10" s="515"/>
      <c r="FHD10" s="515"/>
      <c r="FHE10" s="515"/>
      <c r="FHF10" s="515"/>
      <c r="FHG10" s="515"/>
      <c r="FHH10" s="515"/>
      <c r="FHI10" s="515"/>
      <c r="FHJ10" s="515"/>
      <c r="FHK10" s="413"/>
      <c r="FHL10" s="413"/>
      <c r="FHM10" s="413"/>
      <c r="FHN10" s="413"/>
      <c r="FHO10" s="413"/>
      <c r="FHP10" s="413"/>
      <c r="FHQ10" s="413"/>
      <c r="FHR10" s="413"/>
      <c r="FHS10" s="413"/>
      <c r="FHT10" s="413"/>
      <c r="FHU10" s="413"/>
      <c r="FHV10" s="514"/>
      <c r="FHW10" s="515"/>
      <c r="FHX10" s="515"/>
      <c r="FHY10" s="515"/>
      <c r="FHZ10" s="515"/>
      <c r="FIA10" s="515"/>
      <c r="FIB10" s="515"/>
      <c r="FIC10" s="515"/>
      <c r="FID10" s="515"/>
      <c r="FIE10" s="515"/>
      <c r="FIF10" s="413"/>
      <c r="FIG10" s="413"/>
      <c r="FIH10" s="413"/>
      <c r="FII10" s="413"/>
      <c r="FIJ10" s="413"/>
      <c r="FIK10" s="413"/>
      <c r="FIL10" s="413"/>
      <c r="FIM10" s="413"/>
      <c r="FIN10" s="413"/>
      <c r="FIO10" s="413"/>
      <c r="FIP10" s="413"/>
      <c r="FIQ10" s="514"/>
      <c r="FIR10" s="515"/>
      <c r="FIS10" s="515"/>
      <c r="FIT10" s="515"/>
      <c r="FIU10" s="515"/>
      <c r="FIV10" s="515"/>
      <c r="FIW10" s="515"/>
      <c r="FIX10" s="515"/>
      <c r="FIY10" s="515"/>
      <c r="FIZ10" s="515"/>
      <c r="FJA10" s="413"/>
      <c r="FJB10" s="413"/>
      <c r="FJC10" s="413"/>
      <c r="FJD10" s="413"/>
      <c r="FJE10" s="413"/>
      <c r="FJF10" s="413"/>
      <c r="FJG10" s="413"/>
      <c r="FJH10" s="413"/>
      <c r="FJI10" s="413"/>
      <c r="FJJ10" s="413"/>
      <c r="FJK10" s="413"/>
      <c r="FJL10" s="514"/>
      <c r="FJM10" s="515"/>
      <c r="FJN10" s="515"/>
      <c r="FJO10" s="515"/>
      <c r="FJP10" s="515"/>
      <c r="FJQ10" s="515"/>
      <c r="FJR10" s="515"/>
      <c r="FJS10" s="515"/>
      <c r="FJT10" s="515"/>
      <c r="FJU10" s="515"/>
      <c r="FJV10" s="413"/>
      <c r="FJW10" s="413"/>
      <c r="FJX10" s="413"/>
      <c r="FJY10" s="413"/>
      <c r="FJZ10" s="413"/>
      <c r="FKA10" s="413"/>
      <c r="FKB10" s="413"/>
      <c r="FKC10" s="413"/>
      <c r="FKD10" s="413"/>
      <c r="FKE10" s="413"/>
      <c r="FKF10" s="413"/>
      <c r="FKG10" s="514"/>
      <c r="FKH10" s="515"/>
      <c r="FKI10" s="515"/>
      <c r="FKJ10" s="515"/>
      <c r="FKK10" s="515"/>
      <c r="FKL10" s="515"/>
      <c r="FKM10" s="515"/>
      <c r="FKN10" s="515"/>
      <c r="FKO10" s="515"/>
      <c r="FKP10" s="515"/>
      <c r="FKQ10" s="413"/>
      <c r="FKR10" s="413"/>
      <c r="FKS10" s="413"/>
      <c r="FKT10" s="413"/>
      <c r="FKU10" s="413"/>
      <c r="FKV10" s="413"/>
      <c r="FKW10" s="413"/>
      <c r="FKX10" s="413"/>
      <c r="FKY10" s="413"/>
      <c r="FKZ10" s="413"/>
      <c r="FLA10" s="413"/>
      <c r="FLB10" s="514"/>
      <c r="FLC10" s="515"/>
      <c r="FLD10" s="515"/>
      <c r="FLE10" s="515"/>
      <c r="FLF10" s="515"/>
      <c r="FLG10" s="515"/>
      <c r="FLH10" s="515"/>
      <c r="FLI10" s="515"/>
      <c r="FLJ10" s="515"/>
      <c r="FLK10" s="515"/>
      <c r="FLL10" s="413"/>
      <c r="FLM10" s="413"/>
      <c r="FLN10" s="413"/>
      <c r="FLO10" s="413"/>
      <c r="FLP10" s="413"/>
      <c r="FLQ10" s="413"/>
      <c r="FLR10" s="413"/>
      <c r="FLS10" s="413"/>
      <c r="FLT10" s="413"/>
      <c r="FLU10" s="413"/>
      <c r="FLV10" s="413"/>
      <c r="FLW10" s="514"/>
      <c r="FLX10" s="515"/>
      <c r="FLY10" s="515"/>
      <c r="FLZ10" s="515"/>
      <c r="FMA10" s="515"/>
      <c r="FMB10" s="515"/>
      <c r="FMC10" s="515"/>
      <c r="FMD10" s="515"/>
      <c r="FME10" s="515"/>
      <c r="FMF10" s="515"/>
      <c r="FMG10" s="413"/>
      <c r="FMH10" s="413"/>
      <c r="FMI10" s="413"/>
      <c r="FMJ10" s="413"/>
      <c r="FMK10" s="413"/>
      <c r="FML10" s="413"/>
      <c r="FMM10" s="413"/>
      <c r="FMN10" s="413"/>
      <c r="FMO10" s="413"/>
      <c r="FMP10" s="413"/>
      <c r="FMQ10" s="413"/>
      <c r="FMR10" s="514"/>
      <c r="FMS10" s="515"/>
      <c r="FMT10" s="515"/>
      <c r="FMU10" s="515"/>
      <c r="FMV10" s="515"/>
      <c r="FMW10" s="515"/>
      <c r="FMX10" s="515"/>
      <c r="FMY10" s="515"/>
      <c r="FMZ10" s="515"/>
      <c r="FNA10" s="515"/>
      <c r="FNB10" s="413"/>
      <c r="FNC10" s="413"/>
      <c r="FND10" s="413"/>
      <c r="FNE10" s="413"/>
      <c r="FNF10" s="413"/>
      <c r="FNG10" s="413"/>
      <c r="FNH10" s="413"/>
      <c r="FNI10" s="413"/>
      <c r="FNJ10" s="413"/>
      <c r="FNK10" s="413"/>
      <c r="FNL10" s="413"/>
      <c r="FNM10" s="514"/>
      <c r="FNN10" s="515"/>
      <c r="FNO10" s="515"/>
      <c r="FNP10" s="515"/>
      <c r="FNQ10" s="515"/>
      <c r="FNR10" s="515"/>
      <c r="FNS10" s="515"/>
      <c r="FNT10" s="515"/>
      <c r="FNU10" s="515"/>
      <c r="FNV10" s="515"/>
      <c r="FNW10" s="413"/>
      <c r="FNX10" s="413"/>
      <c r="FNY10" s="413"/>
      <c r="FNZ10" s="413"/>
      <c r="FOA10" s="413"/>
      <c r="FOB10" s="413"/>
      <c r="FOC10" s="413"/>
      <c r="FOD10" s="413"/>
      <c r="FOE10" s="413"/>
      <c r="FOF10" s="413"/>
      <c r="FOG10" s="413"/>
      <c r="FOH10" s="514"/>
      <c r="FOI10" s="515"/>
      <c r="FOJ10" s="515"/>
      <c r="FOK10" s="515"/>
      <c r="FOL10" s="515"/>
      <c r="FOM10" s="515"/>
      <c r="FON10" s="515"/>
      <c r="FOO10" s="515"/>
      <c r="FOP10" s="515"/>
      <c r="FOQ10" s="515"/>
      <c r="FOR10" s="413"/>
      <c r="FOS10" s="413"/>
      <c r="FOT10" s="413"/>
      <c r="FOU10" s="413"/>
      <c r="FOV10" s="413"/>
      <c r="FOW10" s="413"/>
      <c r="FOX10" s="413"/>
      <c r="FOY10" s="413"/>
      <c r="FOZ10" s="413"/>
      <c r="FPA10" s="413"/>
      <c r="FPB10" s="413"/>
      <c r="FPC10" s="514"/>
      <c r="FPD10" s="515"/>
      <c r="FPE10" s="515"/>
      <c r="FPF10" s="515"/>
      <c r="FPG10" s="515"/>
      <c r="FPH10" s="515"/>
      <c r="FPI10" s="515"/>
      <c r="FPJ10" s="515"/>
      <c r="FPK10" s="515"/>
      <c r="FPL10" s="515"/>
      <c r="FPM10" s="413"/>
      <c r="FPN10" s="413"/>
      <c r="FPO10" s="413"/>
      <c r="FPP10" s="413"/>
      <c r="FPQ10" s="413"/>
      <c r="FPR10" s="413"/>
      <c r="FPS10" s="413"/>
      <c r="FPT10" s="413"/>
      <c r="FPU10" s="413"/>
      <c r="FPV10" s="413"/>
      <c r="FPW10" s="413"/>
      <c r="FPX10" s="514"/>
      <c r="FPY10" s="515"/>
      <c r="FPZ10" s="515"/>
      <c r="FQA10" s="515"/>
      <c r="FQB10" s="515"/>
      <c r="FQC10" s="515"/>
      <c r="FQD10" s="515"/>
      <c r="FQE10" s="515"/>
      <c r="FQF10" s="515"/>
      <c r="FQG10" s="515"/>
      <c r="FQH10" s="413"/>
      <c r="FQI10" s="413"/>
      <c r="FQJ10" s="413"/>
      <c r="FQK10" s="413"/>
      <c r="FQL10" s="413"/>
      <c r="FQM10" s="413"/>
      <c r="FQN10" s="413"/>
      <c r="FQO10" s="413"/>
      <c r="FQP10" s="413"/>
      <c r="FQQ10" s="413"/>
      <c r="FQR10" s="413"/>
      <c r="FQS10" s="514"/>
      <c r="FQT10" s="515"/>
      <c r="FQU10" s="515"/>
      <c r="FQV10" s="515"/>
      <c r="FQW10" s="515"/>
      <c r="FQX10" s="515"/>
      <c r="FQY10" s="515"/>
      <c r="FQZ10" s="515"/>
      <c r="FRA10" s="515"/>
      <c r="FRB10" s="515"/>
      <c r="FRC10" s="413"/>
      <c r="FRD10" s="413"/>
      <c r="FRE10" s="413"/>
      <c r="FRF10" s="413"/>
      <c r="FRG10" s="413"/>
      <c r="FRH10" s="413"/>
      <c r="FRI10" s="413"/>
      <c r="FRJ10" s="413"/>
      <c r="FRK10" s="413"/>
      <c r="FRL10" s="413"/>
      <c r="FRM10" s="413"/>
      <c r="FRN10" s="514"/>
      <c r="FRO10" s="515"/>
      <c r="FRP10" s="515"/>
      <c r="FRQ10" s="515"/>
      <c r="FRR10" s="515"/>
      <c r="FRS10" s="515"/>
      <c r="FRT10" s="515"/>
      <c r="FRU10" s="515"/>
      <c r="FRV10" s="515"/>
      <c r="FRW10" s="515"/>
      <c r="FRX10" s="413"/>
      <c r="FRY10" s="413"/>
      <c r="FRZ10" s="413"/>
      <c r="FSA10" s="413"/>
      <c r="FSB10" s="413"/>
      <c r="FSC10" s="413"/>
      <c r="FSD10" s="413"/>
      <c r="FSE10" s="413"/>
      <c r="FSF10" s="413"/>
      <c r="FSG10" s="413"/>
      <c r="FSH10" s="413"/>
      <c r="FSI10" s="514"/>
      <c r="FSJ10" s="515"/>
      <c r="FSK10" s="515"/>
      <c r="FSL10" s="515"/>
      <c r="FSM10" s="515"/>
      <c r="FSN10" s="515"/>
      <c r="FSO10" s="515"/>
      <c r="FSP10" s="515"/>
      <c r="FSQ10" s="515"/>
      <c r="FSR10" s="515"/>
      <c r="FSS10" s="413"/>
      <c r="FST10" s="413"/>
      <c r="FSU10" s="413"/>
      <c r="FSV10" s="413"/>
      <c r="FSW10" s="413"/>
      <c r="FSX10" s="413"/>
      <c r="FSY10" s="413"/>
      <c r="FSZ10" s="413"/>
      <c r="FTA10" s="413"/>
      <c r="FTB10" s="413"/>
      <c r="FTC10" s="413"/>
      <c r="FTD10" s="514"/>
      <c r="FTE10" s="515"/>
      <c r="FTF10" s="515"/>
      <c r="FTG10" s="515"/>
      <c r="FTH10" s="515"/>
      <c r="FTI10" s="515"/>
      <c r="FTJ10" s="515"/>
      <c r="FTK10" s="515"/>
      <c r="FTL10" s="515"/>
      <c r="FTM10" s="515"/>
      <c r="FTN10" s="413"/>
      <c r="FTO10" s="413"/>
      <c r="FTP10" s="413"/>
      <c r="FTQ10" s="413"/>
      <c r="FTR10" s="413"/>
      <c r="FTS10" s="413"/>
      <c r="FTT10" s="413"/>
      <c r="FTU10" s="413"/>
      <c r="FTV10" s="413"/>
      <c r="FTW10" s="413"/>
      <c r="FTX10" s="413"/>
      <c r="FTY10" s="514"/>
      <c r="FTZ10" s="515"/>
      <c r="FUA10" s="515"/>
      <c r="FUB10" s="515"/>
      <c r="FUC10" s="515"/>
      <c r="FUD10" s="515"/>
      <c r="FUE10" s="515"/>
      <c r="FUF10" s="515"/>
      <c r="FUG10" s="515"/>
      <c r="FUH10" s="515"/>
      <c r="FUI10" s="413"/>
      <c r="FUJ10" s="413"/>
      <c r="FUK10" s="413"/>
      <c r="FUL10" s="413"/>
      <c r="FUM10" s="413"/>
      <c r="FUN10" s="413"/>
      <c r="FUO10" s="413"/>
      <c r="FUP10" s="413"/>
      <c r="FUQ10" s="413"/>
      <c r="FUR10" s="413"/>
      <c r="FUS10" s="413"/>
      <c r="FUT10" s="514"/>
      <c r="FUU10" s="515"/>
      <c r="FUV10" s="515"/>
      <c r="FUW10" s="515"/>
      <c r="FUX10" s="515"/>
      <c r="FUY10" s="515"/>
      <c r="FUZ10" s="515"/>
      <c r="FVA10" s="515"/>
      <c r="FVB10" s="515"/>
      <c r="FVC10" s="515"/>
      <c r="FVD10" s="413"/>
      <c r="FVE10" s="413"/>
      <c r="FVF10" s="413"/>
      <c r="FVG10" s="413"/>
      <c r="FVH10" s="413"/>
      <c r="FVI10" s="413"/>
      <c r="FVJ10" s="413"/>
      <c r="FVK10" s="413"/>
      <c r="FVL10" s="413"/>
      <c r="FVM10" s="413"/>
      <c r="FVN10" s="413"/>
      <c r="FVO10" s="514"/>
      <c r="FVP10" s="515"/>
      <c r="FVQ10" s="515"/>
      <c r="FVR10" s="515"/>
      <c r="FVS10" s="515"/>
      <c r="FVT10" s="515"/>
      <c r="FVU10" s="515"/>
      <c r="FVV10" s="515"/>
      <c r="FVW10" s="515"/>
      <c r="FVX10" s="515"/>
      <c r="FVY10" s="413"/>
      <c r="FVZ10" s="413"/>
      <c r="FWA10" s="413"/>
      <c r="FWB10" s="413"/>
      <c r="FWC10" s="413"/>
      <c r="FWD10" s="413"/>
      <c r="FWE10" s="413"/>
      <c r="FWF10" s="413"/>
      <c r="FWG10" s="413"/>
      <c r="FWH10" s="413"/>
      <c r="FWI10" s="413"/>
      <c r="FWJ10" s="514"/>
      <c r="FWK10" s="515"/>
      <c r="FWL10" s="515"/>
      <c r="FWM10" s="515"/>
      <c r="FWN10" s="515"/>
      <c r="FWO10" s="515"/>
      <c r="FWP10" s="515"/>
      <c r="FWQ10" s="515"/>
      <c r="FWR10" s="515"/>
      <c r="FWS10" s="515"/>
      <c r="FWT10" s="413"/>
      <c r="FWU10" s="413"/>
      <c r="FWV10" s="413"/>
      <c r="FWW10" s="413"/>
      <c r="FWX10" s="413"/>
      <c r="FWY10" s="413"/>
      <c r="FWZ10" s="413"/>
      <c r="FXA10" s="413"/>
      <c r="FXB10" s="413"/>
      <c r="FXC10" s="413"/>
      <c r="FXD10" s="413"/>
      <c r="FXE10" s="514"/>
      <c r="FXF10" s="515"/>
      <c r="FXG10" s="515"/>
      <c r="FXH10" s="515"/>
      <c r="FXI10" s="515"/>
      <c r="FXJ10" s="515"/>
      <c r="FXK10" s="515"/>
      <c r="FXL10" s="515"/>
      <c r="FXM10" s="515"/>
      <c r="FXN10" s="515"/>
      <c r="FXO10" s="413"/>
      <c r="FXP10" s="413"/>
      <c r="FXQ10" s="413"/>
      <c r="FXR10" s="413"/>
      <c r="FXS10" s="413"/>
      <c r="FXT10" s="413"/>
      <c r="FXU10" s="413"/>
      <c r="FXV10" s="413"/>
      <c r="FXW10" s="413"/>
      <c r="FXX10" s="413"/>
      <c r="FXY10" s="413"/>
      <c r="FXZ10" s="514"/>
      <c r="FYA10" s="515"/>
      <c r="FYB10" s="515"/>
      <c r="FYC10" s="515"/>
      <c r="FYD10" s="515"/>
      <c r="FYE10" s="515"/>
      <c r="FYF10" s="515"/>
      <c r="FYG10" s="515"/>
      <c r="FYH10" s="515"/>
      <c r="FYI10" s="515"/>
      <c r="FYJ10" s="413"/>
      <c r="FYK10" s="413"/>
      <c r="FYL10" s="413"/>
      <c r="FYM10" s="413"/>
      <c r="FYN10" s="413"/>
      <c r="FYO10" s="413"/>
      <c r="FYP10" s="413"/>
      <c r="FYQ10" s="413"/>
      <c r="FYR10" s="413"/>
      <c r="FYS10" s="413"/>
      <c r="FYT10" s="413"/>
      <c r="FYU10" s="514"/>
      <c r="FYV10" s="515"/>
      <c r="FYW10" s="515"/>
      <c r="FYX10" s="515"/>
      <c r="FYY10" s="515"/>
      <c r="FYZ10" s="515"/>
      <c r="FZA10" s="515"/>
      <c r="FZB10" s="515"/>
      <c r="FZC10" s="515"/>
      <c r="FZD10" s="515"/>
      <c r="FZE10" s="413"/>
      <c r="FZF10" s="413"/>
      <c r="FZG10" s="413"/>
      <c r="FZH10" s="413"/>
      <c r="FZI10" s="413"/>
      <c r="FZJ10" s="413"/>
      <c r="FZK10" s="413"/>
      <c r="FZL10" s="413"/>
      <c r="FZM10" s="413"/>
      <c r="FZN10" s="413"/>
      <c r="FZO10" s="413"/>
      <c r="FZP10" s="514"/>
      <c r="FZQ10" s="515"/>
      <c r="FZR10" s="515"/>
      <c r="FZS10" s="515"/>
      <c r="FZT10" s="515"/>
      <c r="FZU10" s="515"/>
      <c r="FZV10" s="515"/>
      <c r="FZW10" s="515"/>
      <c r="FZX10" s="515"/>
      <c r="FZY10" s="515"/>
      <c r="FZZ10" s="413"/>
      <c r="GAA10" s="413"/>
      <c r="GAB10" s="413"/>
      <c r="GAC10" s="413"/>
      <c r="GAD10" s="413"/>
      <c r="GAE10" s="413"/>
      <c r="GAF10" s="413"/>
      <c r="GAG10" s="413"/>
      <c r="GAH10" s="413"/>
      <c r="GAI10" s="413"/>
      <c r="GAJ10" s="413"/>
      <c r="GAK10" s="514"/>
      <c r="GAL10" s="515"/>
      <c r="GAM10" s="515"/>
      <c r="GAN10" s="515"/>
      <c r="GAO10" s="515"/>
      <c r="GAP10" s="515"/>
      <c r="GAQ10" s="515"/>
      <c r="GAR10" s="515"/>
      <c r="GAS10" s="515"/>
      <c r="GAT10" s="515"/>
      <c r="GAU10" s="413"/>
      <c r="GAV10" s="413"/>
      <c r="GAW10" s="413"/>
      <c r="GAX10" s="413"/>
      <c r="GAY10" s="413"/>
      <c r="GAZ10" s="413"/>
      <c r="GBA10" s="413"/>
      <c r="GBB10" s="413"/>
      <c r="GBC10" s="413"/>
      <c r="GBD10" s="413"/>
      <c r="GBE10" s="413"/>
      <c r="GBF10" s="514"/>
      <c r="GBG10" s="515"/>
      <c r="GBH10" s="515"/>
      <c r="GBI10" s="515"/>
      <c r="GBJ10" s="515"/>
      <c r="GBK10" s="515"/>
      <c r="GBL10" s="515"/>
      <c r="GBM10" s="515"/>
      <c r="GBN10" s="515"/>
      <c r="GBO10" s="515"/>
      <c r="GBP10" s="413"/>
      <c r="GBQ10" s="413"/>
      <c r="GBR10" s="413"/>
      <c r="GBS10" s="413"/>
      <c r="GBT10" s="413"/>
      <c r="GBU10" s="413"/>
      <c r="GBV10" s="413"/>
      <c r="GBW10" s="413"/>
      <c r="GBX10" s="413"/>
      <c r="GBY10" s="413"/>
      <c r="GBZ10" s="413"/>
      <c r="GCA10" s="514"/>
      <c r="GCB10" s="515"/>
      <c r="GCC10" s="515"/>
      <c r="GCD10" s="515"/>
      <c r="GCE10" s="515"/>
      <c r="GCF10" s="515"/>
      <c r="GCG10" s="515"/>
      <c r="GCH10" s="515"/>
      <c r="GCI10" s="515"/>
      <c r="GCJ10" s="515"/>
      <c r="GCK10" s="413"/>
      <c r="GCL10" s="413"/>
      <c r="GCM10" s="413"/>
      <c r="GCN10" s="413"/>
      <c r="GCO10" s="413"/>
      <c r="GCP10" s="413"/>
      <c r="GCQ10" s="413"/>
      <c r="GCR10" s="413"/>
      <c r="GCS10" s="413"/>
      <c r="GCT10" s="413"/>
      <c r="GCU10" s="413"/>
      <c r="GCV10" s="514"/>
      <c r="GCW10" s="515"/>
      <c r="GCX10" s="515"/>
      <c r="GCY10" s="515"/>
      <c r="GCZ10" s="515"/>
      <c r="GDA10" s="515"/>
      <c r="GDB10" s="515"/>
      <c r="GDC10" s="515"/>
      <c r="GDD10" s="515"/>
      <c r="GDE10" s="515"/>
      <c r="GDF10" s="413"/>
      <c r="GDG10" s="413"/>
      <c r="GDH10" s="413"/>
      <c r="GDI10" s="413"/>
      <c r="GDJ10" s="413"/>
      <c r="GDK10" s="413"/>
      <c r="GDL10" s="413"/>
      <c r="GDM10" s="413"/>
      <c r="GDN10" s="413"/>
      <c r="GDO10" s="413"/>
      <c r="GDP10" s="413"/>
      <c r="GDQ10" s="514"/>
      <c r="GDR10" s="515"/>
      <c r="GDS10" s="515"/>
      <c r="GDT10" s="515"/>
      <c r="GDU10" s="515"/>
      <c r="GDV10" s="515"/>
      <c r="GDW10" s="515"/>
      <c r="GDX10" s="515"/>
      <c r="GDY10" s="515"/>
      <c r="GDZ10" s="515"/>
      <c r="GEA10" s="413"/>
      <c r="GEB10" s="413"/>
      <c r="GEC10" s="413"/>
      <c r="GED10" s="413"/>
      <c r="GEE10" s="413"/>
      <c r="GEF10" s="413"/>
      <c r="GEG10" s="413"/>
      <c r="GEH10" s="413"/>
      <c r="GEI10" s="413"/>
      <c r="GEJ10" s="413"/>
      <c r="GEK10" s="413"/>
      <c r="GEL10" s="514"/>
      <c r="GEM10" s="515"/>
      <c r="GEN10" s="515"/>
      <c r="GEO10" s="515"/>
      <c r="GEP10" s="515"/>
      <c r="GEQ10" s="515"/>
      <c r="GER10" s="515"/>
      <c r="GES10" s="515"/>
      <c r="GET10" s="515"/>
      <c r="GEU10" s="515"/>
      <c r="GEV10" s="413"/>
      <c r="GEW10" s="413"/>
      <c r="GEX10" s="413"/>
      <c r="GEY10" s="413"/>
      <c r="GEZ10" s="413"/>
      <c r="GFA10" s="413"/>
      <c r="GFB10" s="413"/>
      <c r="GFC10" s="413"/>
      <c r="GFD10" s="413"/>
      <c r="GFE10" s="413"/>
      <c r="GFF10" s="413"/>
      <c r="GFG10" s="514"/>
      <c r="GFH10" s="515"/>
      <c r="GFI10" s="515"/>
      <c r="GFJ10" s="515"/>
      <c r="GFK10" s="515"/>
      <c r="GFL10" s="515"/>
      <c r="GFM10" s="515"/>
      <c r="GFN10" s="515"/>
      <c r="GFO10" s="515"/>
      <c r="GFP10" s="515"/>
      <c r="GFQ10" s="413"/>
      <c r="GFR10" s="413"/>
      <c r="GFS10" s="413"/>
      <c r="GFT10" s="413"/>
      <c r="GFU10" s="413"/>
      <c r="GFV10" s="413"/>
      <c r="GFW10" s="413"/>
      <c r="GFX10" s="413"/>
      <c r="GFY10" s="413"/>
      <c r="GFZ10" s="413"/>
      <c r="GGA10" s="413"/>
      <c r="GGB10" s="514"/>
      <c r="GGC10" s="515"/>
      <c r="GGD10" s="515"/>
      <c r="GGE10" s="515"/>
      <c r="GGF10" s="515"/>
      <c r="GGG10" s="515"/>
      <c r="GGH10" s="515"/>
      <c r="GGI10" s="515"/>
      <c r="GGJ10" s="515"/>
      <c r="GGK10" s="515"/>
      <c r="GGL10" s="413"/>
      <c r="GGM10" s="413"/>
      <c r="GGN10" s="413"/>
      <c r="GGO10" s="413"/>
      <c r="GGP10" s="413"/>
      <c r="GGQ10" s="413"/>
      <c r="GGR10" s="413"/>
      <c r="GGS10" s="413"/>
      <c r="GGT10" s="413"/>
      <c r="GGU10" s="413"/>
      <c r="GGV10" s="413"/>
      <c r="GGW10" s="514"/>
      <c r="GGX10" s="515"/>
      <c r="GGY10" s="515"/>
      <c r="GGZ10" s="515"/>
      <c r="GHA10" s="515"/>
      <c r="GHB10" s="515"/>
      <c r="GHC10" s="515"/>
      <c r="GHD10" s="515"/>
      <c r="GHE10" s="515"/>
      <c r="GHF10" s="515"/>
      <c r="GHG10" s="413"/>
      <c r="GHH10" s="413"/>
      <c r="GHI10" s="413"/>
      <c r="GHJ10" s="413"/>
      <c r="GHK10" s="413"/>
      <c r="GHL10" s="413"/>
      <c r="GHM10" s="413"/>
      <c r="GHN10" s="413"/>
      <c r="GHO10" s="413"/>
      <c r="GHP10" s="413"/>
      <c r="GHQ10" s="413"/>
      <c r="GHR10" s="514"/>
      <c r="GHS10" s="515"/>
      <c r="GHT10" s="515"/>
      <c r="GHU10" s="515"/>
      <c r="GHV10" s="515"/>
      <c r="GHW10" s="515"/>
      <c r="GHX10" s="515"/>
      <c r="GHY10" s="515"/>
      <c r="GHZ10" s="515"/>
      <c r="GIA10" s="515"/>
      <c r="GIB10" s="413"/>
      <c r="GIC10" s="413"/>
      <c r="GID10" s="413"/>
      <c r="GIE10" s="413"/>
      <c r="GIF10" s="413"/>
      <c r="GIG10" s="413"/>
      <c r="GIH10" s="413"/>
      <c r="GII10" s="413"/>
      <c r="GIJ10" s="413"/>
      <c r="GIK10" s="413"/>
      <c r="GIL10" s="413"/>
      <c r="GIM10" s="514"/>
      <c r="GIN10" s="515"/>
      <c r="GIO10" s="515"/>
      <c r="GIP10" s="515"/>
      <c r="GIQ10" s="515"/>
      <c r="GIR10" s="515"/>
      <c r="GIS10" s="515"/>
      <c r="GIT10" s="515"/>
      <c r="GIU10" s="515"/>
      <c r="GIV10" s="515"/>
      <c r="GIW10" s="413"/>
      <c r="GIX10" s="413"/>
      <c r="GIY10" s="413"/>
      <c r="GIZ10" s="413"/>
      <c r="GJA10" s="413"/>
      <c r="GJB10" s="413"/>
      <c r="GJC10" s="413"/>
      <c r="GJD10" s="413"/>
      <c r="GJE10" s="413"/>
      <c r="GJF10" s="413"/>
      <c r="GJG10" s="413"/>
      <c r="GJH10" s="514"/>
      <c r="GJI10" s="515"/>
      <c r="GJJ10" s="515"/>
      <c r="GJK10" s="515"/>
      <c r="GJL10" s="515"/>
      <c r="GJM10" s="515"/>
      <c r="GJN10" s="515"/>
      <c r="GJO10" s="515"/>
      <c r="GJP10" s="515"/>
      <c r="GJQ10" s="515"/>
      <c r="GJR10" s="413"/>
      <c r="GJS10" s="413"/>
      <c r="GJT10" s="413"/>
      <c r="GJU10" s="413"/>
      <c r="GJV10" s="413"/>
      <c r="GJW10" s="413"/>
      <c r="GJX10" s="413"/>
      <c r="GJY10" s="413"/>
      <c r="GJZ10" s="413"/>
      <c r="GKA10" s="413"/>
      <c r="GKB10" s="413"/>
      <c r="GKC10" s="514"/>
      <c r="GKD10" s="515"/>
      <c r="GKE10" s="515"/>
      <c r="GKF10" s="515"/>
      <c r="GKG10" s="515"/>
      <c r="GKH10" s="515"/>
      <c r="GKI10" s="515"/>
      <c r="GKJ10" s="515"/>
      <c r="GKK10" s="515"/>
      <c r="GKL10" s="515"/>
      <c r="GKM10" s="413"/>
      <c r="GKN10" s="413"/>
      <c r="GKO10" s="413"/>
      <c r="GKP10" s="413"/>
      <c r="GKQ10" s="413"/>
      <c r="GKR10" s="413"/>
      <c r="GKS10" s="413"/>
      <c r="GKT10" s="413"/>
      <c r="GKU10" s="413"/>
      <c r="GKV10" s="413"/>
      <c r="GKW10" s="413"/>
      <c r="GKX10" s="514"/>
      <c r="GKY10" s="515"/>
      <c r="GKZ10" s="515"/>
      <c r="GLA10" s="515"/>
      <c r="GLB10" s="515"/>
      <c r="GLC10" s="515"/>
      <c r="GLD10" s="515"/>
      <c r="GLE10" s="515"/>
      <c r="GLF10" s="515"/>
      <c r="GLG10" s="515"/>
      <c r="GLH10" s="413"/>
      <c r="GLI10" s="413"/>
      <c r="GLJ10" s="413"/>
      <c r="GLK10" s="413"/>
      <c r="GLL10" s="413"/>
      <c r="GLM10" s="413"/>
      <c r="GLN10" s="413"/>
      <c r="GLO10" s="413"/>
      <c r="GLP10" s="413"/>
      <c r="GLQ10" s="413"/>
      <c r="GLR10" s="413"/>
      <c r="GLS10" s="514"/>
      <c r="GLT10" s="515"/>
      <c r="GLU10" s="515"/>
      <c r="GLV10" s="515"/>
      <c r="GLW10" s="515"/>
      <c r="GLX10" s="515"/>
      <c r="GLY10" s="515"/>
      <c r="GLZ10" s="515"/>
      <c r="GMA10" s="515"/>
      <c r="GMB10" s="515"/>
      <c r="GMC10" s="413"/>
      <c r="GMD10" s="413"/>
      <c r="GME10" s="413"/>
      <c r="GMF10" s="413"/>
      <c r="GMG10" s="413"/>
      <c r="GMH10" s="413"/>
      <c r="GMI10" s="413"/>
      <c r="GMJ10" s="413"/>
      <c r="GMK10" s="413"/>
      <c r="GML10" s="413"/>
      <c r="GMM10" s="413"/>
      <c r="GMN10" s="514"/>
      <c r="GMO10" s="515"/>
      <c r="GMP10" s="515"/>
      <c r="GMQ10" s="515"/>
      <c r="GMR10" s="515"/>
      <c r="GMS10" s="515"/>
      <c r="GMT10" s="515"/>
      <c r="GMU10" s="515"/>
      <c r="GMV10" s="515"/>
      <c r="GMW10" s="515"/>
      <c r="GMX10" s="413"/>
      <c r="GMY10" s="413"/>
      <c r="GMZ10" s="413"/>
      <c r="GNA10" s="413"/>
      <c r="GNB10" s="413"/>
      <c r="GNC10" s="413"/>
      <c r="GND10" s="413"/>
      <c r="GNE10" s="413"/>
      <c r="GNF10" s="413"/>
      <c r="GNG10" s="413"/>
      <c r="GNH10" s="413"/>
      <c r="GNI10" s="514"/>
      <c r="GNJ10" s="515"/>
      <c r="GNK10" s="515"/>
      <c r="GNL10" s="515"/>
      <c r="GNM10" s="515"/>
      <c r="GNN10" s="515"/>
      <c r="GNO10" s="515"/>
      <c r="GNP10" s="515"/>
      <c r="GNQ10" s="515"/>
      <c r="GNR10" s="515"/>
      <c r="GNS10" s="413"/>
      <c r="GNT10" s="413"/>
      <c r="GNU10" s="413"/>
      <c r="GNV10" s="413"/>
      <c r="GNW10" s="413"/>
      <c r="GNX10" s="413"/>
      <c r="GNY10" s="413"/>
      <c r="GNZ10" s="413"/>
      <c r="GOA10" s="413"/>
      <c r="GOB10" s="413"/>
      <c r="GOC10" s="413"/>
      <c r="GOD10" s="514"/>
      <c r="GOE10" s="515"/>
      <c r="GOF10" s="515"/>
      <c r="GOG10" s="515"/>
      <c r="GOH10" s="515"/>
      <c r="GOI10" s="515"/>
      <c r="GOJ10" s="515"/>
      <c r="GOK10" s="515"/>
      <c r="GOL10" s="515"/>
      <c r="GOM10" s="515"/>
      <c r="GON10" s="413"/>
      <c r="GOO10" s="413"/>
      <c r="GOP10" s="413"/>
      <c r="GOQ10" s="413"/>
      <c r="GOR10" s="413"/>
      <c r="GOS10" s="413"/>
      <c r="GOT10" s="413"/>
      <c r="GOU10" s="413"/>
      <c r="GOV10" s="413"/>
      <c r="GOW10" s="413"/>
      <c r="GOX10" s="413"/>
      <c r="GOY10" s="514"/>
      <c r="GOZ10" s="515"/>
      <c r="GPA10" s="515"/>
      <c r="GPB10" s="515"/>
      <c r="GPC10" s="515"/>
      <c r="GPD10" s="515"/>
      <c r="GPE10" s="515"/>
      <c r="GPF10" s="515"/>
      <c r="GPG10" s="515"/>
      <c r="GPH10" s="515"/>
      <c r="GPI10" s="413"/>
      <c r="GPJ10" s="413"/>
      <c r="GPK10" s="413"/>
      <c r="GPL10" s="413"/>
      <c r="GPM10" s="413"/>
      <c r="GPN10" s="413"/>
      <c r="GPO10" s="413"/>
      <c r="GPP10" s="413"/>
      <c r="GPQ10" s="413"/>
      <c r="GPR10" s="413"/>
      <c r="GPS10" s="413"/>
      <c r="GPT10" s="514"/>
      <c r="GPU10" s="515"/>
      <c r="GPV10" s="515"/>
      <c r="GPW10" s="515"/>
      <c r="GPX10" s="515"/>
      <c r="GPY10" s="515"/>
      <c r="GPZ10" s="515"/>
      <c r="GQA10" s="515"/>
      <c r="GQB10" s="515"/>
      <c r="GQC10" s="515"/>
      <c r="GQD10" s="413"/>
      <c r="GQE10" s="413"/>
      <c r="GQF10" s="413"/>
      <c r="GQG10" s="413"/>
      <c r="GQH10" s="413"/>
      <c r="GQI10" s="413"/>
      <c r="GQJ10" s="413"/>
      <c r="GQK10" s="413"/>
      <c r="GQL10" s="413"/>
      <c r="GQM10" s="413"/>
      <c r="GQN10" s="413"/>
      <c r="GQO10" s="514"/>
      <c r="GQP10" s="515"/>
      <c r="GQQ10" s="515"/>
      <c r="GQR10" s="515"/>
      <c r="GQS10" s="515"/>
      <c r="GQT10" s="515"/>
      <c r="GQU10" s="515"/>
      <c r="GQV10" s="515"/>
      <c r="GQW10" s="515"/>
      <c r="GQX10" s="515"/>
      <c r="GQY10" s="413"/>
      <c r="GQZ10" s="413"/>
      <c r="GRA10" s="413"/>
      <c r="GRB10" s="413"/>
      <c r="GRC10" s="413"/>
      <c r="GRD10" s="413"/>
      <c r="GRE10" s="413"/>
      <c r="GRF10" s="413"/>
      <c r="GRG10" s="413"/>
      <c r="GRH10" s="413"/>
      <c r="GRI10" s="413"/>
      <c r="GRJ10" s="514"/>
      <c r="GRK10" s="515"/>
      <c r="GRL10" s="515"/>
      <c r="GRM10" s="515"/>
      <c r="GRN10" s="515"/>
      <c r="GRO10" s="515"/>
      <c r="GRP10" s="515"/>
      <c r="GRQ10" s="515"/>
      <c r="GRR10" s="515"/>
      <c r="GRS10" s="515"/>
      <c r="GRT10" s="413"/>
      <c r="GRU10" s="413"/>
      <c r="GRV10" s="413"/>
      <c r="GRW10" s="413"/>
      <c r="GRX10" s="413"/>
      <c r="GRY10" s="413"/>
      <c r="GRZ10" s="413"/>
      <c r="GSA10" s="413"/>
      <c r="GSB10" s="413"/>
      <c r="GSC10" s="413"/>
      <c r="GSD10" s="413"/>
      <c r="GSE10" s="514"/>
      <c r="GSF10" s="515"/>
      <c r="GSG10" s="515"/>
      <c r="GSH10" s="515"/>
      <c r="GSI10" s="515"/>
      <c r="GSJ10" s="515"/>
      <c r="GSK10" s="515"/>
      <c r="GSL10" s="515"/>
      <c r="GSM10" s="515"/>
      <c r="GSN10" s="515"/>
      <c r="GSO10" s="413"/>
      <c r="GSP10" s="413"/>
      <c r="GSQ10" s="413"/>
      <c r="GSR10" s="413"/>
      <c r="GSS10" s="413"/>
      <c r="GST10" s="413"/>
      <c r="GSU10" s="413"/>
      <c r="GSV10" s="413"/>
      <c r="GSW10" s="413"/>
      <c r="GSX10" s="413"/>
      <c r="GSY10" s="413"/>
      <c r="GSZ10" s="514"/>
      <c r="GTA10" s="515"/>
      <c r="GTB10" s="515"/>
      <c r="GTC10" s="515"/>
      <c r="GTD10" s="515"/>
      <c r="GTE10" s="515"/>
      <c r="GTF10" s="515"/>
      <c r="GTG10" s="515"/>
      <c r="GTH10" s="515"/>
      <c r="GTI10" s="515"/>
      <c r="GTJ10" s="413"/>
      <c r="GTK10" s="413"/>
      <c r="GTL10" s="413"/>
      <c r="GTM10" s="413"/>
      <c r="GTN10" s="413"/>
      <c r="GTO10" s="413"/>
      <c r="GTP10" s="413"/>
      <c r="GTQ10" s="413"/>
      <c r="GTR10" s="413"/>
      <c r="GTS10" s="413"/>
      <c r="GTT10" s="413"/>
      <c r="GTU10" s="514"/>
      <c r="GTV10" s="515"/>
      <c r="GTW10" s="515"/>
      <c r="GTX10" s="515"/>
      <c r="GTY10" s="515"/>
      <c r="GTZ10" s="515"/>
      <c r="GUA10" s="515"/>
      <c r="GUB10" s="515"/>
      <c r="GUC10" s="515"/>
      <c r="GUD10" s="515"/>
      <c r="GUE10" s="413"/>
      <c r="GUF10" s="413"/>
      <c r="GUG10" s="413"/>
      <c r="GUH10" s="413"/>
      <c r="GUI10" s="413"/>
      <c r="GUJ10" s="413"/>
      <c r="GUK10" s="413"/>
      <c r="GUL10" s="413"/>
      <c r="GUM10" s="413"/>
      <c r="GUN10" s="413"/>
      <c r="GUO10" s="413"/>
      <c r="GUP10" s="514"/>
      <c r="GUQ10" s="515"/>
      <c r="GUR10" s="515"/>
      <c r="GUS10" s="515"/>
      <c r="GUT10" s="515"/>
      <c r="GUU10" s="515"/>
      <c r="GUV10" s="515"/>
      <c r="GUW10" s="515"/>
      <c r="GUX10" s="515"/>
      <c r="GUY10" s="515"/>
      <c r="GUZ10" s="413"/>
      <c r="GVA10" s="413"/>
      <c r="GVB10" s="413"/>
      <c r="GVC10" s="413"/>
      <c r="GVD10" s="413"/>
      <c r="GVE10" s="413"/>
      <c r="GVF10" s="413"/>
      <c r="GVG10" s="413"/>
      <c r="GVH10" s="413"/>
      <c r="GVI10" s="413"/>
      <c r="GVJ10" s="413"/>
      <c r="GVK10" s="514"/>
      <c r="GVL10" s="515"/>
      <c r="GVM10" s="515"/>
      <c r="GVN10" s="515"/>
      <c r="GVO10" s="515"/>
      <c r="GVP10" s="515"/>
      <c r="GVQ10" s="515"/>
      <c r="GVR10" s="515"/>
      <c r="GVS10" s="515"/>
      <c r="GVT10" s="515"/>
      <c r="GVU10" s="413"/>
      <c r="GVV10" s="413"/>
      <c r="GVW10" s="413"/>
      <c r="GVX10" s="413"/>
      <c r="GVY10" s="413"/>
      <c r="GVZ10" s="413"/>
      <c r="GWA10" s="413"/>
      <c r="GWB10" s="413"/>
      <c r="GWC10" s="413"/>
      <c r="GWD10" s="413"/>
      <c r="GWE10" s="413"/>
      <c r="GWF10" s="514"/>
      <c r="GWG10" s="515"/>
      <c r="GWH10" s="515"/>
      <c r="GWI10" s="515"/>
      <c r="GWJ10" s="515"/>
      <c r="GWK10" s="515"/>
      <c r="GWL10" s="515"/>
      <c r="GWM10" s="515"/>
      <c r="GWN10" s="515"/>
      <c r="GWO10" s="515"/>
      <c r="GWP10" s="413"/>
      <c r="GWQ10" s="413"/>
      <c r="GWR10" s="413"/>
      <c r="GWS10" s="413"/>
      <c r="GWT10" s="413"/>
      <c r="GWU10" s="413"/>
      <c r="GWV10" s="413"/>
      <c r="GWW10" s="413"/>
      <c r="GWX10" s="413"/>
      <c r="GWY10" s="413"/>
      <c r="GWZ10" s="413"/>
      <c r="GXA10" s="514"/>
      <c r="GXB10" s="515"/>
      <c r="GXC10" s="515"/>
      <c r="GXD10" s="515"/>
      <c r="GXE10" s="515"/>
      <c r="GXF10" s="515"/>
      <c r="GXG10" s="515"/>
      <c r="GXH10" s="515"/>
      <c r="GXI10" s="515"/>
      <c r="GXJ10" s="515"/>
      <c r="GXK10" s="413"/>
      <c r="GXL10" s="413"/>
      <c r="GXM10" s="413"/>
      <c r="GXN10" s="413"/>
      <c r="GXO10" s="413"/>
      <c r="GXP10" s="413"/>
      <c r="GXQ10" s="413"/>
      <c r="GXR10" s="413"/>
      <c r="GXS10" s="413"/>
      <c r="GXT10" s="413"/>
      <c r="GXU10" s="413"/>
      <c r="GXV10" s="514"/>
      <c r="GXW10" s="515"/>
      <c r="GXX10" s="515"/>
      <c r="GXY10" s="515"/>
      <c r="GXZ10" s="515"/>
      <c r="GYA10" s="515"/>
      <c r="GYB10" s="515"/>
      <c r="GYC10" s="515"/>
      <c r="GYD10" s="515"/>
      <c r="GYE10" s="515"/>
      <c r="GYF10" s="413"/>
      <c r="GYG10" s="413"/>
      <c r="GYH10" s="413"/>
      <c r="GYI10" s="413"/>
      <c r="GYJ10" s="413"/>
      <c r="GYK10" s="413"/>
      <c r="GYL10" s="413"/>
      <c r="GYM10" s="413"/>
      <c r="GYN10" s="413"/>
      <c r="GYO10" s="413"/>
      <c r="GYP10" s="413"/>
      <c r="GYQ10" s="514"/>
      <c r="GYR10" s="515"/>
      <c r="GYS10" s="515"/>
      <c r="GYT10" s="515"/>
      <c r="GYU10" s="515"/>
      <c r="GYV10" s="515"/>
      <c r="GYW10" s="515"/>
      <c r="GYX10" s="515"/>
      <c r="GYY10" s="515"/>
      <c r="GYZ10" s="515"/>
      <c r="GZA10" s="413"/>
      <c r="GZB10" s="413"/>
      <c r="GZC10" s="413"/>
      <c r="GZD10" s="413"/>
      <c r="GZE10" s="413"/>
      <c r="GZF10" s="413"/>
      <c r="GZG10" s="413"/>
      <c r="GZH10" s="413"/>
      <c r="GZI10" s="413"/>
      <c r="GZJ10" s="413"/>
      <c r="GZK10" s="413"/>
      <c r="GZL10" s="514"/>
      <c r="GZM10" s="515"/>
      <c r="GZN10" s="515"/>
      <c r="GZO10" s="515"/>
      <c r="GZP10" s="515"/>
      <c r="GZQ10" s="515"/>
      <c r="GZR10" s="515"/>
      <c r="GZS10" s="515"/>
      <c r="GZT10" s="515"/>
      <c r="GZU10" s="515"/>
      <c r="GZV10" s="413"/>
      <c r="GZW10" s="413"/>
      <c r="GZX10" s="413"/>
      <c r="GZY10" s="413"/>
      <c r="GZZ10" s="413"/>
      <c r="HAA10" s="413"/>
      <c r="HAB10" s="413"/>
      <c r="HAC10" s="413"/>
      <c r="HAD10" s="413"/>
      <c r="HAE10" s="413"/>
      <c r="HAF10" s="413"/>
      <c r="HAG10" s="514"/>
      <c r="HAH10" s="515"/>
      <c r="HAI10" s="515"/>
      <c r="HAJ10" s="515"/>
      <c r="HAK10" s="515"/>
      <c r="HAL10" s="515"/>
      <c r="HAM10" s="515"/>
      <c r="HAN10" s="515"/>
      <c r="HAO10" s="515"/>
      <c r="HAP10" s="515"/>
      <c r="HAQ10" s="413"/>
      <c r="HAR10" s="413"/>
      <c r="HAS10" s="413"/>
      <c r="HAT10" s="413"/>
      <c r="HAU10" s="413"/>
      <c r="HAV10" s="413"/>
      <c r="HAW10" s="413"/>
      <c r="HAX10" s="413"/>
      <c r="HAY10" s="413"/>
      <c r="HAZ10" s="413"/>
      <c r="HBA10" s="413"/>
      <c r="HBB10" s="514"/>
      <c r="HBC10" s="515"/>
      <c r="HBD10" s="515"/>
      <c r="HBE10" s="515"/>
      <c r="HBF10" s="515"/>
      <c r="HBG10" s="515"/>
      <c r="HBH10" s="515"/>
      <c r="HBI10" s="515"/>
      <c r="HBJ10" s="515"/>
      <c r="HBK10" s="515"/>
      <c r="HBL10" s="413"/>
      <c r="HBM10" s="413"/>
      <c r="HBN10" s="413"/>
      <c r="HBO10" s="413"/>
      <c r="HBP10" s="413"/>
      <c r="HBQ10" s="413"/>
      <c r="HBR10" s="413"/>
      <c r="HBS10" s="413"/>
      <c r="HBT10" s="413"/>
      <c r="HBU10" s="413"/>
      <c r="HBV10" s="413"/>
      <c r="HBW10" s="514"/>
      <c r="HBX10" s="515"/>
      <c r="HBY10" s="515"/>
      <c r="HBZ10" s="515"/>
      <c r="HCA10" s="515"/>
      <c r="HCB10" s="515"/>
      <c r="HCC10" s="515"/>
      <c r="HCD10" s="515"/>
      <c r="HCE10" s="515"/>
      <c r="HCF10" s="515"/>
      <c r="HCG10" s="413"/>
      <c r="HCH10" s="413"/>
      <c r="HCI10" s="413"/>
      <c r="HCJ10" s="413"/>
      <c r="HCK10" s="413"/>
      <c r="HCL10" s="413"/>
      <c r="HCM10" s="413"/>
      <c r="HCN10" s="413"/>
      <c r="HCO10" s="413"/>
      <c r="HCP10" s="413"/>
      <c r="HCQ10" s="413"/>
      <c r="HCR10" s="514"/>
      <c r="HCS10" s="515"/>
      <c r="HCT10" s="515"/>
      <c r="HCU10" s="515"/>
      <c r="HCV10" s="515"/>
      <c r="HCW10" s="515"/>
      <c r="HCX10" s="515"/>
      <c r="HCY10" s="515"/>
      <c r="HCZ10" s="515"/>
      <c r="HDA10" s="515"/>
      <c r="HDB10" s="413"/>
      <c r="HDC10" s="413"/>
      <c r="HDD10" s="413"/>
      <c r="HDE10" s="413"/>
      <c r="HDF10" s="413"/>
      <c r="HDG10" s="413"/>
      <c r="HDH10" s="413"/>
      <c r="HDI10" s="413"/>
      <c r="HDJ10" s="413"/>
      <c r="HDK10" s="413"/>
      <c r="HDL10" s="413"/>
      <c r="HDM10" s="514"/>
      <c r="HDN10" s="515"/>
      <c r="HDO10" s="515"/>
      <c r="HDP10" s="515"/>
      <c r="HDQ10" s="515"/>
      <c r="HDR10" s="515"/>
      <c r="HDS10" s="515"/>
      <c r="HDT10" s="515"/>
      <c r="HDU10" s="515"/>
      <c r="HDV10" s="515"/>
      <c r="HDW10" s="413"/>
      <c r="HDX10" s="413"/>
      <c r="HDY10" s="413"/>
      <c r="HDZ10" s="413"/>
      <c r="HEA10" s="413"/>
      <c r="HEB10" s="413"/>
      <c r="HEC10" s="413"/>
      <c r="HED10" s="413"/>
      <c r="HEE10" s="413"/>
      <c r="HEF10" s="413"/>
      <c r="HEG10" s="413"/>
      <c r="HEH10" s="514"/>
      <c r="HEI10" s="515"/>
      <c r="HEJ10" s="515"/>
      <c r="HEK10" s="515"/>
      <c r="HEL10" s="515"/>
      <c r="HEM10" s="515"/>
      <c r="HEN10" s="515"/>
      <c r="HEO10" s="515"/>
      <c r="HEP10" s="515"/>
      <c r="HEQ10" s="515"/>
      <c r="HER10" s="413"/>
      <c r="HES10" s="413"/>
      <c r="HET10" s="413"/>
      <c r="HEU10" s="413"/>
      <c r="HEV10" s="413"/>
      <c r="HEW10" s="413"/>
      <c r="HEX10" s="413"/>
      <c r="HEY10" s="413"/>
      <c r="HEZ10" s="413"/>
      <c r="HFA10" s="413"/>
      <c r="HFB10" s="413"/>
      <c r="HFC10" s="514"/>
      <c r="HFD10" s="515"/>
      <c r="HFE10" s="515"/>
      <c r="HFF10" s="515"/>
      <c r="HFG10" s="515"/>
      <c r="HFH10" s="515"/>
      <c r="HFI10" s="515"/>
      <c r="HFJ10" s="515"/>
      <c r="HFK10" s="515"/>
      <c r="HFL10" s="515"/>
      <c r="HFM10" s="413"/>
      <c r="HFN10" s="413"/>
      <c r="HFO10" s="413"/>
      <c r="HFP10" s="413"/>
      <c r="HFQ10" s="413"/>
      <c r="HFR10" s="413"/>
      <c r="HFS10" s="413"/>
      <c r="HFT10" s="413"/>
      <c r="HFU10" s="413"/>
      <c r="HFV10" s="413"/>
      <c r="HFW10" s="413"/>
      <c r="HFX10" s="514"/>
      <c r="HFY10" s="515"/>
      <c r="HFZ10" s="515"/>
      <c r="HGA10" s="515"/>
      <c r="HGB10" s="515"/>
      <c r="HGC10" s="515"/>
      <c r="HGD10" s="515"/>
      <c r="HGE10" s="515"/>
      <c r="HGF10" s="515"/>
      <c r="HGG10" s="515"/>
      <c r="HGH10" s="413"/>
      <c r="HGI10" s="413"/>
      <c r="HGJ10" s="413"/>
      <c r="HGK10" s="413"/>
      <c r="HGL10" s="413"/>
      <c r="HGM10" s="413"/>
      <c r="HGN10" s="413"/>
      <c r="HGO10" s="413"/>
      <c r="HGP10" s="413"/>
      <c r="HGQ10" s="413"/>
      <c r="HGR10" s="413"/>
      <c r="HGS10" s="514"/>
      <c r="HGT10" s="515"/>
      <c r="HGU10" s="515"/>
      <c r="HGV10" s="515"/>
      <c r="HGW10" s="515"/>
      <c r="HGX10" s="515"/>
      <c r="HGY10" s="515"/>
      <c r="HGZ10" s="515"/>
      <c r="HHA10" s="515"/>
      <c r="HHB10" s="515"/>
      <c r="HHC10" s="413"/>
      <c r="HHD10" s="413"/>
      <c r="HHE10" s="413"/>
      <c r="HHF10" s="413"/>
      <c r="HHG10" s="413"/>
      <c r="HHH10" s="413"/>
      <c r="HHI10" s="413"/>
      <c r="HHJ10" s="413"/>
      <c r="HHK10" s="413"/>
      <c r="HHL10" s="413"/>
      <c r="HHM10" s="413"/>
      <c r="HHN10" s="514"/>
      <c r="HHO10" s="515"/>
      <c r="HHP10" s="515"/>
      <c r="HHQ10" s="515"/>
      <c r="HHR10" s="515"/>
      <c r="HHS10" s="515"/>
      <c r="HHT10" s="515"/>
      <c r="HHU10" s="515"/>
      <c r="HHV10" s="515"/>
      <c r="HHW10" s="515"/>
      <c r="HHX10" s="413"/>
      <c r="HHY10" s="413"/>
      <c r="HHZ10" s="413"/>
      <c r="HIA10" s="413"/>
      <c r="HIB10" s="413"/>
      <c r="HIC10" s="413"/>
      <c r="HID10" s="413"/>
      <c r="HIE10" s="413"/>
      <c r="HIF10" s="413"/>
      <c r="HIG10" s="413"/>
      <c r="HIH10" s="413"/>
      <c r="HII10" s="514"/>
      <c r="HIJ10" s="515"/>
      <c r="HIK10" s="515"/>
      <c r="HIL10" s="515"/>
      <c r="HIM10" s="515"/>
      <c r="HIN10" s="515"/>
      <c r="HIO10" s="515"/>
      <c r="HIP10" s="515"/>
      <c r="HIQ10" s="515"/>
      <c r="HIR10" s="515"/>
      <c r="HIS10" s="413"/>
      <c r="HIT10" s="413"/>
      <c r="HIU10" s="413"/>
      <c r="HIV10" s="413"/>
      <c r="HIW10" s="413"/>
      <c r="HIX10" s="413"/>
      <c r="HIY10" s="413"/>
      <c r="HIZ10" s="413"/>
      <c r="HJA10" s="413"/>
      <c r="HJB10" s="413"/>
      <c r="HJC10" s="413"/>
      <c r="HJD10" s="514"/>
      <c r="HJE10" s="515"/>
      <c r="HJF10" s="515"/>
      <c r="HJG10" s="515"/>
      <c r="HJH10" s="515"/>
      <c r="HJI10" s="515"/>
      <c r="HJJ10" s="515"/>
      <c r="HJK10" s="515"/>
      <c r="HJL10" s="515"/>
      <c r="HJM10" s="515"/>
      <c r="HJN10" s="413"/>
      <c r="HJO10" s="413"/>
      <c r="HJP10" s="413"/>
      <c r="HJQ10" s="413"/>
      <c r="HJR10" s="413"/>
      <c r="HJS10" s="413"/>
      <c r="HJT10" s="413"/>
      <c r="HJU10" s="413"/>
      <c r="HJV10" s="413"/>
      <c r="HJW10" s="413"/>
      <c r="HJX10" s="413"/>
      <c r="HJY10" s="514"/>
      <c r="HJZ10" s="515"/>
      <c r="HKA10" s="515"/>
      <c r="HKB10" s="515"/>
      <c r="HKC10" s="515"/>
      <c r="HKD10" s="515"/>
      <c r="HKE10" s="515"/>
      <c r="HKF10" s="515"/>
      <c r="HKG10" s="515"/>
      <c r="HKH10" s="515"/>
      <c r="HKI10" s="413"/>
      <c r="HKJ10" s="413"/>
      <c r="HKK10" s="413"/>
      <c r="HKL10" s="413"/>
      <c r="HKM10" s="413"/>
      <c r="HKN10" s="413"/>
      <c r="HKO10" s="413"/>
      <c r="HKP10" s="413"/>
      <c r="HKQ10" s="413"/>
      <c r="HKR10" s="413"/>
      <c r="HKS10" s="413"/>
      <c r="HKT10" s="514"/>
      <c r="HKU10" s="515"/>
      <c r="HKV10" s="515"/>
      <c r="HKW10" s="515"/>
      <c r="HKX10" s="515"/>
      <c r="HKY10" s="515"/>
      <c r="HKZ10" s="515"/>
      <c r="HLA10" s="515"/>
      <c r="HLB10" s="515"/>
      <c r="HLC10" s="515"/>
      <c r="HLD10" s="413"/>
      <c r="HLE10" s="413"/>
      <c r="HLF10" s="413"/>
      <c r="HLG10" s="413"/>
      <c r="HLH10" s="413"/>
      <c r="HLI10" s="413"/>
      <c r="HLJ10" s="413"/>
      <c r="HLK10" s="413"/>
      <c r="HLL10" s="413"/>
      <c r="HLM10" s="413"/>
      <c r="HLN10" s="413"/>
      <c r="HLO10" s="514"/>
      <c r="HLP10" s="515"/>
      <c r="HLQ10" s="515"/>
      <c r="HLR10" s="515"/>
      <c r="HLS10" s="515"/>
      <c r="HLT10" s="515"/>
      <c r="HLU10" s="515"/>
      <c r="HLV10" s="515"/>
      <c r="HLW10" s="515"/>
      <c r="HLX10" s="515"/>
      <c r="HLY10" s="413"/>
      <c r="HLZ10" s="413"/>
      <c r="HMA10" s="413"/>
      <c r="HMB10" s="413"/>
      <c r="HMC10" s="413"/>
      <c r="HMD10" s="413"/>
      <c r="HME10" s="413"/>
      <c r="HMF10" s="413"/>
      <c r="HMG10" s="413"/>
      <c r="HMH10" s="413"/>
      <c r="HMI10" s="413"/>
      <c r="HMJ10" s="514"/>
      <c r="HMK10" s="515"/>
      <c r="HML10" s="515"/>
      <c r="HMM10" s="515"/>
      <c r="HMN10" s="515"/>
      <c r="HMO10" s="515"/>
      <c r="HMP10" s="515"/>
      <c r="HMQ10" s="515"/>
      <c r="HMR10" s="515"/>
      <c r="HMS10" s="515"/>
      <c r="HMT10" s="413"/>
      <c r="HMU10" s="413"/>
      <c r="HMV10" s="413"/>
      <c r="HMW10" s="413"/>
      <c r="HMX10" s="413"/>
      <c r="HMY10" s="413"/>
      <c r="HMZ10" s="413"/>
      <c r="HNA10" s="413"/>
      <c r="HNB10" s="413"/>
      <c r="HNC10" s="413"/>
      <c r="HND10" s="413"/>
      <c r="HNE10" s="514"/>
      <c r="HNF10" s="515"/>
      <c r="HNG10" s="515"/>
      <c r="HNH10" s="515"/>
      <c r="HNI10" s="515"/>
      <c r="HNJ10" s="515"/>
      <c r="HNK10" s="515"/>
      <c r="HNL10" s="515"/>
      <c r="HNM10" s="515"/>
      <c r="HNN10" s="515"/>
      <c r="HNO10" s="413"/>
      <c r="HNP10" s="413"/>
      <c r="HNQ10" s="413"/>
      <c r="HNR10" s="413"/>
      <c r="HNS10" s="413"/>
      <c r="HNT10" s="413"/>
      <c r="HNU10" s="413"/>
      <c r="HNV10" s="413"/>
      <c r="HNW10" s="413"/>
      <c r="HNX10" s="413"/>
      <c r="HNY10" s="413"/>
      <c r="HNZ10" s="514"/>
      <c r="HOA10" s="515"/>
      <c r="HOB10" s="515"/>
      <c r="HOC10" s="515"/>
      <c r="HOD10" s="515"/>
      <c r="HOE10" s="515"/>
      <c r="HOF10" s="515"/>
      <c r="HOG10" s="515"/>
      <c r="HOH10" s="515"/>
      <c r="HOI10" s="515"/>
      <c r="HOJ10" s="413"/>
      <c r="HOK10" s="413"/>
      <c r="HOL10" s="413"/>
      <c r="HOM10" s="413"/>
      <c r="HON10" s="413"/>
      <c r="HOO10" s="413"/>
      <c r="HOP10" s="413"/>
      <c r="HOQ10" s="413"/>
      <c r="HOR10" s="413"/>
      <c r="HOS10" s="413"/>
      <c r="HOT10" s="413"/>
      <c r="HOU10" s="514"/>
      <c r="HOV10" s="515"/>
      <c r="HOW10" s="515"/>
      <c r="HOX10" s="515"/>
      <c r="HOY10" s="515"/>
      <c r="HOZ10" s="515"/>
      <c r="HPA10" s="515"/>
      <c r="HPB10" s="515"/>
      <c r="HPC10" s="515"/>
      <c r="HPD10" s="515"/>
      <c r="HPE10" s="413"/>
      <c r="HPF10" s="413"/>
      <c r="HPG10" s="413"/>
      <c r="HPH10" s="413"/>
      <c r="HPI10" s="413"/>
      <c r="HPJ10" s="413"/>
      <c r="HPK10" s="413"/>
      <c r="HPL10" s="413"/>
      <c r="HPM10" s="413"/>
      <c r="HPN10" s="413"/>
      <c r="HPO10" s="413"/>
      <c r="HPP10" s="514"/>
      <c r="HPQ10" s="515"/>
      <c r="HPR10" s="515"/>
      <c r="HPS10" s="515"/>
      <c r="HPT10" s="515"/>
      <c r="HPU10" s="515"/>
      <c r="HPV10" s="515"/>
      <c r="HPW10" s="515"/>
      <c r="HPX10" s="515"/>
      <c r="HPY10" s="515"/>
      <c r="HPZ10" s="413"/>
      <c r="HQA10" s="413"/>
      <c r="HQB10" s="413"/>
      <c r="HQC10" s="413"/>
      <c r="HQD10" s="413"/>
      <c r="HQE10" s="413"/>
      <c r="HQF10" s="413"/>
      <c r="HQG10" s="413"/>
      <c r="HQH10" s="413"/>
      <c r="HQI10" s="413"/>
      <c r="HQJ10" s="413"/>
      <c r="HQK10" s="514"/>
      <c r="HQL10" s="515"/>
      <c r="HQM10" s="515"/>
      <c r="HQN10" s="515"/>
      <c r="HQO10" s="515"/>
      <c r="HQP10" s="515"/>
      <c r="HQQ10" s="515"/>
      <c r="HQR10" s="515"/>
      <c r="HQS10" s="515"/>
      <c r="HQT10" s="515"/>
      <c r="HQU10" s="413"/>
      <c r="HQV10" s="413"/>
      <c r="HQW10" s="413"/>
      <c r="HQX10" s="413"/>
      <c r="HQY10" s="413"/>
      <c r="HQZ10" s="413"/>
      <c r="HRA10" s="413"/>
      <c r="HRB10" s="413"/>
      <c r="HRC10" s="413"/>
      <c r="HRD10" s="413"/>
      <c r="HRE10" s="413"/>
      <c r="HRF10" s="514"/>
      <c r="HRG10" s="515"/>
      <c r="HRH10" s="515"/>
      <c r="HRI10" s="515"/>
      <c r="HRJ10" s="515"/>
      <c r="HRK10" s="515"/>
      <c r="HRL10" s="515"/>
      <c r="HRM10" s="515"/>
      <c r="HRN10" s="515"/>
      <c r="HRO10" s="515"/>
      <c r="HRP10" s="413"/>
      <c r="HRQ10" s="413"/>
      <c r="HRR10" s="413"/>
      <c r="HRS10" s="413"/>
      <c r="HRT10" s="413"/>
      <c r="HRU10" s="413"/>
      <c r="HRV10" s="413"/>
      <c r="HRW10" s="413"/>
      <c r="HRX10" s="413"/>
      <c r="HRY10" s="413"/>
      <c r="HRZ10" s="413"/>
      <c r="HSA10" s="514"/>
      <c r="HSB10" s="515"/>
      <c r="HSC10" s="515"/>
      <c r="HSD10" s="515"/>
      <c r="HSE10" s="515"/>
      <c r="HSF10" s="515"/>
      <c r="HSG10" s="515"/>
      <c r="HSH10" s="515"/>
      <c r="HSI10" s="515"/>
      <c r="HSJ10" s="515"/>
      <c r="HSK10" s="413"/>
      <c r="HSL10" s="413"/>
      <c r="HSM10" s="413"/>
      <c r="HSN10" s="413"/>
      <c r="HSO10" s="413"/>
      <c r="HSP10" s="413"/>
      <c r="HSQ10" s="413"/>
      <c r="HSR10" s="413"/>
      <c r="HSS10" s="413"/>
      <c r="HST10" s="413"/>
      <c r="HSU10" s="413"/>
      <c r="HSV10" s="514"/>
      <c r="HSW10" s="515"/>
      <c r="HSX10" s="515"/>
      <c r="HSY10" s="515"/>
      <c r="HSZ10" s="515"/>
      <c r="HTA10" s="515"/>
      <c r="HTB10" s="515"/>
      <c r="HTC10" s="515"/>
      <c r="HTD10" s="515"/>
      <c r="HTE10" s="515"/>
      <c r="HTF10" s="413"/>
      <c r="HTG10" s="413"/>
      <c r="HTH10" s="413"/>
      <c r="HTI10" s="413"/>
      <c r="HTJ10" s="413"/>
      <c r="HTK10" s="413"/>
      <c r="HTL10" s="413"/>
      <c r="HTM10" s="413"/>
      <c r="HTN10" s="413"/>
      <c r="HTO10" s="413"/>
      <c r="HTP10" s="413"/>
      <c r="HTQ10" s="514"/>
      <c r="HTR10" s="515"/>
      <c r="HTS10" s="515"/>
      <c r="HTT10" s="515"/>
      <c r="HTU10" s="515"/>
      <c r="HTV10" s="515"/>
      <c r="HTW10" s="515"/>
      <c r="HTX10" s="515"/>
      <c r="HTY10" s="515"/>
      <c r="HTZ10" s="515"/>
      <c r="HUA10" s="413"/>
      <c r="HUB10" s="413"/>
      <c r="HUC10" s="413"/>
      <c r="HUD10" s="413"/>
      <c r="HUE10" s="413"/>
      <c r="HUF10" s="413"/>
      <c r="HUG10" s="413"/>
      <c r="HUH10" s="413"/>
      <c r="HUI10" s="413"/>
      <c r="HUJ10" s="413"/>
      <c r="HUK10" s="413"/>
      <c r="HUL10" s="514"/>
      <c r="HUM10" s="515"/>
      <c r="HUN10" s="515"/>
      <c r="HUO10" s="515"/>
      <c r="HUP10" s="515"/>
      <c r="HUQ10" s="515"/>
      <c r="HUR10" s="515"/>
      <c r="HUS10" s="515"/>
      <c r="HUT10" s="515"/>
      <c r="HUU10" s="515"/>
      <c r="HUV10" s="413"/>
      <c r="HUW10" s="413"/>
      <c r="HUX10" s="413"/>
      <c r="HUY10" s="413"/>
      <c r="HUZ10" s="413"/>
      <c r="HVA10" s="413"/>
      <c r="HVB10" s="413"/>
      <c r="HVC10" s="413"/>
      <c r="HVD10" s="413"/>
      <c r="HVE10" s="413"/>
      <c r="HVF10" s="413"/>
      <c r="HVG10" s="514"/>
      <c r="HVH10" s="515"/>
      <c r="HVI10" s="515"/>
      <c r="HVJ10" s="515"/>
      <c r="HVK10" s="515"/>
      <c r="HVL10" s="515"/>
      <c r="HVM10" s="515"/>
      <c r="HVN10" s="515"/>
      <c r="HVO10" s="515"/>
      <c r="HVP10" s="515"/>
      <c r="HVQ10" s="413"/>
      <c r="HVR10" s="413"/>
      <c r="HVS10" s="413"/>
      <c r="HVT10" s="413"/>
      <c r="HVU10" s="413"/>
      <c r="HVV10" s="413"/>
      <c r="HVW10" s="413"/>
      <c r="HVX10" s="413"/>
      <c r="HVY10" s="413"/>
      <c r="HVZ10" s="413"/>
      <c r="HWA10" s="413"/>
      <c r="HWB10" s="514"/>
      <c r="HWC10" s="515"/>
      <c r="HWD10" s="515"/>
      <c r="HWE10" s="515"/>
      <c r="HWF10" s="515"/>
      <c r="HWG10" s="515"/>
      <c r="HWH10" s="515"/>
      <c r="HWI10" s="515"/>
      <c r="HWJ10" s="515"/>
      <c r="HWK10" s="515"/>
      <c r="HWL10" s="413"/>
      <c r="HWM10" s="413"/>
      <c r="HWN10" s="413"/>
      <c r="HWO10" s="413"/>
      <c r="HWP10" s="413"/>
      <c r="HWQ10" s="413"/>
      <c r="HWR10" s="413"/>
      <c r="HWS10" s="413"/>
      <c r="HWT10" s="413"/>
      <c r="HWU10" s="413"/>
      <c r="HWV10" s="413"/>
      <c r="HWW10" s="514"/>
      <c r="HWX10" s="515"/>
      <c r="HWY10" s="515"/>
      <c r="HWZ10" s="515"/>
      <c r="HXA10" s="515"/>
      <c r="HXB10" s="515"/>
      <c r="HXC10" s="515"/>
      <c r="HXD10" s="515"/>
      <c r="HXE10" s="515"/>
      <c r="HXF10" s="515"/>
      <c r="HXG10" s="413"/>
      <c r="HXH10" s="413"/>
      <c r="HXI10" s="413"/>
      <c r="HXJ10" s="413"/>
      <c r="HXK10" s="413"/>
      <c r="HXL10" s="413"/>
      <c r="HXM10" s="413"/>
      <c r="HXN10" s="413"/>
      <c r="HXO10" s="413"/>
      <c r="HXP10" s="413"/>
      <c r="HXQ10" s="413"/>
      <c r="HXR10" s="514"/>
      <c r="HXS10" s="515"/>
      <c r="HXT10" s="515"/>
      <c r="HXU10" s="515"/>
      <c r="HXV10" s="515"/>
      <c r="HXW10" s="515"/>
      <c r="HXX10" s="515"/>
      <c r="HXY10" s="515"/>
      <c r="HXZ10" s="515"/>
      <c r="HYA10" s="515"/>
      <c r="HYB10" s="413"/>
      <c r="HYC10" s="413"/>
      <c r="HYD10" s="413"/>
      <c r="HYE10" s="413"/>
      <c r="HYF10" s="413"/>
      <c r="HYG10" s="413"/>
      <c r="HYH10" s="413"/>
      <c r="HYI10" s="413"/>
      <c r="HYJ10" s="413"/>
      <c r="HYK10" s="413"/>
      <c r="HYL10" s="413"/>
      <c r="HYM10" s="514"/>
      <c r="HYN10" s="515"/>
      <c r="HYO10" s="515"/>
      <c r="HYP10" s="515"/>
      <c r="HYQ10" s="515"/>
      <c r="HYR10" s="515"/>
      <c r="HYS10" s="515"/>
      <c r="HYT10" s="515"/>
      <c r="HYU10" s="515"/>
      <c r="HYV10" s="515"/>
      <c r="HYW10" s="413"/>
      <c r="HYX10" s="413"/>
      <c r="HYY10" s="413"/>
      <c r="HYZ10" s="413"/>
      <c r="HZA10" s="413"/>
      <c r="HZB10" s="413"/>
      <c r="HZC10" s="413"/>
      <c r="HZD10" s="413"/>
      <c r="HZE10" s="413"/>
      <c r="HZF10" s="413"/>
      <c r="HZG10" s="413"/>
      <c r="HZH10" s="514"/>
      <c r="HZI10" s="515"/>
      <c r="HZJ10" s="515"/>
      <c r="HZK10" s="515"/>
      <c r="HZL10" s="515"/>
      <c r="HZM10" s="515"/>
      <c r="HZN10" s="515"/>
      <c r="HZO10" s="515"/>
      <c r="HZP10" s="515"/>
      <c r="HZQ10" s="515"/>
      <c r="HZR10" s="413"/>
      <c r="HZS10" s="413"/>
      <c r="HZT10" s="413"/>
      <c r="HZU10" s="413"/>
      <c r="HZV10" s="413"/>
      <c r="HZW10" s="413"/>
      <c r="HZX10" s="413"/>
      <c r="HZY10" s="413"/>
      <c r="HZZ10" s="413"/>
      <c r="IAA10" s="413"/>
      <c r="IAB10" s="413"/>
      <c r="IAC10" s="514"/>
      <c r="IAD10" s="515"/>
      <c r="IAE10" s="515"/>
      <c r="IAF10" s="515"/>
      <c r="IAG10" s="515"/>
      <c r="IAH10" s="515"/>
      <c r="IAI10" s="515"/>
      <c r="IAJ10" s="515"/>
      <c r="IAK10" s="515"/>
      <c r="IAL10" s="515"/>
      <c r="IAM10" s="413"/>
      <c r="IAN10" s="413"/>
      <c r="IAO10" s="413"/>
      <c r="IAP10" s="413"/>
      <c r="IAQ10" s="413"/>
      <c r="IAR10" s="413"/>
      <c r="IAS10" s="413"/>
      <c r="IAT10" s="413"/>
      <c r="IAU10" s="413"/>
      <c r="IAV10" s="413"/>
      <c r="IAW10" s="413"/>
      <c r="IAX10" s="514"/>
      <c r="IAY10" s="515"/>
      <c r="IAZ10" s="515"/>
      <c r="IBA10" s="515"/>
      <c r="IBB10" s="515"/>
      <c r="IBC10" s="515"/>
      <c r="IBD10" s="515"/>
      <c r="IBE10" s="515"/>
      <c r="IBF10" s="515"/>
      <c r="IBG10" s="515"/>
      <c r="IBH10" s="413"/>
      <c r="IBI10" s="413"/>
      <c r="IBJ10" s="413"/>
      <c r="IBK10" s="413"/>
      <c r="IBL10" s="413"/>
      <c r="IBM10" s="413"/>
      <c r="IBN10" s="413"/>
      <c r="IBO10" s="413"/>
      <c r="IBP10" s="413"/>
      <c r="IBQ10" s="413"/>
      <c r="IBR10" s="413"/>
      <c r="IBS10" s="514"/>
      <c r="IBT10" s="515"/>
      <c r="IBU10" s="515"/>
      <c r="IBV10" s="515"/>
      <c r="IBW10" s="515"/>
      <c r="IBX10" s="515"/>
      <c r="IBY10" s="515"/>
      <c r="IBZ10" s="515"/>
      <c r="ICA10" s="515"/>
      <c r="ICB10" s="515"/>
      <c r="ICC10" s="413"/>
      <c r="ICD10" s="413"/>
      <c r="ICE10" s="413"/>
      <c r="ICF10" s="413"/>
      <c r="ICG10" s="413"/>
      <c r="ICH10" s="413"/>
      <c r="ICI10" s="413"/>
      <c r="ICJ10" s="413"/>
      <c r="ICK10" s="413"/>
      <c r="ICL10" s="413"/>
      <c r="ICM10" s="413"/>
      <c r="ICN10" s="514"/>
      <c r="ICO10" s="515"/>
      <c r="ICP10" s="515"/>
      <c r="ICQ10" s="515"/>
      <c r="ICR10" s="515"/>
      <c r="ICS10" s="515"/>
      <c r="ICT10" s="515"/>
      <c r="ICU10" s="515"/>
      <c r="ICV10" s="515"/>
      <c r="ICW10" s="515"/>
      <c r="ICX10" s="413"/>
      <c r="ICY10" s="413"/>
      <c r="ICZ10" s="413"/>
      <c r="IDA10" s="413"/>
      <c r="IDB10" s="413"/>
      <c r="IDC10" s="413"/>
      <c r="IDD10" s="413"/>
      <c r="IDE10" s="413"/>
      <c r="IDF10" s="413"/>
      <c r="IDG10" s="413"/>
      <c r="IDH10" s="413"/>
      <c r="IDI10" s="514"/>
      <c r="IDJ10" s="515"/>
      <c r="IDK10" s="515"/>
      <c r="IDL10" s="515"/>
      <c r="IDM10" s="515"/>
      <c r="IDN10" s="515"/>
      <c r="IDO10" s="515"/>
      <c r="IDP10" s="515"/>
      <c r="IDQ10" s="515"/>
      <c r="IDR10" s="515"/>
      <c r="IDS10" s="413"/>
      <c r="IDT10" s="413"/>
      <c r="IDU10" s="413"/>
      <c r="IDV10" s="413"/>
      <c r="IDW10" s="413"/>
      <c r="IDX10" s="413"/>
      <c r="IDY10" s="413"/>
      <c r="IDZ10" s="413"/>
      <c r="IEA10" s="413"/>
      <c r="IEB10" s="413"/>
      <c r="IEC10" s="413"/>
      <c r="IED10" s="514"/>
      <c r="IEE10" s="515"/>
      <c r="IEF10" s="515"/>
      <c r="IEG10" s="515"/>
      <c r="IEH10" s="515"/>
      <c r="IEI10" s="515"/>
      <c r="IEJ10" s="515"/>
      <c r="IEK10" s="515"/>
      <c r="IEL10" s="515"/>
      <c r="IEM10" s="515"/>
      <c r="IEN10" s="413"/>
      <c r="IEO10" s="413"/>
      <c r="IEP10" s="413"/>
      <c r="IEQ10" s="413"/>
      <c r="IER10" s="413"/>
      <c r="IES10" s="413"/>
      <c r="IET10" s="413"/>
      <c r="IEU10" s="413"/>
      <c r="IEV10" s="413"/>
      <c r="IEW10" s="413"/>
      <c r="IEX10" s="413"/>
      <c r="IEY10" s="514"/>
      <c r="IEZ10" s="515"/>
      <c r="IFA10" s="515"/>
      <c r="IFB10" s="515"/>
      <c r="IFC10" s="515"/>
      <c r="IFD10" s="515"/>
      <c r="IFE10" s="515"/>
      <c r="IFF10" s="515"/>
      <c r="IFG10" s="515"/>
      <c r="IFH10" s="515"/>
      <c r="IFI10" s="413"/>
      <c r="IFJ10" s="413"/>
      <c r="IFK10" s="413"/>
      <c r="IFL10" s="413"/>
      <c r="IFM10" s="413"/>
      <c r="IFN10" s="413"/>
      <c r="IFO10" s="413"/>
      <c r="IFP10" s="413"/>
      <c r="IFQ10" s="413"/>
      <c r="IFR10" s="413"/>
      <c r="IFS10" s="413"/>
      <c r="IFT10" s="514"/>
      <c r="IFU10" s="515"/>
      <c r="IFV10" s="515"/>
      <c r="IFW10" s="515"/>
      <c r="IFX10" s="515"/>
      <c r="IFY10" s="515"/>
      <c r="IFZ10" s="515"/>
      <c r="IGA10" s="515"/>
      <c r="IGB10" s="515"/>
      <c r="IGC10" s="515"/>
      <c r="IGD10" s="413"/>
      <c r="IGE10" s="413"/>
      <c r="IGF10" s="413"/>
      <c r="IGG10" s="413"/>
      <c r="IGH10" s="413"/>
      <c r="IGI10" s="413"/>
      <c r="IGJ10" s="413"/>
      <c r="IGK10" s="413"/>
      <c r="IGL10" s="413"/>
      <c r="IGM10" s="413"/>
      <c r="IGN10" s="413"/>
      <c r="IGO10" s="514"/>
      <c r="IGP10" s="515"/>
      <c r="IGQ10" s="515"/>
      <c r="IGR10" s="515"/>
      <c r="IGS10" s="515"/>
      <c r="IGT10" s="515"/>
      <c r="IGU10" s="515"/>
      <c r="IGV10" s="515"/>
      <c r="IGW10" s="515"/>
      <c r="IGX10" s="515"/>
      <c r="IGY10" s="413"/>
      <c r="IGZ10" s="413"/>
      <c r="IHA10" s="413"/>
      <c r="IHB10" s="413"/>
      <c r="IHC10" s="413"/>
      <c r="IHD10" s="413"/>
      <c r="IHE10" s="413"/>
      <c r="IHF10" s="413"/>
      <c r="IHG10" s="413"/>
      <c r="IHH10" s="413"/>
      <c r="IHI10" s="413"/>
      <c r="IHJ10" s="514"/>
      <c r="IHK10" s="515"/>
      <c r="IHL10" s="515"/>
      <c r="IHM10" s="515"/>
      <c r="IHN10" s="515"/>
      <c r="IHO10" s="515"/>
      <c r="IHP10" s="515"/>
      <c r="IHQ10" s="515"/>
      <c r="IHR10" s="515"/>
      <c r="IHS10" s="515"/>
      <c r="IHT10" s="413"/>
      <c r="IHU10" s="413"/>
      <c r="IHV10" s="413"/>
      <c r="IHW10" s="413"/>
      <c r="IHX10" s="413"/>
      <c r="IHY10" s="413"/>
      <c r="IHZ10" s="413"/>
      <c r="IIA10" s="413"/>
      <c r="IIB10" s="413"/>
      <c r="IIC10" s="413"/>
      <c r="IID10" s="413"/>
      <c r="IIE10" s="514"/>
      <c r="IIF10" s="515"/>
      <c r="IIG10" s="515"/>
      <c r="IIH10" s="515"/>
      <c r="III10" s="515"/>
      <c r="IIJ10" s="515"/>
      <c r="IIK10" s="515"/>
      <c r="IIL10" s="515"/>
      <c r="IIM10" s="515"/>
      <c r="IIN10" s="515"/>
      <c r="IIO10" s="413"/>
      <c r="IIP10" s="413"/>
      <c r="IIQ10" s="413"/>
      <c r="IIR10" s="413"/>
      <c r="IIS10" s="413"/>
      <c r="IIT10" s="413"/>
      <c r="IIU10" s="413"/>
      <c r="IIV10" s="413"/>
      <c r="IIW10" s="413"/>
      <c r="IIX10" s="413"/>
      <c r="IIY10" s="413"/>
      <c r="IIZ10" s="514"/>
      <c r="IJA10" s="515"/>
      <c r="IJB10" s="515"/>
      <c r="IJC10" s="515"/>
      <c r="IJD10" s="515"/>
      <c r="IJE10" s="515"/>
      <c r="IJF10" s="515"/>
      <c r="IJG10" s="515"/>
      <c r="IJH10" s="515"/>
      <c r="IJI10" s="515"/>
      <c r="IJJ10" s="413"/>
      <c r="IJK10" s="413"/>
      <c r="IJL10" s="413"/>
      <c r="IJM10" s="413"/>
      <c r="IJN10" s="413"/>
      <c r="IJO10" s="413"/>
      <c r="IJP10" s="413"/>
      <c r="IJQ10" s="413"/>
      <c r="IJR10" s="413"/>
      <c r="IJS10" s="413"/>
      <c r="IJT10" s="413"/>
      <c r="IJU10" s="514"/>
      <c r="IJV10" s="515"/>
      <c r="IJW10" s="515"/>
      <c r="IJX10" s="515"/>
      <c r="IJY10" s="515"/>
      <c r="IJZ10" s="515"/>
      <c r="IKA10" s="515"/>
      <c r="IKB10" s="515"/>
      <c r="IKC10" s="515"/>
      <c r="IKD10" s="515"/>
      <c r="IKE10" s="413"/>
      <c r="IKF10" s="413"/>
      <c r="IKG10" s="413"/>
      <c r="IKH10" s="413"/>
      <c r="IKI10" s="413"/>
      <c r="IKJ10" s="413"/>
      <c r="IKK10" s="413"/>
      <c r="IKL10" s="413"/>
      <c r="IKM10" s="413"/>
      <c r="IKN10" s="413"/>
      <c r="IKO10" s="413"/>
      <c r="IKP10" s="514"/>
      <c r="IKQ10" s="515"/>
      <c r="IKR10" s="515"/>
      <c r="IKS10" s="515"/>
      <c r="IKT10" s="515"/>
      <c r="IKU10" s="515"/>
      <c r="IKV10" s="515"/>
      <c r="IKW10" s="515"/>
      <c r="IKX10" s="515"/>
      <c r="IKY10" s="515"/>
      <c r="IKZ10" s="413"/>
      <c r="ILA10" s="413"/>
      <c r="ILB10" s="413"/>
      <c r="ILC10" s="413"/>
      <c r="ILD10" s="413"/>
      <c r="ILE10" s="413"/>
      <c r="ILF10" s="413"/>
      <c r="ILG10" s="413"/>
      <c r="ILH10" s="413"/>
      <c r="ILI10" s="413"/>
      <c r="ILJ10" s="413"/>
      <c r="ILK10" s="514"/>
      <c r="ILL10" s="515"/>
      <c r="ILM10" s="515"/>
      <c r="ILN10" s="515"/>
      <c r="ILO10" s="515"/>
      <c r="ILP10" s="515"/>
      <c r="ILQ10" s="515"/>
      <c r="ILR10" s="515"/>
      <c r="ILS10" s="515"/>
      <c r="ILT10" s="515"/>
      <c r="ILU10" s="413"/>
      <c r="ILV10" s="413"/>
      <c r="ILW10" s="413"/>
      <c r="ILX10" s="413"/>
      <c r="ILY10" s="413"/>
      <c r="ILZ10" s="413"/>
      <c r="IMA10" s="413"/>
      <c r="IMB10" s="413"/>
      <c r="IMC10" s="413"/>
      <c r="IMD10" s="413"/>
      <c r="IME10" s="413"/>
      <c r="IMF10" s="514"/>
      <c r="IMG10" s="515"/>
      <c r="IMH10" s="515"/>
      <c r="IMI10" s="515"/>
      <c r="IMJ10" s="515"/>
      <c r="IMK10" s="515"/>
      <c r="IML10" s="515"/>
      <c r="IMM10" s="515"/>
      <c r="IMN10" s="515"/>
      <c r="IMO10" s="515"/>
      <c r="IMP10" s="413"/>
      <c r="IMQ10" s="413"/>
      <c r="IMR10" s="413"/>
      <c r="IMS10" s="413"/>
      <c r="IMT10" s="413"/>
      <c r="IMU10" s="413"/>
      <c r="IMV10" s="413"/>
      <c r="IMW10" s="413"/>
      <c r="IMX10" s="413"/>
      <c r="IMY10" s="413"/>
      <c r="IMZ10" s="413"/>
      <c r="INA10" s="514"/>
      <c r="INB10" s="515"/>
      <c r="INC10" s="515"/>
      <c r="IND10" s="515"/>
      <c r="INE10" s="515"/>
      <c r="INF10" s="515"/>
      <c r="ING10" s="515"/>
      <c r="INH10" s="515"/>
      <c r="INI10" s="515"/>
      <c r="INJ10" s="515"/>
      <c r="INK10" s="413"/>
      <c r="INL10" s="413"/>
      <c r="INM10" s="413"/>
      <c r="INN10" s="413"/>
      <c r="INO10" s="413"/>
      <c r="INP10" s="413"/>
      <c r="INQ10" s="413"/>
      <c r="INR10" s="413"/>
      <c r="INS10" s="413"/>
      <c r="INT10" s="413"/>
      <c r="INU10" s="413"/>
      <c r="INV10" s="514"/>
      <c r="INW10" s="515"/>
      <c r="INX10" s="515"/>
      <c r="INY10" s="515"/>
      <c r="INZ10" s="515"/>
      <c r="IOA10" s="515"/>
      <c r="IOB10" s="515"/>
      <c r="IOC10" s="515"/>
      <c r="IOD10" s="515"/>
      <c r="IOE10" s="515"/>
      <c r="IOF10" s="413"/>
      <c r="IOG10" s="413"/>
      <c r="IOH10" s="413"/>
      <c r="IOI10" s="413"/>
      <c r="IOJ10" s="413"/>
      <c r="IOK10" s="413"/>
      <c r="IOL10" s="413"/>
      <c r="IOM10" s="413"/>
      <c r="ION10" s="413"/>
      <c r="IOO10" s="413"/>
      <c r="IOP10" s="413"/>
      <c r="IOQ10" s="514"/>
      <c r="IOR10" s="515"/>
      <c r="IOS10" s="515"/>
      <c r="IOT10" s="515"/>
      <c r="IOU10" s="515"/>
      <c r="IOV10" s="515"/>
      <c r="IOW10" s="515"/>
      <c r="IOX10" s="515"/>
      <c r="IOY10" s="515"/>
      <c r="IOZ10" s="515"/>
      <c r="IPA10" s="413"/>
      <c r="IPB10" s="413"/>
      <c r="IPC10" s="413"/>
      <c r="IPD10" s="413"/>
      <c r="IPE10" s="413"/>
      <c r="IPF10" s="413"/>
      <c r="IPG10" s="413"/>
      <c r="IPH10" s="413"/>
      <c r="IPI10" s="413"/>
      <c r="IPJ10" s="413"/>
      <c r="IPK10" s="413"/>
      <c r="IPL10" s="514"/>
      <c r="IPM10" s="515"/>
      <c r="IPN10" s="515"/>
      <c r="IPO10" s="515"/>
      <c r="IPP10" s="515"/>
      <c r="IPQ10" s="515"/>
      <c r="IPR10" s="515"/>
      <c r="IPS10" s="515"/>
      <c r="IPT10" s="515"/>
      <c r="IPU10" s="515"/>
      <c r="IPV10" s="413"/>
      <c r="IPW10" s="413"/>
      <c r="IPX10" s="413"/>
      <c r="IPY10" s="413"/>
      <c r="IPZ10" s="413"/>
      <c r="IQA10" s="413"/>
      <c r="IQB10" s="413"/>
      <c r="IQC10" s="413"/>
      <c r="IQD10" s="413"/>
      <c r="IQE10" s="413"/>
      <c r="IQF10" s="413"/>
      <c r="IQG10" s="514"/>
      <c r="IQH10" s="515"/>
      <c r="IQI10" s="515"/>
      <c r="IQJ10" s="515"/>
      <c r="IQK10" s="515"/>
      <c r="IQL10" s="515"/>
      <c r="IQM10" s="515"/>
      <c r="IQN10" s="515"/>
      <c r="IQO10" s="515"/>
      <c r="IQP10" s="515"/>
      <c r="IQQ10" s="413"/>
      <c r="IQR10" s="413"/>
      <c r="IQS10" s="413"/>
      <c r="IQT10" s="413"/>
      <c r="IQU10" s="413"/>
      <c r="IQV10" s="413"/>
      <c r="IQW10" s="413"/>
      <c r="IQX10" s="413"/>
      <c r="IQY10" s="413"/>
      <c r="IQZ10" s="413"/>
      <c r="IRA10" s="413"/>
      <c r="IRB10" s="514"/>
      <c r="IRC10" s="515"/>
      <c r="IRD10" s="515"/>
      <c r="IRE10" s="515"/>
      <c r="IRF10" s="515"/>
      <c r="IRG10" s="515"/>
      <c r="IRH10" s="515"/>
      <c r="IRI10" s="515"/>
      <c r="IRJ10" s="515"/>
      <c r="IRK10" s="515"/>
      <c r="IRL10" s="413"/>
      <c r="IRM10" s="413"/>
      <c r="IRN10" s="413"/>
      <c r="IRO10" s="413"/>
      <c r="IRP10" s="413"/>
      <c r="IRQ10" s="413"/>
      <c r="IRR10" s="413"/>
      <c r="IRS10" s="413"/>
      <c r="IRT10" s="413"/>
      <c r="IRU10" s="413"/>
      <c r="IRV10" s="413"/>
      <c r="IRW10" s="514"/>
      <c r="IRX10" s="515"/>
      <c r="IRY10" s="515"/>
      <c r="IRZ10" s="515"/>
      <c r="ISA10" s="515"/>
      <c r="ISB10" s="515"/>
      <c r="ISC10" s="515"/>
      <c r="ISD10" s="515"/>
      <c r="ISE10" s="515"/>
      <c r="ISF10" s="515"/>
      <c r="ISG10" s="413"/>
      <c r="ISH10" s="413"/>
      <c r="ISI10" s="413"/>
      <c r="ISJ10" s="413"/>
      <c r="ISK10" s="413"/>
      <c r="ISL10" s="413"/>
      <c r="ISM10" s="413"/>
      <c r="ISN10" s="413"/>
      <c r="ISO10" s="413"/>
      <c r="ISP10" s="413"/>
      <c r="ISQ10" s="413"/>
      <c r="ISR10" s="514"/>
      <c r="ISS10" s="515"/>
      <c r="IST10" s="515"/>
      <c r="ISU10" s="515"/>
      <c r="ISV10" s="515"/>
      <c r="ISW10" s="515"/>
      <c r="ISX10" s="515"/>
      <c r="ISY10" s="515"/>
      <c r="ISZ10" s="515"/>
      <c r="ITA10" s="515"/>
      <c r="ITB10" s="413"/>
      <c r="ITC10" s="413"/>
      <c r="ITD10" s="413"/>
      <c r="ITE10" s="413"/>
      <c r="ITF10" s="413"/>
      <c r="ITG10" s="413"/>
      <c r="ITH10" s="413"/>
      <c r="ITI10" s="413"/>
      <c r="ITJ10" s="413"/>
      <c r="ITK10" s="413"/>
      <c r="ITL10" s="413"/>
      <c r="ITM10" s="514"/>
      <c r="ITN10" s="515"/>
      <c r="ITO10" s="515"/>
      <c r="ITP10" s="515"/>
      <c r="ITQ10" s="515"/>
      <c r="ITR10" s="515"/>
      <c r="ITS10" s="515"/>
      <c r="ITT10" s="515"/>
      <c r="ITU10" s="515"/>
      <c r="ITV10" s="515"/>
      <c r="ITW10" s="413"/>
      <c r="ITX10" s="413"/>
      <c r="ITY10" s="413"/>
      <c r="ITZ10" s="413"/>
      <c r="IUA10" s="413"/>
      <c r="IUB10" s="413"/>
      <c r="IUC10" s="413"/>
      <c r="IUD10" s="413"/>
      <c r="IUE10" s="413"/>
      <c r="IUF10" s="413"/>
      <c r="IUG10" s="413"/>
      <c r="IUH10" s="514"/>
      <c r="IUI10" s="515"/>
      <c r="IUJ10" s="515"/>
      <c r="IUK10" s="515"/>
      <c r="IUL10" s="515"/>
      <c r="IUM10" s="515"/>
      <c r="IUN10" s="515"/>
      <c r="IUO10" s="515"/>
      <c r="IUP10" s="515"/>
      <c r="IUQ10" s="515"/>
      <c r="IUR10" s="413"/>
      <c r="IUS10" s="413"/>
      <c r="IUT10" s="413"/>
      <c r="IUU10" s="413"/>
      <c r="IUV10" s="413"/>
      <c r="IUW10" s="413"/>
      <c r="IUX10" s="413"/>
      <c r="IUY10" s="413"/>
      <c r="IUZ10" s="413"/>
      <c r="IVA10" s="413"/>
      <c r="IVB10" s="413"/>
      <c r="IVC10" s="514"/>
      <c r="IVD10" s="515"/>
      <c r="IVE10" s="515"/>
      <c r="IVF10" s="515"/>
      <c r="IVG10" s="515"/>
      <c r="IVH10" s="515"/>
      <c r="IVI10" s="515"/>
      <c r="IVJ10" s="515"/>
      <c r="IVK10" s="515"/>
      <c r="IVL10" s="515"/>
      <c r="IVM10" s="413"/>
      <c r="IVN10" s="413"/>
      <c r="IVO10" s="413"/>
      <c r="IVP10" s="413"/>
      <c r="IVQ10" s="413"/>
      <c r="IVR10" s="413"/>
      <c r="IVS10" s="413"/>
      <c r="IVT10" s="413"/>
      <c r="IVU10" s="413"/>
      <c r="IVV10" s="413"/>
      <c r="IVW10" s="413"/>
      <c r="IVX10" s="514"/>
      <c r="IVY10" s="515"/>
      <c r="IVZ10" s="515"/>
      <c r="IWA10" s="515"/>
      <c r="IWB10" s="515"/>
      <c r="IWC10" s="515"/>
      <c r="IWD10" s="515"/>
      <c r="IWE10" s="515"/>
      <c r="IWF10" s="515"/>
      <c r="IWG10" s="515"/>
      <c r="IWH10" s="413"/>
      <c r="IWI10" s="413"/>
      <c r="IWJ10" s="413"/>
      <c r="IWK10" s="413"/>
      <c r="IWL10" s="413"/>
      <c r="IWM10" s="413"/>
      <c r="IWN10" s="413"/>
      <c r="IWO10" s="413"/>
      <c r="IWP10" s="413"/>
      <c r="IWQ10" s="413"/>
      <c r="IWR10" s="413"/>
      <c r="IWS10" s="514"/>
      <c r="IWT10" s="515"/>
      <c r="IWU10" s="515"/>
      <c r="IWV10" s="515"/>
      <c r="IWW10" s="515"/>
      <c r="IWX10" s="515"/>
      <c r="IWY10" s="515"/>
      <c r="IWZ10" s="515"/>
      <c r="IXA10" s="515"/>
      <c r="IXB10" s="515"/>
      <c r="IXC10" s="413"/>
      <c r="IXD10" s="413"/>
      <c r="IXE10" s="413"/>
      <c r="IXF10" s="413"/>
      <c r="IXG10" s="413"/>
      <c r="IXH10" s="413"/>
      <c r="IXI10" s="413"/>
      <c r="IXJ10" s="413"/>
      <c r="IXK10" s="413"/>
      <c r="IXL10" s="413"/>
      <c r="IXM10" s="413"/>
      <c r="IXN10" s="514"/>
      <c r="IXO10" s="515"/>
      <c r="IXP10" s="515"/>
      <c r="IXQ10" s="515"/>
      <c r="IXR10" s="515"/>
      <c r="IXS10" s="515"/>
      <c r="IXT10" s="515"/>
      <c r="IXU10" s="515"/>
      <c r="IXV10" s="515"/>
      <c r="IXW10" s="515"/>
      <c r="IXX10" s="413"/>
      <c r="IXY10" s="413"/>
      <c r="IXZ10" s="413"/>
      <c r="IYA10" s="413"/>
      <c r="IYB10" s="413"/>
      <c r="IYC10" s="413"/>
      <c r="IYD10" s="413"/>
      <c r="IYE10" s="413"/>
      <c r="IYF10" s="413"/>
      <c r="IYG10" s="413"/>
      <c r="IYH10" s="413"/>
      <c r="IYI10" s="514"/>
      <c r="IYJ10" s="515"/>
      <c r="IYK10" s="515"/>
      <c r="IYL10" s="515"/>
      <c r="IYM10" s="515"/>
      <c r="IYN10" s="515"/>
      <c r="IYO10" s="515"/>
      <c r="IYP10" s="515"/>
      <c r="IYQ10" s="515"/>
      <c r="IYR10" s="515"/>
      <c r="IYS10" s="413"/>
      <c r="IYT10" s="413"/>
      <c r="IYU10" s="413"/>
      <c r="IYV10" s="413"/>
      <c r="IYW10" s="413"/>
      <c r="IYX10" s="413"/>
      <c r="IYY10" s="413"/>
      <c r="IYZ10" s="413"/>
      <c r="IZA10" s="413"/>
      <c r="IZB10" s="413"/>
      <c r="IZC10" s="413"/>
      <c r="IZD10" s="514"/>
      <c r="IZE10" s="515"/>
      <c r="IZF10" s="515"/>
      <c r="IZG10" s="515"/>
      <c r="IZH10" s="515"/>
      <c r="IZI10" s="515"/>
      <c r="IZJ10" s="515"/>
      <c r="IZK10" s="515"/>
      <c r="IZL10" s="515"/>
      <c r="IZM10" s="515"/>
      <c r="IZN10" s="413"/>
      <c r="IZO10" s="413"/>
      <c r="IZP10" s="413"/>
      <c r="IZQ10" s="413"/>
      <c r="IZR10" s="413"/>
      <c r="IZS10" s="413"/>
      <c r="IZT10" s="413"/>
      <c r="IZU10" s="413"/>
      <c r="IZV10" s="413"/>
      <c r="IZW10" s="413"/>
      <c r="IZX10" s="413"/>
      <c r="IZY10" s="514"/>
      <c r="IZZ10" s="515"/>
      <c r="JAA10" s="515"/>
      <c r="JAB10" s="515"/>
      <c r="JAC10" s="515"/>
      <c r="JAD10" s="515"/>
      <c r="JAE10" s="515"/>
      <c r="JAF10" s="515"/>
      <c r="JAG10" s="515"/>
      <c r="JAH10" s="515"/>
      <c r="JAI10" s="413"/>
      <c r="JAJ10" s="413"/>
      <c r="JAK10" s="413"/>
      <c r="JAL10" s="413"/>
      <c r="JAM10" s="413"/>
      <c r="JAN10" s="413"/>
      <c r="JAO10" s="413"/>
      <c r="JAP10" s="413"/>
      <c r="JAQ10" s="413"/>
      <c r="JAR10" s="413"/>
      <c r="JAS10" s="413"/>
      <c r="JAT10" s="514"/>
      <c r="JAU10" s="515"/>
      <c r="JAV10" s="515"/>
      <c r="JAW10" s="515"/>
      <c r="JAX10" s="515"/>
      <c r="JAY10" s="515"/>
      <c r="JAZ10" s="515"/>
      <c r="JBA10" s="515"/>
      <c r="JBB10" s="515"/>
      <c r="JBC10" s="515"/>
      <c r="JBD10" s="413"/>
      <c r="JBE10" s="413"/>
      <c r="JBF10" s="413"/>
      <c r="JBG10" s="413"/>
      <c r="JBH10" s="413"/>
      <c r="JBI10" s="413"/>
      <c r="JBJ10" s="413"/>
      <c r="JBK10" s="413"/>
      <c r="JBL10" s="413"/>
      <c r="JBM10" s="413"/>
      <c r="JBN10" s="413"/>
      <c r="JBO10" s="514"/>
      <c r="JBP10" s="515"/>
      <c r="JBQ10" s="515"/>
      <c r="JBR10" s="515"/>
      <c r="JBS10" s="515"/>
      <c r="JBT10" s="515"/>
      <c r="JBU10" s="515"/>
      <c r="JBV10" s="515"/>
      <c r="JBW10" s="515"/>
      <c r="JBX10" s="515"/>
      <c r="JBY10" s="413"/>
      <c r="JBZ10" s="413"/>
      <c r="JCA10" s="413"/>
      <c r="JCB10" s="413"/>
      <c r="JCC10" s="413"/>
      <c r="JCD10" s="413"/>
      <c r="JCE10" s="413"/>
      <c r="JCF10" s="413"/>
      <c r="JCG10" s="413"/>
      <c r="JCH10" s="413"/>
      <c r="JCI10" s="413"/>
      <c r="JCJ10" s="514"/>
      <c r="JCK10" s="515"/>
      <c r="JCL10" s="515"/>
      <c r="JCM10" s="515"/>
      <c r="JCN10" s="515"/>
      <c r="JCO10" s="515"/>
      <c r="JCP10" s="515"/>
      <c r="JCQ10" s="515"/>
      <c r="JCR10" s="515"/>
      <c r="JCS10" s="515"/>
      <c r="JCT10" s="413"/>
      <c r="JCU10" s="413"/>
      <c r="JCV10" s="413"/>
      <c r="JCW10" s="413"/>
      <c r="JCX10" s="413"/>
      <c r="JCY10" s="413"/>
      <c r="JCZ10" s="413"/>
      <c r="JDA10" s="413"/>
      <c r="JDB10" s="413"/>
      <c r="JDC10" s="413"/>
      <c r="JDD10" s="413"/>
      <c r="JDE10" s="514"/>
      <c r="JDF10" s="515"/>
      <c r="JDG10" s="515"/>
      <c r="JDH10" s="515"/>
      <c r="JDI10" s="515"/>
      <c r="JDJ10" s="515"/>
      <c r="JDK10" s="515"/>
      <c r="JDL10" s="515"/>
      <c r="JDM10" s="515"/>
      <c r="JDN10" s="515"/>
      <c r="JDO10" s="413"/>
      <c r="JDP10" s="413"/>
      <c r="JDQ10" s="413"/>
      <c r="JDR10" s="413"/>
      <c r="JDS10" s="413"/>
      <c r="JDT10" s="413"/>
      <c r="JDU10" s="413"/>
      <c r="JDV10" s="413"/>
      <c r="JDW10" s="413"/>
      <c r="JDX10" s="413"/>
      <c r="JDY10" s="413"/>
      <c r="JDZ10" s="514"/>
      <c r="JEA10" s="515"/>
      <c r="JEB10" s="515"/>
      <c r="JEC10" s="515"/>
      <c r="JED10" s="515"/>
      <c r="JEE10" s="515"/>
      <c r="JEF10" s="515"/>
      <c r="JEG10" s="515"/>
      <c r="JEH10" s="515"/>
      <c r="JEI10" s="515"/>
      <c r="JEJ10" s="413"/>
      <c r="JEK10" s="413"/>
      <c r="JEL10" s="413"/>
      <c r="JEM10" s="413"/>
      <c r="JEN10" s="413"/>
      <c r="JEO10" s="413"/>
      <c r="JEP10" s="413"/>
      <c r="JEQ10" s="413"/>
      <c r="JER10" s="413"/>
      <c r="JES10" s="413"/>
      <c r="JET10" s="413"/>
      <c r="JEU10" s="514"/>
      <c r="JEV10" s="515"/>
      <c r="JEW10" s="515"/>
      <c r="JEX10" s="515"/>
      <c r="JEY10" s="515"/>
      <c r="JEZ10" s="515"/>
      <c r="JFA10" s="515"/>
      <c r="JFB10" s="515"/>
      <c r="JFC10" s="515"/>
      <c r="JFD10" s="515"/>
      <c r="JFE10" s="413"/>
      <c r="JFF10" s="413"/>
      <c r="JFG10" s="413"/>
      <c r="JFH10" s="413"/>
      <c r="JFI10" s="413"/>
      <c r="JFJ10" s="413"/>
      <c r="JFK10" s="413"/>
      <c r="JFL10" s="413"/>
      <c r="JFM10" s="413"/>
      <c r="JFN10" s="413"/>
      <c r="JFO10" s="413"/>
      <c r="JFP10" s="514"/>
      <c r="JFQ10" s="515"/>
      <c r="JFR10" s="515"/>
      <c r="JFS10" s="515"/>
      <c r="JFT10" s="515"/>
      <c r="JFU10" s="515"/>
      <c r="JFV10" s="515"/>
      <c r="JFW10" s="515"/>
      <c r="JFX10" s="515"/>
      <c r="JFY10" s="515"/>
      <c r="JFZ10" s="413"/>
      <c r="JGA10" s="413"/>
      <c r="JGB10" s="413"/>
      <c r="JGC10" s="413"/>
      <c r="JGD10" s="413"/>
      <c r="JGE10" s="413"/>
      <c r="JGF10" s="413"/>
      <c r="JGG10" s="413"/>
      <c r="JGH10" s="413"/>
      <c r="JGI10" s="413"/>
      <c r="JGJ10" s="413"/>
      <c r="JGK10" s="514"/>
      <c r="JGL10" s="515"/>
      <c r="JGM10" s="515"/>
      <c r="JGN10" s="515"/>
      <c r="JGO10" s="515"/>
      <c r="JGP10" s="515"/>
      <c r="JGQ10" s="515"/>
      <c r="JGR10" s="515"/>
      <c r="JGS10" s="515"/>
      <c r="JGT10" s="515"/>
      <c r="JGU10" s="413"/>
      <c r="JGV10" s="413"/>
      <c r="JGW10" s="413"/>
      <c r="JGX10" s="413"/>
      <c r="JGY10" s="413"/>
      <c r="JGZ10" s="413"/>
      <c r="JHA10" s="413"/>
      <c r="JHB10" s="413"/>
      <c r="JHC10" s="413"/>
      <c r="JHD10" s="413"/>
      <c r="JHE10" s="413"/>
      <c r="JHF10" s="514"/>
      <c r="JHG10" s="515"/>
      <c r="JHH10" s="515"/>
      <c r="JHI10" s="515"/>
      <c r="JHJ10" s="515"/>
      <c r="JHK10" s="515"/>
      <c r="JHL10" s="515"/>
      <c r="JHM10" s="515"/>
      <c r="JHN10" s="515"/>
      <c r="JHO10" s="515"/>
      <c r="JHP10" s="413"/>
      <c r="JHQ10" s="413"/>
      <c r="JHR10" s="413"/>
      <c r="JHS10" s="413"/>
      <c r="JHT10" s="413"/>
      <c r="JHU10" s="413"/>
      <c r="JHV10" s="413"/>
      <c r="JHW10" s="413"/>
      <c r="JHX10" s="413"/>
      <c r="JHY10" s="413"/>
      <c r="JHZ10" s="413"/>
      <c r="JIA10" s="514"/>
      <c r="JIB10" s="515"/>
      <c r="JIC10" s="515"/>
      <c r="JID10" s="515"/>
      <c r="JIE10" s="515"/>
      <c r="JIF10" s="515"/>
      <c r="JIG10" s="515"/>
      <c r="JIH10" s="515"/>
      <c r="JII10" s="515"/>
      <c r="JIJ10" s="515"/>
      <c r="JIK10" s="413"/>
      <c r="JIL10" s="413"/>
      <c r="JIM10" s="413"/>
      <c r="JIN10" s="413"/>
      <c r="JIO10" s="413"/>
      <c r="JIP10" s="413"/>
      <c r="JIQ10" s="413"/>
      <c r="JIR10" s="413"/>
      <c r="JIS10" s="413"/>
      <c r="JIT10" s="413"/>
      <c r="JIU10" s="413"/>
      <c r="JIV10" s="514"/>
      <c r="JIW10" s="515"/>
      <c r="JIX10" s="515"/>
      <c r="JIY10" s="515"/>
      <c r="JIZ10" s="515"/>
      <c r="JJA10" s="515"/>
      <c r="JJB10" s="515"/>
      <c r="JJC10" s="515"/>
      <c r="JJD10" s="515"/>
      <c r="JJE10" s="515"/>
      <c r="JJF10" s="413"/>
      <c r="JJG10" s="413"/>
      <c r="JJH10" s="413"/>
      <c r="JJI10" s="413"/>
      <c r="JJJ10" s="413"/>
      <c r="JJK10" s="413"/>
      <c r="JJL10" s="413"/>
      <c r="JJM10" s="413"/>
      <c r="JJN10" s="413"/>
      <c r="JJO10" s="413"/>
      <c r="JJP10" s="413"/>
      <c r="JJQ10" s="514"/>
      <c r="JJR10" s="515"/>
      <c r="JJS10" s="515"/>
      <c r="JJT10" s="515"/>
      <c r="JJU10" s="515"/>
      <c r="JJV10" s="515"/>
      <c r="JJW10" s="515"/>
      <c r="JJX10" s="515"/>
      <c r="JJY10" s="515"/>
      <c r="JJZ10" s="515"/>
      <c r="JKA10" s="413"/>
      <c r="JKB10" s="413"/>
      <c r="JKC10" s="413"/>
      <c r="JKD10" s="413"/>
      <c r="JKE10" s="413"/>
      <c r="JKF10" s="413"/>
      <c r="JKG10" s="413"/>
      <c r="JKH10" s="413"/>
      <c r="JKI10" s="413"/>
      <c r="JKJ10" s="413"/>
      <c r="JKK10" s="413"/>
      <c r="JKL10" s="514"/>
      <c r="JKM10" s="515"/>
      <c r="JKN10" s="515"/>
      <c r="JKO10" s="515"/>
      <c r="JKP10" s="515"/>
      <c r="JKQ10" s="515"/>
      <c r="JKR10" s="515"/>
      <c r="JKS10" s="515"/>
      <c r="JKT10" s="515"/>
      <c r="JKU10" s="515"/>
      <c r="JKV10" s="413"/>
      <c r="JKW10" s="413"/>
      <c r="JKX10" s="413"/>
      <c r="JKY10" s="413"/>
      <c r="JKZ10" s="413"/>
      <c r="JLA10" s="413"/>
      <c r="JLB10" s="413"/>
      <c r="JLC10" s="413"/>
      <c r="JLD10" s="413"/>
      <c r="JLE10" s="413"/>
      <c r="JLF10" s="413"/>
      <c r="JLG10" s="514"/>
      <c r="JLH10" s="515"/>
      <c r="JLI10" s="515"/>
      <c r="JLJ10" s="515"/>
      <c r="JLK10" s="515"/>
      <c r="JLL10" s="515"/>
      <c r="JLM10" s="515"/>
      <c r="JLN10" s="515"/>
      <c r="JLO10" s="515"/>
      <c r="JLP10" s="515"/>
      <c r="JLQ10" s="413"/>
      <c r="JLR10" s="413"/>
      <c r="JLS10" s="413"/>
      <c r="JLT10" s="413"/>
      <c r="JLU10" s="413"/>
      <c r="JLV10" s="413"/>
      <c r="JLW10" s="413"/>
      <c r="JLX10" s="413"/>
      <c r="JLY10" s="413"/>
      <c r="JLZ10" s="413"/>
      <c r="JMA10" s="413"/>
      <c r="JMB10" s="514"/>
      <c r="JMC10" s="515"/>
      <c r="JMD10" s="515"/>
      <c r="JME10" s="515"/>
      <c r="JMF10" s="515"/>
      <c r="JMG10" s="515"/>
      <c r="JMH10" s="515"/>
      <c r="JMI10" s="515"/>
      <c r="JMJ10" s="515"/>
      <c r="JMK10" s="515"/>
      <c r="JML10" s="413"/>
      <c r="JMM10" s="413"/>
      <c r="JMN10" s="413"/>
      <c r="JMO10" s="413"/>
      <c r="JMP10" s="413"/>
      <c r="JMQ10" s="413"/>
      <c r="JMR10" s="413"/>
      <c r="JMS10" s="413"/>
      <c r="JMT10" s="413"/>
      <c r="JMU10" s="413"/>
      <c r="JMV10" s="413"/>
      <c r="JMW10" s="514"/>
      <c r="JMX10" s="515"/>
      <c r="JMY10" s="515"/>
      <c r="JMZ10" s="515"/>
      <c r="JNA10" s="515"/>
      <c r="JNB10" s="515"/>
      <c r="JNC10" s="515"/>
      <c r="JND10" s="515"/>
      <c r="JNE10" s="515"/>
      <c r="JNF10" s="515"/>
      <c r="JNG10" s="413"/>
      <c r="JNH10" s="413"/>
      <c r="JNI10" s="413"/>
      <c r="JNJ10" s="413"/>
      <c r="JNK10" s="413"/>
      <c r="JNL10" s="413"/>
      <c r="JNM10" s="413"/>
      <c r="JNN10" s="413"/>
      <c r="JNO10" s="413"/>
      <c r="JNP10" s="413"/>
      <c r="JNQ10" s="413"/>
      <c r="JNR10" s="514"/>
      <c r="JNS10" s="515"/>
      <c r="JNT10" s="515"/>
      <c r="JNU10" s="515"/>
      <c r="JNV10" s="515"/>
      <c r="JNW10" s="515"/>
      <c r="JNX10" s="515"/>
      <c r="JNY10" s="515"/>
      <c r="JNZ10" s="515"/>
      <c r="JOA10" s="515"/>
      <c r="JOB10" s="413"/>
      <c r="JOC10" s="413"/>
      <c r="JOD10" s="413"/>
      <c r="JOE10" s="413"/>
      <c r="JOF10" s="413"/>
      <c r="JOG10" s="413"/>
      <c r="JOH10" s="413"/>
      <c r="JOI10" s="413"/>
      <c r="JOJ10" s="413"/>
      <c r="JOK10" s="413"/>
      <c r="JOL10" s="413"/>
      <c r="JOM10" s="514"/>
      <c r="JON10" s="515"/>
      <c r="JOO10" s="515"/>
      <c r="JOP10" s="515"/>
      <c r="JOQ10" s="515"/>
      <c r="JOR10" s="515"/>
      <c r="JOS10" s="515"/>
      <c r="JOT10" s="515"/>
      <c r="JOU10" s="515"/>
      <c r="JOV10" s="515"/>
      <c r="JOW10" s="413"/>
      <c r="JOX10" s="413"/>
      <c r="JOY10" s="413"/>
      <c r="JOZ10" s="413"/>
      <c r="JPA10" s="413"/>
      <c r="JPB10" s="413"/>
      <c r="JPC10" s="413"/>
      <c r="JPD10" s="413"/>
      <c r="JPE10" s="413"/>
      <c r="JPF10" s="413"/>
      <c r="JPG10" s="413"/>
      <c r="JPH10" s="514"/>
      <c r="JPI10" s="515"/>
      <c r="JPJ10" s="515"/>
      <c r="JPK10" s="515"/>
      <c r="JPL10" s="515"/>
      <c r="JPM10" s="515"/>
      <c r="JPN10" s="515"/>
      <c r="JPO10" s="515"/>
      <c r="JPP10" s="515"/>
      <c r="JPQ10" s="515"/>
      <c r="JPR10" s="413"/>
      <c r="JPS10" s="413"/>
      <c r="JPT10" s="413"/>
      <c r="JPU10" s="413"/>
      <c r="JPV10" s="413"/>
      <c r="JPW10" s="413"/>
      <c r="JPX10" s="413"/>
      <c r="JPY10" s="413"/>
      <c r="JPZ10" s="413"/>
      <c r="JQA10" s="413"/>
      <c r="JQB10" s="413"/>
      <c r="JQC10" s="514"/>
      <c r="JQD10" s="515"/>
      <c r="JQE10" s="515"/>
      <c r="JQF10" s="515"/>
      <c r="JQG10" s="515"/>
      <c r="JQH10" s="515"/>
      <c r="JQI10" s="515"/>
      <c r="JQJ10" s="515"/>
      <c r="JQK10" s="515"/>
      <c r="JQL10" s="515"/>
      <c r="JQM10" s="413"/>
      <c r="JQN10" s="413"/>
      <c r="JQO10" s="413"/>
      <c r="JQP10" s="413"/>
      <c r="JQQ10" s="413"/>
      <c r="JQR10" s="413"/>
      <c r="JQS10" s="413"/>
      <c r="JQT10" s="413"/>
      <c r="JQU10" s="413"/>
      <c r="JQV10" s="413"/>
      <c r="JQW10" s="413"/>
      <c r="JQX10" s="514"/>
      <c r="JQY10" s="515"/>
      <c r="JQZ10" s="515"/>
      <c r="JRA10" s="515"/>
      <c r="JRB10" s="515"/>
      <c r="JRC10" s="515"/>
      <c r="JRD10" s="515"/>
      <c r="JRE10" s="515"/>
      <c r="JRF10" s="515"/>
      <c r="JRG10" s="515"/>
      <c r="JRH10" s="413"/>
      <c r="JRI10" s="413"/>
      <c r="JRJ10" s="413"/>
      <c r="JRK10" s="413"/>
      <c r="JRL10" s="413"/>
      <c r="JRM10" s="413"/>
      <c r="JRN10" s="413"/>
      <c r="JRO10" s="413"/>
      <c r="JRP10" s="413"/>
      <c r="JRQ10" s="413"/>
      <c r="JRR10" s="413"/>
      <c r="JRS10" s="514"/>
      <c r="JRT10" s="515"/>
      <c r="JRU10" s="515"/>
      <c r="JRV10" s="515"/>
      <c r="JRW10" s="515"/>
      <c r="JRX10" s="515"/>
      <c r="JRY10" s="515"/>
      <c r="JRZ10" s="515"/>
      <c r="JSA10" s="515"/>
      <c r="JSB10" s="515"/>
      <c r="JSC10" s="413"/>
      <c r="JSD10" s="413"/>
      <c r="JSE10" s="413"/>
      <c r="JSF10" s="413"/>
      <c r="JSG10" s="413"/>
      <c r="JSH10" s="413"/>
      <c r="JSI10" s="413"/>
      <c r="JSJ10" s="413"/>
      <c r="JSK10" s="413"/>
      <c r="JSL10" s="413"/>
      <c r="JSM10" s="413"/>
      <c r="JSN10" s="514"/>
      <c r="JSO10" s="515"/>
      <c r="JSP10" s="515"/>
      <c r="JSQ10" s="515"/>
      <c r="JSR10" s="515"/>
      <c r="JSS10" s="515"/>
      <c r="JST10" s="515"/>
      <c r="JSU10" s="515"/>
      <c r="JSV10" s="515"/>
      <c r="JSW10" s="515"/>
      <c r="JSX10" s="413"/>
      <c r="JSY10" s="413"/>
      <c r="JSZ10" s="413"/>
      <c r="JTA10" s="413"/>
      <c r="JTB10" s="413"/>
      <c r="JTC10" s="413"/>
      <c r="JTD10" s="413"/>
      <c r="JTE10" s="413"/>
      <c r="JTF10" s="413"/>
      <c r="JTG10" s="413"/>
      <c r="JTH10" s="413"/>
      <c r="JTI10" s="514"/>
      <c r="JTJ10" s="515"/>
      <c r="JTK10" s="515"/>
      <c r="JTL10" s="515"/>
      <c r="JTM10" s="515"/>
      <c r="JTN10" s="515"/>
      <c r="JTO10" s="515"/>
      <c r="JTP10" s="515"/>
      <c r="JTQ10" s="515"/>
      <c r="JTR10" s="515"/>
      <c r="JTS10" s="413"/>
      <c r="JTT10" s="413"/>
      <c r="JTU10" s="413"/>
      <c r="JTV10" s="413"/>
      <c r="JTW10" s="413"/>
      <c r="JTX10" s="413"/>
      <c r="JTY10" s="413"/>
      <c r="JTZ10" s="413"/>
      <c r="JUA10" s="413"/>
      <c r="JUB10" s="413"/>
      <c r="JUC10" s="413"/>
      <c r="JUD10" s="514"/>
      <c r="JUE10" s="515"/>
      <c r="JUF10" s="515"/>
      <c r="JUG10" s="515"/>
      <c r="JUH10" s="515"/>
      <c r="JUI10" s="515"/>
      <c r="JUJ10" s="515"/>
      <c r="JUK10" s="515"/>
      <c r="JUL10" s="515"/>
      <c r="JUM10" s="515"/>
      <c r="JUN10" s="413"/>
      <c r="JUO10" s="413"/>
      <c r="JUP10" s="413"/>
      <c r="JUQ10" s="413"/>
      <c r="JUR10" s="413"/>
      <c r="JUS10" s="413"/>
      <c r="JUT10" s="413"/>
      <c r="JUU10" s="413"/>
      <c r="JUV10" s="413"/>
      <c r="JUW10" s="413"/>
      <c r="JUX10" s="413"/>
      <c r="JUY10" s="514"/>
      <c r="JUZ10" s="515"/>
      <c r="JVA10" s="515"/>
      <c r="JVB10" s="515"/>
      <c r="JVC10" s="515"/>
      <c r="JVD10" s="515"/>
      <c r="JVE10" s="515"/>
      <c r="JVF10" s="515"/>
      <c r="JVG10" s="515"/>
      <c r="JVH10" s="515"/>
      <c r="JVI10" s="413"/>
      <c r="JVJ10" s="413"/>
      <c r="JVK10" s="413"/>
      <c r="JVL10" s="413"/>
      <c r="JVM10" s="413"/>
      <c r="JVN10" s="413"/>
      <c r="JVO10" s="413"/>
      <c r="JVP10" s="413"/>
      <c r="JVQ10" s="413"/>
      <c r="JVR10" s="413"/>
      <c r="JVS10" s="413"/>
      <c r="JVT10" s="514"/>
      <c r="JVU10" s="515"/>
      <c r="JVV10" s="515"/>
      <c r="JVW10" s="515"/>
      <c r="JVX10" s="515"/>
      <c r="JVY10" s="515"/>
      <c r="JVZ10" s="515"/>
      <c r="JWA10" s="515"/>
      <c r="JWB10" s="515"/>
      <c r="JWC10" s="515"/>
      <c r="JWD10" s="413"/>
      <c r="JWE10" s="413"/>
      <c r="JWF10" s="413"/>
      <c r="JWG10" s="413"/>
      <c r="JWH10" s="413"/>
      <c r="JWI10" s="413"/>
      <c r="JWJ10" s="413"/>
      <c r="JWK10" s="413"/>
      <c r="JWL10" s="413"/>
      <c r="JWM10" s="413"/>
      <c r="JWN10" s="413"/>
      <c r="JWO10" s="514"/>
      <c r="JWP10" s="515"/>
      <c r="JWQ10" s="515"/>
      <c r="JWR10" s="515"/>
      <c r="JWS10" s="515"/>
      <c r="JWT10" s="515"/>
      <c r="JWU10" s="515"/>
      <c r="JWV10" s="515"/>
      <c r="JWW10" s="515"/>
      <c r="JWX10" s="515"/>
      <c r="JWY10" s="413"/>
      <c r="JWZ10" s="413"/>
      <c r="JXA10" s="413"/>
      <c r="JXB10" s="413"/>
      <c r="JXC10" s="413"/>
      <c r="JXD10" s="413"/>
      <c r="JXE10" s="413"/>
      <c r="JXF10" s="413"/>
      <c r="JXG10" s="413"/>
      <c r="JXH10" s="413"/>
      <c r="JXI10" s="413"/>
      <c r="JXJ10" s="514"/>
      <c r="JXK10" s="515"/>
      <c r="JXL10" s="515"/>
      <c r="JXM10" s="515"/>
      <c r="JXN10" s="515"/>
      <c r="JXO10" s="515"/>
      <c r="JXP10" s="515"/>
      <c r="JXQ10" s="515"/>
      <c r="JXR10" s="515"/>
      <c r="JXS10" s="515"/>
      <c r="JXT10" s="413"/>
      <c r="JXU10" s="413"/>
      <c r="JXV10" s="413"/>
      <c r="JXW10" s="413"/>
      <c r="JXX10" s="413"/>
      <c r="JXY10" s="413"/>
      <c r="JXZ10" s="413"/>
      <c r="JYA10" s="413"/>
      <c r="JYB10" s="413"/>
      <c r="JYC10" s="413"/>
      <c r="JYD10" s="413"/>
      <c r="JYE10" s="514"/>
      <c r="JYF10" s="515"/>
      <c r="JYG10" s="515"/>
      <c r="JYH10" s="515"/>
      <c r="JYI10" s="515"/>
      <c r="JYJ10" s="515"/>
      <c r="JYK10" s="515"/>
      <c r="JYL10" s="515"/>
      <c r="JYM10" s="515"/>
      <c r="JYN10" s="515"/>
      <c r="JYO10" s="413"/>
      <c r="JYP10" s="413"/>
      <c r="JYQ10" s="413"/>
      <c r="JYR10" s="413"/>
      <c r="JYS10" s="413"/>
      <c r="JYT10" s="413"/>
      <c r="JYU10" s="413"/>
      <c r="JYV10" s="413"/>
      <c r="JYW10" s="413"/>
      <c r="JYX10" s="413"/>
      <c r="JYY10" s="413"/>
      <c r="JYZ10" s="514"/>
      <c r="JZA10" s="515"/>
      <c r="JZB10" s="515"/>
      <c r="JZC10" s="515"/>
      <c r="JZD10" s="515"/>
      <c r="JZE10" s="515"/>
      <c r="JZF10" s="515"/>
      <c r="JZG10" s="515"/>
      <c r="JZH10" s="515"/>
      <c r="JZI10" s="515"/>
      <c r="JZJ10" s="413"/>
      <c r="JZK10" s="413"/>
      <c r="JZL10" s="413"/>
      <c r="JZM10" s="413"/>
      <c r="JZN10" s="413"/>
      <c r="JZO10" s="413"/>
      <c r="JZP10" s="413"/>
      <c r="JZQ10" s="413"/>
      <c r="JZR10" s="413"/>
      <c r="JZS10" s="413"/>
      <c r="JZT10" s="413"/>
      <c r="JZU10" s="514"/>
      <c r="JZV10" s="515"/>
      <c r="JZW10" s="515"/>
      <c r="JZX10" s="515"/>
      <c r="JZY10" s="515"/>
      <c r="JZZ10" s="515"/>
      <c r="KAA10" s="515"/>
      <c r="KAB10" s="515"/>
      <c r="KAC10" s="515"/>
      <c r="KAD10" s="515"/>
      <c r="KAE10" s="413"/>
      <c r="KAF10" s="413"/>
      <c r="KAG10" s="413"/>
      <c r="KAH10" s="413"/>
      <c r="KAI10" s="413"/>
      <c r="KAJ10" s="413"/>
      <c r="KAK10" s="413"/>
      <c r="KAL10" s="413"/>
      <c r="KAM10" s="413"/>
      <c r="KAN10" s="413"/>
      <c r="KAO10" s="413"/>
      <c r="KAP10" s="514"/>
      <c r="KAQ10" s="515"/>
      <c r="KAR10" s="515"/>
      <c r="KAS10" s="515"/>
      <c r="KAT10" s="515"/>
      <c r="KAU10" s="515"/>
      <c r="KAV10" s="515"/>
      <c r="KAW10" s="515"/>
      <c r="KAX10" s="515"/>
      <c r="KAY10" s="515"/>
      <c r="KAZ10" s="413"/>
      <c r="KBA10" s="413"/>
      <c r="KBB10" s="413"/>
      <c r="KBC10" s="413"/>
      <c r="KBD10" s="413"/>
      <c r="KBE10" s="413"/>
      <c r="KBF10" s="413"/>
      <c r="KBG10" s="413"/>
      <c r="KBH10" s="413"/>
      <c r="KBI10" s="413"/>
      <c r="KBJ10" s="413"/>
      <c r="KBK10" s="514"/>
      <c r="KBL10" s="515"/>
      <c r="KBM10" s="515"/>
      <c r="KBN10" s="515"/>
      <c r="KBO10" s="515"/>
      <c r="KBP10" s="515"/>
      <c r="KBQ10" s="515"/>
      <c r="KBR10" s="515"/>
      <c r="KBS10" s="515"/>
      <c r="KBT10" s="515"/>
      <c r="KBU10" s="413"/>
      <c r="KBV10" s="413"/>
      <c r="KBW10" s="413"/>
      <c r="KBX10" s="413"/>
      <c r="KBY10" s="413"/>
      <c r="KBZ10" s="413"/>
      <c r="KCA10" s="413"/>
      <c r="KCB10" s="413"/>
      <c r="KCC10" s="413"/>
      <c r="KCD10" s="413"/>
      <c r="KCE10" s="413"/>
      <c r="KCF10" s="514"/>
      <c r="KCG10" s="515"/>
      <c r="KCH10" s="515"/>
      <c r="KCI10" s="515"/>
      <c r="KCJ10" s="515"/>
      <c r="KCK10" s="515"/>
      <c r="KCL10" s="515"/>
      <c r="KCM10" s="515"/>
      <c r="KCN10" s="515"/>
      <c r="KCO10" s="515"/>
      <c r="KCP10" s="413"/>
      <c r="KCQ10" s="413"/>
      <c r="KCR10" s="413"/>
      <c r="KCS10" s="413"/>
      <c r="KCT10" s="413"/>
      <c r="KCU10" s="413"/>
      <c r="KCV10" s="413"/>
      <c r="KCW10" s="413"/>
      <c r="KCX10" s="413"/>
      <c r="KCY10" s="413"/>
      <c r="KCZ10" s="413"/>
      <c r="KDA10" s="514"/>
      <c r="KDB10" s="515"/>
      <c r="KDC10" s="515"/>
      <c r="KDD10" s="515"/>
      <c r="KDE10" s="515"/>
      <c r="KDF10" s="515"/>
      <c r="KDG10" s="515"/>
      <c r="KDH10" s="515"/>
      <c r="KDI10" s="515"/>
      <c r="KDJ10" s="515"/>
      <c r="KDK10" s="413"/>
      <c r="KDL10" s="413"/>
      <c r="KDM10" s="413"/>
      <c r="KDN10" s="413"/>
      <c r="KDO10" s="413"/>
      <c r="KDP10" s="413"/>
      <c r="KDQ10" s="413"/>
      <c r="KDR10" s="413"/>
      <c r="KDS10" s="413"/>
      <c r="KDT10" s="413"/>
      <c r="KDU10" s="413"/>
      <c r="KDV10" s="514"/>
      <c r="KDW10" s="515"/>
      <c r="KDX10" s="515"/>
      <c r="KDY10" s="515"/>
      <c r="KDZ10" s="515"/>
      <c r="KEA10" s="515"/>
      <c r="KEB10" s="515"/>
      <c r="KEC10" s="515"/>
      <c r="KED10" s="515"/>
      <c r="KEE10" s="515"/>
      <c r="KEF10" s="413"/>
      <c r="KEG10" s="413"/>
      <c r="KEH10" s="413"/>
      <c r="KEI10" s="413"/>
      <c r="KEJ10" s="413"/>
      <c r="KEK10" s="413"/>
      <c r="KEL10" s="413"/>
      <c r="KEM10" s="413"/>
      <c r="KEN10" s="413"/>
      <c r="KEO10" s="413"/>
      <c r="KEP10" s="413"/>
      <c r="KEQ10" s="514"/>
      <c r="KER10" s="515"/>
      <c r="KES10" s="515"/>
      <c r="KET10" s="515"/>
      <c r="KEU10" s="515"/>
      <c r="KEV10" s="515"/>
      <c r="KEW10" s="515"/>
      <c r="KEX10" s="515"/>
      <c r="KEY10" s="515"/>
      <c r="KEZ10" s="515"/>
      <c r="KFA10" s="413"/>
      <c r="KFB10" s="413"/>
      <c r="KFC10" s="413"/>
      <c r="KFD10" s="413"/>
      <c r="KFE10" s="413"/>
      <c r="KFF10" s="413"/>
      <c r="KFG10" s="413"/>
      <c r="KFH10" s="413"/>
      <c r="KFI10" s="413"/>
      <c r="KFJ10" s="413"/>
      <c r="KFK10" s="413"/>
      <c r="KFL10" s="514"/>
      <c r="KFM10" s="515"/>
      <c r="KFN10" s="515"/>
      <c r="KFO10" s="515"/>
      <c r="KFP10" s="515"/>
      <c r="KFQ10" s="515"/>
      <c r="KFR10" s="515"/>
      <c r="KFS10" s="515"/>
      <c r="KFT10" s="515"/>
      <c r="KFU10" s="515"/>
      <c r="KFV10" s="413"/>
      <c r="KFW10" s="413"/>
      <c r="KFX10" s="413"/>
      <c r="KFY10" s="413"/>
      <c r="KFZ10" s="413"/>
      <c r="KGA10" s="413"/>
      <c r="KGB10" s="413"/>
      <c r="KGC10" s="413"/>
      <c r="KGD10" s="413"/>
      <c r="KGE10" s="413"/>
      <c r="KGF10" s="413"/>
      <c r="KGG10" s="514"/>
      <c r="KGH10" s="515"/>
      <c r="KGI10" s="515"/>
      <c r="KGJ10" s="515"/>
      <c r="KGK10" s="515"/>
      <c r="KGL10" s="515"/>
      <c r="KGM10" s="515"/>
      <c r="KGN10" s="515"/>
      <c r="KGO10" s="515"/>
      <c r="KGP10" s="515"/>
      <c r="KGQ10" s="413"/>
      <c r="KGR10" s="413"/>
      <c r="KGS10" s="413"/>
      <c r="KGT10" s="413"/>
      <c r="KGU10" s="413"/>
      <c r="KGV10" s="413"/>
      <c r="KGW10" s="413"/>
      <c r="KGX10" s="413"/>
      <c r="KGY10" s="413"/>
      <c r="KGZ10" s="413"/>
      <c r="KHA10" s="413"/>
      <c r="KHB10" s="514"/>
      <c r="KHC10" s="515"/>
      <c r="KHD10" s="515"/>
      <c r="KHE10" s="515"/>
      <c r="KHF10" s="515"/>
      <c r="KHG10" s="515"/>
      <c r="KHH10" s="515"/>
      <c r="KHI10" s="515"/>
      <c r="KHJ10" s="515"/>
      <c r="KHK10" s="515"/>
      <c r="KHL10" s="413"/>
      <c r="KHM10" s="413"/>
      <c r="KHN10" s="413"/>
      <c r="KHO10" s="413"/>
      <c r="KHP10" s="413"/>
      <c r="KHQ10" s="413"/>
      <c r="KHR10" s="413"/>
      <c r="KHS10" s="413"/>
      <c r="KHT10" s="413"/>
      <c r="KHU10" s="413"/>
      <c r="KHV10" s="413"/>
      <c r="KHW10" s="514"/>
      <c r="KHX10" s="515"/>
      <c r="KHY10" s="515"/>
      <c r="KHZ10" s="515"/>
      <c r="KIA10" s="515"/>
      <c r="KIB10" s="515"/>
      <c r="KIC10" s="515"/>
      <c r="KID10" s="515"/>
      <c r="KIE10" s="515"/>
      <c r="KIF10" s="515"/>
      <c r="KIG10" s="413"/>
      <c r="KIH10" s="413"/>
      <c r="KII10" s="413"/>
      <c r="KIJ10" s="413"/>
      <c r="KIK10" s="413"/>
      <c r="KIL10" s="413"/>
      <c r="KIM10" s="413"/>
      <c r="KIN10" s="413"/>
      <c r="KIO10" s="413"/>
      <c r="KIP10" s="413"/>
      <c r="KIQ10" s="413"/>
      <c r="KIR10" s="514"/>
      <c r="KIS10" s="515"/>
      <c r="KIT10" s="515"/>
      <c r="KIU10" s="515"/>
      <c r="KIV10" s="515"/>
      <c r="KIW10" s="515"/>
      <c r="KIX10" s="515"/>
      <c r="KIY10" s="515"/>
      <c r="KIZ10" s="515"/>
      <c r="KJA10" s="515"/>
      <c r="KJB10" s="413"/>
      <c r="KJC10" s="413"/>
      <c r="KJD10" s="413"/>
      <c r="KJE10" s="413"/>
      <c r="KJF10" s="413"/>
      <c r="KJG10" s="413"/>
      <c r="KJH10" s="413"/>
      <c r="KJI10" s="413"/>
      <c r="KJJ10" s="413"/>
      <c r="KJK10" s="413"/>
      <c r="KJL10" s="413"/>
      <c r="KJM10" s="514"/>
      <c r="KJN10" s="515"/>
      <c r="KJO10" s="515"/>
      <c r="KJP10" s="515"/>
      <c r="KJQ10" s="515"/>
      <c r="KJR10" s="515"/>
      <c r="KJS10" s="515"/>
      <c r="KJT10" s="515"/>
      <c r="KJU10" s="515"/>
      <c r="KJV10" s="515"/>
      <c r="KJW10" s="413"/>
      <c r="KJX10" s="413"/>
      <c r="KJY10" s="413"/>
      <c r="KJZ10" s="413"/>
      <c r="KKA10" s="413"/>
      <c r="KKB10" s="413"/>
      <c r="KKC10" s="413"/>
      <c r="KKD10" s="413"/>
      <c r="KKE10" s="413"/>
      <c r="KKF10" s="413"/>
      <c r="KKG10" s="413"/>
      <c r="KKH10" s="514"/>
      <c r="KKI10" s="515"/>
      <c r="KKJ10" s="515"/>
      <c r="KKK10" s="515"/>
      <c r="KKL10" s="515"/>
      <c r="KKM10" s="515"/>
      <c r="KKN10" s="515"/>
      <c r="KKO10" s="515"/>
      <c r="KKP10" s="515"/>
      <c r="KKQ10" s="515"/>
      <c r="KKR10" s="413"/>
      <c r="KKS10" s="413"/>
      <c r="KKT10" s="413"/>
      <c r="KKU10" s="413"/>
      <c r="KKV10" s="413"/>
      <c r="KKW10" s="413"/>
      <c r="KKX10" s="413"/>
      <c r="KKY10" s="413"/>
      <c r="KKZ10" s="413"/>
      <c r="KLA10" s="413"/>
      <c r="KLB10" s="413"/>
      <c r="KLC10" s="514"/>
      <c r="KLD10" s="515"/>
      <c r="KLE10" s="515"/>
      <c r="KLF10" s="515"/>
      <c r="KLG10" s="515"/>
      <c r="KLH10" s="515"/>
      <c r="KLI10" s="515"/>
      <c r="KLJ10" s="515"/>
      <c r="KLK10" s="515"/>
      <c r="KLL10" s="515"/>
      <c r="KLM10" s="413"/>
      <c r="KLN10" s="413"/>
      <c r="KLO10" s="413"/>
      <c r="KLP10" s="413"/>
      <c r="KLQ10" s="413"/>
      <c r="KLR10" s="413"/>
      <c r="KLS10" s="413"/>
      <c r="KLT10" s="413"/>
      <c r="KLU10" s="413"/>
      <c r="KLV10" s="413"/>
      <c r="KLW10" s="413"/>
      <c r="KLX10" s="514"/>
      <c r="KLY10" s="515"/>
      <c r="KLZ10" s="515"/>
      <c r="KMA10" s="515"/>
      <c r="KMB10" s="515"/>
      <c r="KMC10" s="515"/>
      <c r="KMD10" s="515"/>
      <c r="KME10" s="515"/>
      <c r="KMF10" s="515"/>
      <c r="KMG10" s="515"/>
      <c r="KMH10" s="413"/>
      <c r="KMI10" s="413"/>
      <c r="KMJ10" s="413"/>
      <c r="KMK10" s="413"/>
      <c r="KML10" s="413"/>
      <c r="KMM10" s="413"/>
      <c r="KMN10" s="413"/>
      <c r="KMO10" s="413"/>
      <c r="KMP10" s="413"/>
      <c r="KMQ10" s="413"/>
      <c r="KMR10" s="413"/>
      <c r="KMS10" s="514"/>
      <c r="KMT10" s="515"/>
      <c r="KMU10" s="515"/>
      <c r="KMV10" s="515"/>
      <c r="KMW10" s="515"/>
      <c r="KMX10" s="515"/>
      <c r="KMY10" s="515"/>
      <c r="KMZ10" s="515"/>
      <c r="KNA10" s="515"/>
      <c r="KNB10" s="515"/>
      <c r="KNC10" s="413"/>
      <c r="KND10" s="413"/>
      <c r="KNE10" s="413"/>
      <c r="KNF10" s="413"/>
      <c r="KNG10" s="413"/>
      <c r="KNH10" s="413"/>
      <c r="KNI10" s="413"/>
      <c r="KNJ10" s="413"/>
      <c r="KNK10" s="413"/>
      <c r="KNL10" s="413"/>
      <c r="KNM10" s="413"/>
      <c r="KNN10" s="514"/>
      <c r="KNO10" s="515"/>
      <c r="KNP10" s="515"/>
      <c r="KNQ10" s="515"/>
      <c r="KNR10" s="515"/>
      <c r="KNS10" s="515"/>
      <c r="KNT10" s="515"/>
      <c r="KNU10" s="515"/>
      <c r="KNV10" s="515"/>
      <c r="KNW10" s="515"/>
      <c r="KNX10" s="413"/>
      <c r="KNY10" s="413"/>
      <c r="KNZ10" s="413"/>
      <c r="KOA10" s="413"/>
      <c r="KOB10" s="413"/>
      <c r="KOC10" s="413"/>
      <c r="KOD10" s="413"/>
      <c r="KOE10" s="413"/>
      <c r="KOF10" s="413"/>
      <c r="KOG10" s="413"/>
      <c r="KOH10" s="413"/>
      <c r="KOI10" s="514"/>
      <c r="KOJ10" s="515"/>
      <c r="KOK10" s="515"/>
      <c r="KOL10" s="515"/>
      <c r="KOM10" s="515"/>
      <c r="KON10" s="515"/>
      <c r="KOO10" s="515"/>
      <c r="KOP10" s="515"/>
      <c r="KOQ10" s="515"/>
      <c r="KOR10" s="515"/>
      <c r="KOS10" s="413"/>
      <c r="KOT10" s="413"/>
      <c r="KOU10" s="413"/>
      <c r="KOV10" s="413"/>
      <c r="KOW10" s="413"/>
      <c r="KOX10" s="413"/>
      <c r="KOY10" s="413"/>
      <c r="KOZ10" s="413"/>
      <c r="KPA10" s="413"/>
      <c r="KPB10" s="413"/>
      <c r="KPC10" s="413"/>
      <c r="KPD10" s="514"/>
      <c r="KPE10" s="515"/>
      <c r="KPF10" s="515"/>
      <c r="KPG10" s="515"/>
      <c r="KPH10" s="515"/>
      <c r="KPI10" s="515"/>
      <c r="KPJ10" s="515"/>
      <c r="KPK10" s="515"/>
      <c r="KPL10" s="515"/>
      <c r="KPM10" s="515"/>
      <c r="KPN10" s="413"/>
      <c r="KPO10" s="413"/>
      <c r="KPP10" s="413"/>
      <c r="KPQ10" s="413"/>
      <c r="KPR10" s="413"/>
      <c r="KPS10" s="413"/>
      <c r="KPT10" s="413"/>
      <c r="KPU10" s="413"/>
      <c r="KPV10" s="413"/>
      <c r="KPW10" s="413"/>
      <c r="KPX10" s="413"/>
      <c r="KPY10" s="514"/>
      <c r="KPZ10" s="515"/>
      <c r="KQA10" s="515"/>
      <c r="KQB10" s="515"/>
      <c r="KQC10" s="515"/>
      <c r="KQD10" s="515"/>
      <c r="KQE10" s="515"/>
      <c r="KQF10" s="515"/>
      <c r="KQG10" s="515"/>
      <c r="KQH10" s="515"/>
      <c r="KQI10" s="413"/>
      <c r="KQJ10" s="413"/>
      <c r="KQK10" s="413"/>
      <c r="KQL10" s="413"/>
      <c r="KQM10" s="413"/>
      <c r="KQN10" s="413"/>
      <c r="KQO10" s="413"/>
      <c r="KQP10" s="413"/>
      <c r="KQQ10" s="413"/>
      <c r="KQR10" s="413"/>
      <c r="KQS10" s="413"/>
      <c r="KQT10" s="514"/>
      <c r="KQU10" s="515"/>
      <c r="KQV10" s="515"/>
      <c r="KQW10" s="515"/>
      <c r="KQX10" s="515"/>
      <c r="KQY10" s="515"/>
      <c r="KQZ10" s="515"/>
      <c r="KRA10" s="515"/>
      <c r="KRB10" s="515"/>
      <c r="KRC10" s="515"/>
      <c r="KRD10" s="413"/>
      <c r="KRE10" s="413"/>
      <c r="KRF10" s="413"/>
      <c r="KRG10" s="413"/>
      <c r="KRH10" s="413"/>
      <c r="KRI10" s="413"/>
      <c r="KRJ10" s="413"/>
      <c r="KRK10" s="413"/>
      <c r="KRL10" s="413"/>
      <c r="KRM10" s="413"/>
      <c r="KRN10" s="413"/>
      <c r="KRO10" s="514"/>
      <c r="KRP10" s="515"/>
      <c r="KRQ10" s="515"/>
      <c r="KRR10" s="515"/>
      <c r="KRS10" s="515"/>
      <c r="KRT10" s="515"/>
      <c r="KRU10" s="515"/>
      <c r="KRV10" s="515"/>
      <c r="KRW10" s="515"/>
      <c r="KRX10" s="515"/>
      <c r="KRY10" s="413"/>
      <c r="KRZ10" s="413"/>
      <c r="KSA10" s="413"/>
      <c r="KSB10" s="413"/>
      <c r="KSC10" s="413"/>
      <c r="KSD10" s="413"/>
      <c r="KSE10" s="413"/>
      <c r="KSF10" s="413"/>
      <c r="KSG10" s="413"/>
      <c r="KSH10" s="413"/>
      <c r="KSI10" s="413"/>
      <c r="KSJ10" s="514"/>
      <c r="KSK10" s="515"/>
      <c r="KSL10" s="515"/>
      <c r="KSM10" s="515"/>
      <c r="KSN10" s="515"/>
      <c r="KSO10" s="515"/>
      <c r="KSP10" s="515"/>
      <c r="KSQ10" s="515"/>
      <c r="KSR10" s="515"/>
      <c r="KSS10" s="515"/>
      <c r="KST10" s="413"/>
      <c r="KSU10" s="413"/>
      <c r="KSV10" s="413"/>
      <c r="KSW10" s="413"/>
      <c r="KSX10" s="413"/>
      <c r="KSY10" s="413"/>
      <c r="KSZ10" s="413"/>
      <c r="KTA10" s="413"/>
      <c r="KTB10" s="413"/>
      <c r="KTC10" s="413"/>
      <c r="KTD10" s="413"/>
      <c r="KTE10" s="514"/>
      <c r="KTF10" s="515"/>
      <c r="KTG10" s="515"/>
      <c r="KTH10" s="515"/>
      <c r="KTI10" s="515"/>
      <c r="KTJ10" s="515"/>
      <c r="KTK10" s="515"/>
      <c r="KTL10" s="515"/>
      <c r="KTM10" s="515"/>
      <c r="KTN10" s="515"/>
      <c r="KTO10" s="413"/>
      <c r="KTP10" s="413"/>
      <c r="KTQ10" s="413"/>
      <c r="KTR10" s="413"/>
      <c r="KTS10" s="413"/>
      <c r="KTT10" s="413"/>
      <c r="KTU10" s="413"/>
      <c r="KTV10" s="413"/>
      <c r="KTW10" s="413"/>
      <c r="KTX10" s="413"/>
      <c r="KTY10" s="413"/>
      <c r="KTZ10" s="514"/>
      <c r="KUA10" s="515"/>
      <c r="KUB10" s="515"/>
      <c r="KUC10" s="515"/>
      <c r="KUD10" s="515"/>
      <c r="KUE10" s="515"/>
      <c r="KUF10" s="515"/>
      <c r="KUG10" s="515"/>
      <c r="KUH10" s="515"/>
      <c r="KUI10" s="515"/>
      <c r="KUJ10" s="413"/>
      <c r="KUK10" s="413"/>
      <c r="KUL10" s="413"/>
      <c r="KUM10" s="413"/>
      <c r="KUN10" s="413"/>
      <c r="KUO10" s="413"/>
      <c r="KUP10" s="413"/>
      <c r="KUQ10" s="413"/>
      <c r="KUR10" s="413"/>
      <c r="KUS10" s="413"/>
      <c r="KUT10" s="413"/>
      <c r="KUU10" s="514"/>
      <c r="KUV10" s="515"/>
      <c r="KUW10" s="515"/>
      <c r="KUX10" s="515"/>
      <c r="KUY10" s="515"/>
      <c r="KUZ10" s="515"/>
      <c r="KVA10" s="515"/>
      <c r="KVB10" s="515"/>
      <c r="KVC10" s="515"/>
      <c r="KVD10" s="515"/>
      <c r="KVE10" s="413"/>
      <c r="KVF10" s="413"/>
      <c r="KVG10" s="413"/>
      <c r="KVH10" s="413"/>
      <c r="KVI10" s="413"/>
      <c r="KVJ10" s="413"/>
      <c r="KVK10" s="413"/>
      <c r="KVL10" s="413"/>
      <c r="KVM10" s="413"/>
      <c r="KVN10" s="413"/>
      <c r="KVO10" s="413"/>
      <c r="KVP10" s="514"/>
      <c r="KVQ10" s="515"/>
      <c r="KVR10" s="515"/>
      <c r="KVS10" s="515"/>
      <c r="KVT10" s="515"/>
      <c r="KVU10" s="515"/>
      <c r="KVV10" s="515"/>
      <c r="KVW10" s="515"/>
      <c r="KVX10" s="515"/>
      <c r="KVY10" s="515"/>
      <c r="KVZ10" s="413"/>
      <c r="KWA10" s="413"/>
      <c r="KWB10" s="413"/>
      <c r="KWC10" s="413"/>
      <c r="KWD10" s="413"/>
      <c r="KWE10" s="413"/>
      <c r="KWF10" s="413"/>
      <c r="KWG10" s="413"/>
      <c r="KWH10" s="413"/>
      <c r="KWI10" s="413"/>
      <c r="KWJ10" s="413"/>
      <c r="KWK10" s="514"/>
      <c r="KWL10" s="515"/>
      <c r="KWM10" s="515"/>
      <c r="KWN10" s="515"/>
      <c r="KWO10" s="515"/>
      <c r="KWP10" s="515"/>
      <c r="KWQ10" s="515"/>
      <c r="KWR10" s="515"/>
      <c r="KWS10" s="515"/>
      <c r="KWT10" s="515"/>
      <c r="KWU10" s="413"/>
      <c r="KWV10" s="413"/>
      <c r="KWW10" s="413"/>
      <c r="KWX10" s="413"/>
      <c r="KWY10" s="413"/>
      <c r="KWZ10" s="413"/>
      <c r="KXA10" s="413"/>
      <c r="KXB10" s="413"/>
      <c r="KXC10" s="413"/>
      <c r="KXD10" s="413"/>
      <c r="KXE10" s="413"/>
      <c r="KXF10" s="514"/>
      <c r="KXG10" s="515"/>
      <c r="KXH10" s="515"/>
      <c r="KXI10" s="515"/>
      <c r="KXJ10" s="515"/>
      <c r="KXK10" s="515"/>
      <c r="KXL10" s="515"/>
      <c r="KXM10" s="515"/>
      <c r="KXN10" s="515"/>
      <c r="KXO10" s="515"/>
      <c r="KXP10" s="413"/>
      <c r="KXQ10" s="413"/>
      <c r="KXR10" s="413"/>
      <c r="KXS10" s="413"/>
      <c r="KXT10" s="413"/>
      <c r="KXU10" s="413"/>
      <c r="KXV10" s="413"/>
      <c r="KXW10" s="413"/>
      <c r="KXX10" s="413"/>
      <c r="KXY10" s="413"/>
      <c r="KXZ10" s="413"/>
      <c r="KYA10" s="514"/>
      <c r="KYB10" s="515"/>
      <c r="KYC10" s="515"/>
      <c r="KYD10" s="515"/>
      <c r="KYE10" s="515"/>
      <c r="KYF10" s="515"/>
      <c r="KYG10" s="515"/>
      <c r="KYH10" s="515"/>
      <c r="KYI10" s="515"/>
      <c r="KYJ10" s="515"/>
      <c r="KYK10" s="413"/>
      <c r="KYL10" s="413"/>
      <c r="KYM10" s="413"/>
      <c r="KYN10" s="413"/>
      <c r="KYO10" s="413"/>
      <c r="KYP10" s="413"/>
      <c r="KYQ10" s="413"/>
      <c r="KYR10" s="413"/>
      <c r="KYS10" s="413"/>
      <c r="KYT10" s="413"/>
      <c r="KYU10" s="413"/>
      <c r="KYV10" s="514"/>
      <c r="KYW10" s="515"/>
      <c r="KYX10" s="515"/>
      <c r="KYY10" s="515"/>
      <c r="KYZ10" s="515"/>
      <c r="KZA10" s="515"/>
      <c r="KZB10" s="515"/>
      <c r="KZC10" s="515"/>
      <c r="KZD10" s="515"/>
      <c r="KZE10" s="515"/>
      <c r="KZF10" s="413"/>
      <c r="KZG10" s="413"/>
      <c r="KZH10" s="413"/>
      <c r="KZI10" s="413"/>
      <c r="KZJ10" s="413"/>
      <c r="KZK10" s="413"/>
      <c r="KZL10" s="413"/>
      <c r="KZM10" s="413"/>
      <c r="KZN10" s="413"/>
      <c r="KZO10" s="413"/>
      <c r="KZP10" s="413"/>
      <c r="KZQ10" s="514"/>
      <c r="KZR10" s="515"/>
      <c r="KZS10" s="515"/>
      <c r="KZT10" s="515"/>
      <c r="KZU10" s="515"/>
      <c r="KZV10" s="515"/>
      <c r="KZW10" s="515"/>
      <c r="KZX10" s="515"/>
      <c r="KZY10" s="515"/>
      <c r="KZZ10" s="515"/>
      <c r="LAA10" s="413"/>
      <c r="LAB10" s="413"/>
      <c r="LAC10" s="413"/>
      <c r="LAD10" s="413"/>
      <c r="LAE10" s="413"/>
      <c r="LAF10" s="413"/>
      <c r="LAG10" s="413"/>
      <c r="LAH10" s="413"/>
      <c r="LAI10" s="413"/>
      <c r="LAJ10" s="413"/>
      <c r="LAK10" s="413"/>
      <c r="LAL10" s="514"/>
      <c r="LAM10" s="515"/>
      <c r="LAN10" s="515"/>
      <c r="LAO10" s="515"/>
      <c r="LAP10" s="515"/>
      <c r="LAQ10" s="515"/>
      <c r="LAR10" s="515"/>
      <c r="LAS10" s="515"/>
      <c r="LAT10" s="515"/>
      <c r="LAU10" s="515"/>
      <c r="LAV10" s="413"/>
      <c r="LAW10" s="413"/>
      <c r="LAX10" s="413"/>
      <c r="LAY10" s="413"/>
      <c r="LAZ10" s="413"/>
      <c r="LBA10" s="413"/>
      <c r="LBB10" s="413"/>
      <c r="LBC10" s="413"/>
      <c r="LBD10" s="413"/>
      <c r="LBE10" s="413"/>
      <c r="LBF10" s="413"/>
      <c r="LBG10" s="514"/>
      <c r="LBH10" s="515"/>
      <c r="LBI10" s="515"/>
      <c r="LBJ10" s="515"/>
      <c r="LBK10" s="515"/>
      <c r="LBL10" s="515"/>
      <c r="LBM10" s="515"/>
      <c r="LBN10" s="515"/>
      <c r="LBO10" s="515"/>
      <c r="LBP10" s="515"/>
      <c r="LBQ10" s="413"/>
      <c r="LBR10" s="413"/>
      <c r="LBS10" s="413"/>
      <c r="LBT10" s="413"/>
      <c r="LBU10" s="413"/>
      <c r="LBV10" s="413"/>
      <c r="LBW10" s="413"/>
      <c r="LBX10" s="413"/>
      <c r="LBY10" s="413"/>
      <c r="LBZ10" s="413"/>
      <c r="LCA10" s="413"/>
      <c r="LCB10" s="514"/>
      <c r="LCC10" s="515"/>
      <c r="LCD10" s="515"/>
      <c r="LCE10" s="515"/>
      <c r="LCF10" s="515"/>
      <c r="LCG10" s="515"/>
      <c r="LCH10" s="515"/>
      <c r="LCI10" s="515"/>
      <c r="LCJ10" s="515"/>
      <c r="LCK10" s="515"/>
      <c r="LCL10" s="413"/>
      <c r="LCM10" s="413"/>
      <c r="LCN10" s="413"/>
      <c r="LCO10" s="413"/>
      <c r="LCP10" s="413"/>
      <c r="LCQ10" s="413"/>
      <c r="LCR10" s="413"/>
      <c r="LCS10" s="413"/>
      <c r="LCT10" s="413"/>
      <c r="LCU10" s="413"/>
      <c r="LCV10" s="413"/>
      <c r="LCW10" s="514"/>
      <c r="LCX10" s="515"/>
      <c r="LCY10" s="515"/>
      <c r="LCZ10" s="515"/>
      <c r="LDA10" s="515"/>
      <c r="LDB10" s="515"/>
      <c r="LDC10" s="515"/>
      <c r="LDD10" s="515"/>
      <c r="LDE10" s="515"/>
      <c r="LDF10" s="515"/>
      <c r="LDG10" s="413"/>
      <c r="LDH10" s="413"/>
      <c r="LDI10" s="413"/>
      <c r="LDJ10" s="413"/>
      <c r="LDK10" s="413"/>
      <c r="LDL10" s="413"/>
      <c r="LDM10" s="413"/>
      <c r="LDN10" s="413"/>
      <c r="LDO10" s="413"/>
      <c r="LDP10" s="413"/>
      <c r="LDQ10" s="413"/>
      <c r="LDR10" s="514"/>
      <c r="LDS10" s="515"/>
      <c r="LDT10" s="515"/>
      <c r="LDU10" s="515"/>
      <c r="LDV10" s="515"/>
      <c r="LDW10" s="515"/>
      <c r="LDX10" s="515"/>
      <c r="LDY10" s="515"/>
      <c r="LDZ10" s="515"/>
      <c r="LEA10" s="515"/>
      <c r="LEB10" s="413"/>
      <c r="LEC10" s="413"/>
      <c r="LED10" s="413"/>
      <c r="LEE10" s="413"/>
      <c r="LEF10" s="413"/>
      <c r="LEG10" s="413"/>
      <c r="LEH10" s="413"/>
      <c r="LEI10" s="413"/>
      <c r="LEJ10" s="413"/>
      <c r="LEK10" s="413"/>
      <c r="LEL10" s="413"/>
      <c r="LEM10" s="514"/>
      <c r="LEN10" s="515"/>
      <c r="LEO10" s="515"/>
      <c r="LEP10" s="515"/>
      <c r="LEQ10" s="515"/>
      <c r="LER10" s="515"/>
      <c r="LES10" s="515"/>
      <c r="LET10" s="515"/>
      <c r="LEU10" s="515"/>
      <c r="LEV10" s="515"/>
      <c r="LEW10" s="413"/>
      <c r="LEX10" s="413"/>
      <c r="LEY10" s="413"/>
      <c r="LEZ10" s="413"/>
      <c r="LFA10" s="413"/>
      <c r="LFB10" s="413"/>
      <c r="LFC10" s="413"/>
      <c r="LFD10" s="413"/>
      <c r="LFE10" s="413"/>
      <c r="LFF10" s="413"/>
      <c r="LFG10" s="413"/>
      <c r="LFH10" s="514"/>
      <c r="LFI10" s="515"/>
      <c r="LFJ10" s="515"/>
      <c r="LFK10" s="515"/>
      <c r="LFL10" s="515"/>
      <c r="LFM10" s="515"/>
      <c r="LFN10" s="515"/>
      <c r="LFO10" s="515"/>
      <c r="LFP10" s="515"/>
      <c r="LFQ10" s="515"/>
      <c r="LFR10" s="413"/>
      <c r="LFS10" s="413"/>
      <c r="LFT10" s="413"/>
      <c r="LFU10" s="413"/>
      <c r="LFV10" s="413"/>
      <c r="LFW10" s="413"/>
      <c r="LFX10" s="413"/>
      <c r="LFY10" s="413"/>
      <c r="LFZ10" s="413"/>
      <c r="LGA10" s="413"/>
      <c r="LGB10" s="413"/>
      <c r="LGC10" s="514"/>
      <c r="LGD10" s="515"/>
      <c r="LGE10" s="515"/>
      <c r="LGF10" s="515"/>
      <c r="LGG10" s="515"/>
      <c r="LGH10" s="515"/>
      <c r="LGI10" s="515"/>
      <c r="LGJ10" s="515"/>
      <c r="LGK10" s="515"/>
      <c r="LGL10" s="515"/>
      <c r="LGM10" s="413"/>
      <c r="LGN10" s="413"/>
      <c r="LGO10" s="413"/>
      <c r="LGP10" s="413"/>
      <c r="LGQ10" s="413"/>
      <c r="LGR10" s="413"/>
      <c r="LGS10" s="413"/>
      <c r="LGT10" s="413"/>
      <c r="LGU10" s="413"/>
      <c r="LGV10" s="413"/>
      <c r="LGW10" s="413"/>
      <c r="LGX10" s="514"/>
      <c r="LGY10" s="515"/>
      <c r="LGZ10" s="515"/>
      <c r="LHA10" s="515"/>
      <c r="LHB10" s="515"/>
      <c r="LHC10" s="515"/>
      <c r="LHD10" s="515"/>
      <c r="LHE10" s="515"/>
      <c r="LHF10" s="515"/>
      <c r="LHG10" s="515"/>
      <c r="LHH10" s="413"/>
      <c r="LHI10" s="413"/>
      <c r="LHJ10" s="413"/>
      <c r="LHK10" s="413"/>
      <c r="LHL10" s="413"/>
      <c r="LHM10" s="413"/>
      <c r="LHN10" s="413"/>
      <c r="LHO10" s="413"/>
      <c r="LHP10" s="413"/>
      <c r="LHQ10" s="413"/>
      <c r="LHR10" s="413"/>
      <c r="LHS10" s="514"/>
      <c r="LHT10" s="515"/>
      <c r="LHU10" s="515"/>
      <c r="LHV10" s="515"/>
      <c r="LHW10" s="515"/>
      <c r="LHX10" s="515"/>
      <c r="LHY10" s="515"/>
      <c r="LHZ10" s="515"/>
      <c r="LIA10" s="515"/>
      <c r="LIB10" s="515"/>
      <c r="LIC10" s="413"/>
      <c r="LID10" s="413"/>
      <c r="LIE10" s="413"/>
      <c r="LIF10" s="413"/>
      <c r="LIG10" s="413"/>
      <c r="LIH10" s="413"/>
      <c r="LII10" s="413"/>
      <c r="LIJ10" s="413"/>
      <c r="LIK10" s="413"/>
      <c r="LIL10" s="413"/>
      <c r="LIM10" s="413"/>
      <c r="LIN10" s="514"/>
      <c r="LIO10" s="515"/>
      <c r="LIP10" s="515"/>
      <c r="LIQ10" s="515"/>
      <c r="LIR10" s="515"/>
      <c r="LIS10" s="515"/>
      <c r="LIT10" s="515"/>
      <c r="LIU10" s="515"/>
      <c r="LIV10" s="515"/>
      <c r="LIW10" s="515"/>
      <c r="LIX10" s="413"/>
      <c r="LIY10" s="413"/>
      <c r="LIZ10" s="413"/>
      <c r="LJA10" s="413"/>
      <c r="LJB10" s="413"/>
      <c r="LJC10" s="413"/>
      <c r="LJD10" s="413"/>
      <c r="LJE10" s="413"/>
      <c r="LJF10" s="413"/>
      <c r="LJG10" s="413"/>
      <c r="LJH10" s="413"/>
      <c r="LJI10" s="514"/>
      <c r="LJJ10" s="515"/>
      <c r="LJK10" s="515"/>
      <c r="LJL10" s="515"/>
      <c r="LJM10" s="515"/>
      <c r="LJN10" s="515"/>
      <c r="LJO10" s="515"/>
      <c r="LJP10" s="515"/>
      <c r="LJQ10" s="515"/>
      <c r="LJR10" s="515"/>
      <c r="LJS10" s="413"/>
      <c r="LJT10" s="413"/>
      <c r="LJU10" s="413"/>
      <c r="LJV10" s="413"/>
      <c r="LJW10" s="413"/>
      <c r="LJX10" s="413"/>
      <c r="LJY10" s="413"/>
      <c r="LJZ10" s="413"/>
      <c r="LKA10" s="413"/>
      <c r="LKB10" s="413"/>
      <c r="LKC10" s="413"/>
      <c r="LKD10" s="514"/>
      <c r="LKE10" s="515"/>
      <c r="LKF10" s="515"/>
      <c r="LKG10" s="515"/>
      <c r="LKH10" s="515"/>
      <c r="LKI10" s="515"/>
      <c r="LKJ10" s="515"/>
      <c r="LKK10" s="515"/>
      <c r="LKL10" s="515"/>
      <c r="LKM10" s="515"/>
      <c r="LKN10" s="413"/>
      <c r="LKO10" s="413"/>
      <c r="LKP10" s="413"/>
      <c r="LKQ10" s="413"/>
      <c r="LKR10" s="413"/>
      <c r="LKS10" s="413"/>
      <c r="LKT10" s="413"/>
      <c r="LKU10" s="413"/>
      <c r="LKV10" s="413"/>
      <c r="LKW10" s="413"/>
      <c r="LKX10" s="413"/>
      <c r="LKY10" s="514"/>
      <c r="LKZ10" s="515"/>
      <c r="LLA10" s="515"/>
      <c r="LLB10" s="515"/>
      <c r="LLC10" s="515"/>
      <c r="LLD10" s="515"/>
      <c r="LLE10" s="515"/>
      <c r="LLF10" s="515"/>
      <c r="LLG10" s="515"/>
      <c r="LLH10" s="515"/>
      <c r="LLI10" s="413"/>
      <c r="LLJ10" s="413"/>
      <c r="LLK10" s="413"/>
      <c r="LLL10" s="413"/>
      <c r="LLM10" s="413"/>
      <c r="LLN10" s="413"/>
      <c r="LLO10" s="413"/>
      <c r="LLP10" s="413"/>
      <c r="LLQ10" s="413"/>
      <c r="LLR10" s="413"/>
      <c r="LLS10" s="413"/>
      <c r="LLT10" s="514"/>
      <c r="LLU10" s="515"/>
      <c r="LLV10" s="515"/>
      <c r="LLW10" s="515"/>
      <c r="LLX10" s="515"/>
      <c r="LLY10" s="515"/>
      <c r="LLZ10" s="515"/>
      <c r="LMA10" s="515"/>
      <c r="LMB10" s="515"/>
      <c r="LMC10" s="515"/>
      <c r="LMD10" s="413"/>
      <c r="LME10" s="413"/>
      <c r="LMF10" s="413"/>
      <c r="LMG10" s="413"/>
      <c r="LMH10" s="413"/>
      <c r="LMI10" s="413"/>
      <c r="LMJ10" s="413"/>
      <c r="LMK10" s="413"/>
      <c r="LML10" s="413"/>
      <c r="LMM10" s="413"/>
      <c r="LMN10" s="413"/>
      <c r="LMO10" s="514"/>
      <c r="LMP10" s="515"/>
      <c r="LMQ10" s="515"/>
      <c r="LMR10" s="515"/>
      <c r="LMS10" s="515"/>
      <c r="LMT10" s="515"/>
      <c r="LMU10" s="515"/>
      <c r="LMV10" s="515"/>
      <c r="LMW10" s="515"/>
      <c r="LMX10" s="515"/>
      <c r="LMY10" s="413"/>
      <c r="LMZ10" s="413"/>
      <c r="LNA10" s="413"/>
      <c r="LNB10" s="413"/>
      <c r="LNC10" s="413"/>
      <c r="LND10" s="413"/>
      <c r="LNE10" s="413"/>
      <c r="LNF10" s="413"/>
      <c r="LNG10" s="413"/>
      <c r="LNH10" s="413"/>
      <c r="LNI10" s="413"/>
      <c r="LNJ10" s="514"/>
      <c r="LNK10" s="515"/>
      <c r="LNL10" s="515"/>
      <c r="LNM10" s="515"/>
      <c r="LNN10" s="515"/>
      <c r="LNO10" s="515"/>
      <c r="LNP10" s="515"/>
      <c r="LNQ10" s="515"/>
      <c r="LNR10" s="515"/>
      <c r="LNS10" s="515"/>
      <c r="LNT10" s="413"/>
      <c r="LNU10" s="413"/>
      <c r="LNV10" s="413"/>
      <c r="LNW10" s="413"/>
      <c r="LNX10" s="413"/>
      <c r="LNY10" s="413"/>
      <c r="LNZ10" s="413"/>
      <c r="LOA10" s="413"/>
      <c r="LOB10" s="413"/>
      <c r="LOC10" s="413"/>
      <c r="LOD10" s="413"/>
      <c r="LOE10" s="514"/>
      <c r="LOF10" s="515"/>
      <c r="LOG10" s="515"/>
      <c r="LOH10" s="515"/>
      <c r="LOI10" s="515"/>
      <c r="LOJ10" s="515"/>
      <c r="LOK10" s="515"/>
      <c r="LOL10" s="515"/>
      <c r="LOM10" s="515"/>
      <c r="LON10" s="515"/>
      <c r="LOO10" s="413"/>
      <c r="LOP10" s="413"/>
      <c r="LOQ10" s="413"/>
      <c r="LOR10" s="413"/>
      <c r="LOS10" s="413"/>
      <c r="LOT10" s="413"/>
      <c r="LOU10" s="413"/>
      <c r="LOV10" s="413"/>
      <c r="LOW10" s="413"/>
      <c r="LOX10" s="413"/>
      <c r="LOY10" s="413"/>
      <c r="LOZ10" s="514"/>
      <c r="LPA10" s="515"/>
      <c r="LPB10" s="515"/>
      <c r="LPC10" s="515"/>
      <c r="LPD10" s="515"/>
      <c r="LPE10" s="515"/>
      <c r="LPF10" s="515"/>
      <c r="LPG10" s="515"/>
      <c r="LPH10" s="515"/>
      <c r="LPI10" s="515"/>
      <c r="LPJ10" s="413"/>
      <c r="LPK10" s="413"/>
      <c r="LPL10" s="413"/>
      <c r="LPM10" s="413"/>
      <c r="LPN10" s="413"/>
      <c r="LPO10" s="413"/>
      <c r="LPP10" s="413"/>
      <c r="LPQ10" s="413"/>
      <c r="LPR10" s="413"/>
      <c r="LPS10" s="413"/>
      <c r="LPT10" s="413"/>
      <c r="LPU10" s="514"/>
      <c r="LPV10" s="515"/>
      <c r="LPW10" s="515"/>
      <c r="LPX10" s="515"/>
      <c r="LPY10" s="515"/>
      <c r="LPZ10" s="515"/>
      <c r="LQA10" s="515"/>
      <c r="LQB10" s="515"/>
      <c r="LQC10" s="515"/>
      <c r="LQD10" s="515"/>
      <c r="LQE10" s="413"/>
      <c r="LQF10" s="413"/>
      <c r="LQG10" s="413"/>
      <c r="LQH10" s="413"/>
      <c r="LQI10" s="413"/>
      <c r="LQJ10" s="413"/>
      <c r="LQK10" s="413"/>
      <c r="LQL10" s="413"/>
      <c r="LQM10" s="413"/>
      <c r="LQN10" s="413"/>
      <c r="LQO10" s="413"/>
      <c r="LQP10" s="514"/>
      <c r="LQQ10" s="515"/>
      <c r="LQR10" s="515"/>
      <c r="LQS10" s="515"/>
      <c r="LQT10" s="515"/>
      <c r="LQU10" s="515"/>
      <c r="LQV10" s="515"/>
      <c r="LQW10" s="515"/>
      <c r="LQX10" s="515"/>
      <c r="LQY10" s="515"/>
      <c r="LQZ10" s="413"/>
      <c r="LRA10" s="413"/>
      <c r="LRB10" s="413"/>
      <c r="LRC10" s="413"/>
      <c r="LRD10" s="413"/>
      <c r="LRE10" s="413"/>
      <c r="LRF10" s="413"/>
      <c r="LRG10" s="413"/>
      <c r="LRH10" s="413"/>
      <c r="LRI10" s="413"/>
      <c r="LRJ10" s="413"/>
      <c r="LRK10" s="514"/>
      <c r="LRL10" s="515"/>
      <c r="LRM10" s="515"/>
      <c r="LRN10" s="515"/>
      <c r="LRO10" s="515"/>
      <c r="LRP10" s="515"/>
      <c r="LRQ10" s="515"/>
      <c r="LRR10" s="515"/>
      <c r="LRS10" s="515"/>
      <c r="LRT10" s="515"/>
      <c r="LRU10" s="413"/>
      <c r="LRV10" s="413"/>
      <c r="LRW10" s="413"/>
      <c r="LRX10" s="413"/>
      <c r="LRY10" s="413"/>
      <c r="LRZ10" s="413"/>
      <c r="LSA10" s="413"/>
      <c r="LSB10" s="413"/>
      <c r="LSC10" s="413"/>
      <c r="LSD10" s="413"/>
      <c r="LSE10" s="413"/>
      <c r="LSF10" s="514"/>
      <c r="LSG10" s="515"/>
      <c r="LSH10" s="515"/>
      <c r="LSI10" s="515"/>
      <c r="LSJ10" s="515"/>
      <c r="LSK10" s="515"/>
      <c r="LSL10" s="515"/>
      <c r="LSM10" s="515"/>
      <c r="LSN10" s="515"/>
      <c r="LSO10" s="515"/>
      <c r="LSP10" s="413"/>
      <c r="LSQ10" s="413"/>
      <c r="LSR10" s="413"/>
      <c r="LSS10" s="413"/>
      <c r="LST10" s="413"/>
      <c r="LSU10" s="413"/>
      <c r="LSV10" s="413"/>
      <c r="LSW10" s="413"/>
      <c r="LSX10" s="413"/>
      <c r="LSY10" s="413"/>
      <c r="LSZ10" s="413"/>
      <c r="LTA10" s="514"/>
      <c r="LTB10" s="515"/>
      <c r="LTC10" s="515"/>
      <c r="LTD10" s="515"/>
      <c r="LTE10" s="515"/>
      <c r="LTF10" s="515"/>
      <c r="LTG10" s="515"/>
      <c r="LTH10" s="515"/>
      <c r="LTI10" s="515"/>
      <c r="LTJ10" s="515"/>
      <c r="LTK10" s="413"/>
      <c r="LTL10" s="413"/>
      <c r="LTM10" s="413"/>
      <c r="LTN10" s="413"/>
      <c r="LTO10" s="413"/>
      <c r="LTP10" s="413"/>
      <c r="LTQ10" s="413"/>
      <c r="LTR10" s="413"/>
      <c r="LTS10" s="413"/>
      <c r="LTT10" s="413"/>
      <c r="LTU10" s="413"/>
      <c r="LTV10" s="514"/>
      <c r="LTW10" s="515"/>
      <c r="LTX10" s="515"/>
      <c r="LTY10" s="515"/>
      <c r="LTZ10" s="515"/>
      <c r="LUA10" s="515"/>
      <c r="LUB10" s="515"/>
      <c r="LUC10" s="515"/>
      <c r="LUD10" s="515"/>
      <c r="LUE10" s="515"/>
      <c r="LUF10" s="413"/>
      <c r="LUG10" s="413"/>
      <c r="LUH10" s="413"/>
      <c r="LUI10" s="413"/>
      <c r="LUJ10" s="413"/>
      <c r="LUK10" s="413"/>
      <c r="LUL10" s="413"/>
      <c r="LUM10" s="413"/>
      <c r="LUN10" s="413"/>
      <c r="LUO10" s="413"/>
      <c r="LUP10" s="413"/>
      <c r="LUQ10" s="514"/>
      <c r="LUR10" s="515"/>
      <c r="LUS10" s="515"/>
      <c r="LUT10" s="515"/>
      <c r="LUU10" s="515"/>
      <c r="LUV10" s="515"/>
      <c r="LUW10" s="515"/>
      <c r="LUX10" s="515"/>
      <c r="LUY10" s="515"/>
      <c r="LUZ10" s="515"/>
      <c r="LVA10" s="413"/>
      <c r="LVB10" s="413"/>
      <c r="LVC10" s="413"/>
      <c r="LVD10" s="413"/>
      <c r="LVE10" s="413"/>
      <c r="LVF10" s="413"/>
      <c r="LVG10" s="413"/>
      <c r="LVH10" s="413"/>
      <c r="LVI10" s="413"/>
      <c r="LVJ10" s="413"/>
      <c r="LVK10" s="413"/>
      <c r="LVL10" s="514"/>
      <c r="LVM10" s="515"/>
      <c r="LVN10" s="515"/>
      <c r="LVO10" s="515"/>
      <c r="LVP10" s="515"/>
      <c r="LVQ10" s="515"/>
      <c r="LVR10" s="515"/>
      <c r="LVS10" s="515"/>
      <c r="LVT10" s="515"/>
      <c r="LVU10" s="515"/>
      <c r="LVV10" s="413"/>
      <c r="LVW10" s="413"/>
      <c r="LVX10" s="413"/>
      <c r="LVY10" s="413"/>
      <c r="LVZ10" s="413"/>
      <c r="LWA10" s="413"/>
      <c r="LWB10" s="413"/>
      <c r="LWC10" s="413"/>
      <c r="LWD10" s="413"/>
      <c r="LWE10" s="413"/>
      <c r="LWF10" s="413"/>
      <c r="LWG10" s="514"/>
      <c r="LWH10" s="515"/>
      <c r="LWI10" s="515"/>
      <c r="LWJ10" s="515"/>
      <c r="LWK10" s="515"/>
      <c r="LWL10" s="515"/>
      <c r="LWM10" s="515"/>
      <c r="LWN10" s="515"/>
      <c r="LWO10" s="515"/>
      <c r="LWP10" s="515"/>
      <c r="LWQ10" s="413"/>
      <c r="LWR10" s="413"/>
      <c r="LWS10" s="413"/>
      <c r="LWT10" s="413"/>
      <c r="LWU10" s="413"/>
      <c r="LWV10" s="413"/>
      <c r="LWW10" s="413"/>
      <c r="LWX10" s="413"/>
      <c r="LWY10" s="413"/>
      <c r="LWZ10" s="413"/>
      <c r="LXA10" s="413"/>
      <c r="LXB10" s="514"/>
      <c r="LXC10" s="515"/>
      <c r="LXD10" s="515"/>
      <c r="LXE10" s="515"/>
      <c r="LXF10" s="515"/>
      <c r="LXG10" s="515"/>
      <c r="LXH10" s="515"/>
      <c r="LXI10" s="515"/>
      <c r="LXJ10" s="515"/>
      <c r="LXK10" s="515"/>
      <c r="LXL10" s="413"/>
      <c r="LXM10" s="413"/>
      <c r="LXN10" s="413"/>
      <c r="LXO10" s="413"/>
      <c r="LXP10" s="413"/>
      <c r="LXQ10" s="413"/>
      <c r="LXR10" s="413"/>
      <c r="LXS10" s="413"/>
      <c r="LXT10" s="413"/>
      <c r="LXU10" s="413"/>
      <c r="LXV10" s="413"/>
      <c r="LXW10" s="514"/>
      <c r="LXX10" s="515"/>
      <c r="LXY10" s="515"/>
      <c r="LXZ10" s="515"/>
      <c r="LYA10" s="515"/>
      <c r="LYB10" s="515"/>
      <c r="LYC10" s="515"/>
      <c r="LYD10" s="515"/>
      <c r="LYE10" s="515"/>
      <c r="LYF10" s="515"/>
      <c r="LYG10" s="413"/>
      <c r="LYH10" s="413"/>
      <c r="LYI10" s="413"/>
      <c r="LYJ10" s="413"/>
      <c r="LYK10" s="413"/>
      <c r="LYL10" s="413"/>
      <c r="LYM10" s="413"/>
      <c r="LYN10" s="413"/>
      <c r="LYO10" s="413"/>
      <c r="LYP10" s="413"/>
      <c r="LYQ10" s="413"/>
      <c r="LYR10" s="514"/>
      <c r="LYS10" s="515"/>
      <c r="LYT10" s="515"/>
      <c r="LYU10" s="515"/>
      <c r="LYV10" s="515"/>
      <c r="LYW10" s="515"/>
      <c r="LYX10" s="515"/>
      <c r="LYY10" s="515"/>
      <c r="LYZ10" s="515"/>
      <c r="LZA10" s="515"/>
      <c r="LZB10" s="413"/>
      <c r="LZC10" s="413"/>
      <c r="LZD10" s="413"/>
      <c r="LZE10" s="413"/>
      <c r="LZF10" s="413"/>
      <c r="LZG10" s="413"/>
      <c r="LZH10" s="413"/>
      <c r="LZI10" s="413"/>
      <c r="LZJ10" s="413"/>
      <c r="LZK10" s="413"/>
      <c r="LZL10" s="413"/>
      <c r="LZM10" s="514"/>
      <c r="LZN10" s="515"/>
      <c r="LZO10" s="515"/>
      <c r="LZP10" s="515"/>
      <c r="LZQ10" s="515"/>
      <c r="LZR10" s="515"/>
      <c r="LZS10" s="515"/>
      <c r="LZT10" s="515"/>
      <c r="LZU10" s="515"/>
      <c r="LZV10" s="515"/>
      <c r="LZW10" s="413"/>
      <c r="LZX10" s="413"/>
      <c r="LZY10" s="413"/>
      <c r="LZZ10" s="413"/>
      <c r="MAA10" s="413"/>
      <c r="MAB10" s="413"/>
      <c r="MAC10" s="413"/>
      <c r="MAD10" s="413"/>
      <c r="MAE10" s="413"/>
      <c r="MAF10" s="413"/>
      <c r="MAG10" s="413"/>
      <c r="MAH10" s="514"/>
      <c r="MAI10" s="515"/>
      <c r="MAJ10" s="515"/>
      <c r="MAK10" s="515"/>
      <c r="MAL10" s="515"/>
      <c r="MAM10" s="515"/>
      <c r="MAN10" s="515"/>
      <c r="MAO10" s="515"/>
      <c r="MAP10" s="515"/>
      <c r="MAQ10" s="515"/>
      <c r="MAR10" s="413"/>
      <c r="MAS10" s="413"/>
      <c r="MAT10" s="413"/>
      <c r="MAU10" s="413"/>
      <c r="MAV10" s="413"/>
      <c r="MAW10" s="413"/>
      <c r="MAX10" s="413"/>
      <c r="MAY10" s="413"/>
      <c r="MAZ10" s="413"/>
      <c r="MBA10" s="413"/>
      <c r="MBB10" s="413"/>
      <c r="MBC10" s="514"/>
      <c r="MBD10" s="515"/>
      <c r="MBE10" s="515"/>
      <c r="MBF10" s="515"/>
      <c r="MBG10" s="515"/>
      <c r="MBH10" s="515"/>
      <c r="MBI10" s="515"/>
      <c r="MBJ10" s="515"/>
      <c r="MBK10" s="515"/>
      <c r="MBL10" s="515"/>
      <c r="MBM10" s="413"/>
      <c r="MBN10" s="413"/>
      <c r="MBO10" s="413"/>
      <c r="MBP10" s="413"/>
      <c r="MBQ10" s="413"/>
      <c r="MBR10" s="413"/>
      <c r="MBS10" s="413"/>
      <c r="MBT10" s="413"/>
      <c r="MBU10" s="413"/>
      <c r="MBV10" s="413"/>
      <c r="MBW10" s="413"/>
      <c r="MBX10" s="514"/>
      <c r="MBY10" s="515"/>
      <c r="MBZ10" s="515"/>
      <c r="MCA10" s="515"/>
      <c r="MCB10" s="515"/>
      <c r="MCC10" s="515"/>
      <c r="MCD10" s="515"/>
      <c r="MCE10" s="515"/>
      <c r="MCF10" s="515"/>
      <c r="MCG10" s="515"/>
      <c r="MCH10" s="413"/>
      <c r="MCI10" s="413"/>
      <c r="MCJ10" s="413"/>
      <c r="MCK10" s="413"/>
      <c r="MCL10" s="413"/>
      <c r="MCM10" s="413"/>
      <c r="MCN10" s="413"/>
      <c r="MCO10" s="413"/>
      <c r="MCP10" s="413"/>
      <c r="MCQ10" s="413"/>
      <c r="MCR10" s="413"/>
      <c r="MCS10" s="514"/>
      <c r="MCT10" s="515"/>
      <c r="MCU10" s="515"/>
      <c r="MCV10" s="515"/>
      <c r="MCW10" s="515"/>
      <c r="MCX10" s="515"/>
      <c r="MCY10" s="515"/>
      <c r="MCZ10" s="515"/>
      <c r="MDA10" s="515"/>
      <c r="MDB10" s="515"/>
      <c r="MDC10" s="413"/>
      <c r="MDD10" s="413"/>
      <c r="MDE10" s="413"/>
      <c r="MDF10" s="413"/>
      <c r="MDG10" s="413"/>
      <c r="MDH10" s="413"/>
      <c r="MDI10" s="413"/>
      <c r="MDJ10" s="413"/>
      <c r="MDK10" s="413"/>
      <c r="MDL10" s="413"/>
      <c r="MDM10" s="413"/>
      <c r="MDN10" s="514"/>
      <c r="MDO10" s="515"/>
      <c r="MDP10" s="515"/>
      <c r="MDQ10" s="515"/>
      <c r="MDR10" s="515"/>
      <c r="MDS10" s="515"/>
      <c r="MDT10" s="515"/>
      <c r="MDU10" s="515"/>
      <c r="MDV10" s="515"/>
      <c r="MDW10" s="515"/>
      <c r="MDX10" s="413"/>
      <c r="MDY10" s="413"/>
      <c r="MDZ10" s="413"/>
      <c r="MEA10" s="413"/>
      <c r="MEB10" s="413"/>
      <c r="MEC10" s="413"/>
      <c r="MED10" s="413"/>
      <c r="MEE10" s="413"/>
      <c r="MEF10" s="413"/>
      <c r="MEG10" s="413"/>
      <c r="MEH10" s="413"/>
      <c r="MEI10" s="514"/>
      <c r="MEJ10" s="515"/>
      <c r="MEK10" s="515"/>
      <c r="MEL10" s="515"/>
      <c r="MEM10" s="515"/>
      <c r="MEN10" s="515"/>
      <c r="MEO10" s="515"/>
      <c r="MEP10" s="515"/>
      <c r="MEQ10" s="515"/>
      <c r="MER10" s="515"/>
      <c r="MES10" s="413"/>
      <c r="MET10" s="413"/>
      <c r="MEU10" s="413"/>
      <c r="MEV10" s="413"/>
      <c r="MEW10" s="413"/>
      <c r="MEX10" s="413"/>
      <c r="MEY10" s="413"/>
      <c r="MEZ10" s="413"/>
      <c r="MFA10" s="413"/>
      <c r="MFB10" s="413"/>
      <c r="MFC10" s="413"/>
      <c r="MFD10" s="514"/>
      <c r="MFE10" s="515"/>
      <c r="MFF10" s="515"/>
      <c r="MFG10" s="515"/>
      <c r="MFH10" s="515"/>
      <c r="MFI10" s="515"/>
      <c r="MFJ10" s="515"/>
      <c r="MFK10" s="515"/>
      <c r="MFL10" s="515"/>
      <c r="MFM10" s="515"/>
      <c r="MFN10" s="413"/>
      <c r="MFO10" s="413"/>
      <c r="MFP10" s="413"/>
      <c r="MFQ10" s="413"/>
      <c r="MFR10" s="413"/>
      <c r="MFS10" s="413"/>
      <c r="MFT10" s="413"/>
      <c r="MFU10" s="413"/>
      <c r="MFV10" s="413"/>
      <c r="MFW10" s="413"/>
      <c r="MFX10" s="413"/>
      <c r="MFY10" s="514"/>
      <c r="MFZ10" s="515"/>
      <c r="MGA10" s="515"/>
      <c r="MGB10" s="515"/>
      <c r="MGC10" s="515"/>
      <c r="MGD10" s="515"/>
      <c r="MGE10" s="515"/>
      <c r="MGF10" s="515"/>
      <c r="MGG10" s="515"/>
      <c r="MGH10" s="515"/>
      <c r="MGI10" s="413"/>
      <c r="MGJ10" s="413"/>
      <c r="MGK10" s="413"/>
      <c r="MGL10" s="413"/>
      <c r="MGM10" s="413"/>
      <c r="MGN10" s="413"/>
      <c r="MGO10" s="413"/>
      <c r="MGP10" s="413"/>
      <c r="MGQ10" s="413"/>
      <c r="MGR10" s="413"/>
      <c r="MGS10" s="413"/>
      <c r="MGT10" s="514"/>
      <c r="MGU10" s="515"/>
      <c r="MGV10" s="515"/>
      <c r="MGW10" s="515"/>
      <c r="MGX10" s="515"/>
      <c r="MGY10" s="515"/>
      <c r="MGZ10" s="515"/>
      <c r="MHA10" s="515"/>
      <c r="MHB10" s="515"/>
      <c r="MHC10" s="515"/>
      <c r="MHD10" s="413"/>
      <c r="MHE10" s="413"/>
      <c r="MHF10" s="413"/>
      <c r="MHG10" s="413"/>
      <c r="MHH10" s="413"/>
      <c r="MHI10" s="413"/>
      <c r="MHJ10" s="413"/>
      <c r="MHK10" s="413"/>
      <c r="MHL10" s="413"/>
      <c r="MHM10" s="413"/>
      <c r="MHN10" s="413"/>
      <c r="MHO10" s="514"/>
      <c r="MHP10" s="515"/>
      <c r="MHQ10" s="515"/>
      <c r="MHR10" s="515"/>
      <c r="MHS10" s="515"/>
      <c r="MHT10" s="515"/>
      <c r="MHU10" s="515"/>
      <c r="MHV10" s="515"/>
      <c r="MHW10" s="515"/>
      <c r="MHX10" s="515"/>
      <c r="MHY10" s="413"/>
      <c r="MHZ10" s="413"/>
      <c r="MIA10" s="413"/>
      <c r="MIB10" s="413"/>
      <c r="MIC10" s="413"/>
      <c r="MID10" s="413"/>
      <c r="MIE10" s="413"/>
      <c r="MIF10" s="413"/>
      <c r="MIG10" s="413"/>
      <c r="MIH10" s="413"/>
      <c r="MII10" s="413"/>
      <c r="MIJ10" s="514"/>
      <c r="MIK10" s="515"/>
      <c r="MIL10" s="515"/>
      <c r="MIM10" s="515"/>
      <c r="MIN10" s="515"/>
      <c r="MIO10" s="515"/>
      <c r="MIP10" s="515"/>
      <c r="MIQ10" s="515"/>
      <c r="MIR10" s="515"/>
      <c r="MIS10" s="515"/>
      <c r="MIT10" s="413"/>
      <c r="MIU10" s="413"/>
      <c r="MIV10" s="413"/>
      <c r="MIW10" s="413"/>
      <c r="MIX10" s="413"/>
      <c r="MIY10" s="413"/>
      <c r="MIZ10" s="413"/>
      <c r="MJA10" s="413"/>
      <c r="MJB10" s="413"/>
      <c r="MJC10" s="413"/>
      <c r="MJD10" s="413"/>
      <c r="MJE10" s="514"/>
      <c r="MJF10" s="515"/>
      <c r="MJG10" s="515"/>
      <c r="MJH10" s="515"/>
      <c r="MJI10" s="515"/>
      <c r="MJJ10" s="515"/>
      <c r="MJK10" s="515"/>
      <c r="MJL10" s="515"/>
      <c r="MJM10" s="515"/>
      <c r="MJN10" s="515"/>
      <c r="MJO10" s="413"/>
      <c r="MJP10" s="413"/>
      <c r="MJQ10" s="413"/>
      <c r="MJR10" s="413"/>
      <c r="MJS10" s="413"/>
      <c r="MJT10" s="413"/>
      <c r="MJU10" s="413"/>
      <c r="MJV10" s="413"/>
      <c r="MJW10" s="413"/>
      <c r="MJX10" s="413"/>
      <c r="MJY10" s="413"/>
      <c r="MJZ10" s="514"/>
      <c r="MKA10" s="515"/>
      <c r="MKB10" s="515"/>
      <c r="MKC10" s="515"/>
      <c r="MKD10" s="515"/>
      <c r="MKE10" s="515"/>
      <c r="MKF10" s="515"/>
      <c r="MKG10" s="515"/>
      <c r="MKH10" s="515"/>
      <c r="MKI10" s="515"/>
      <c r="MKJ10" s="413"/>
      <c r="MKK10" s="413"/>
      <c r="MKL10" s="413"/>
      <c r="MKM10" s="413"/>
      <c r="MKN10" s="413"/>
      <c r="MKO10" s="413"/>
      <c r="MKP10" s="413"/>
      <c r="MKQ10" s="413"/>
      <c r="MKR10" s="413"/>
      <c r="MKS10" s="413"/>
      <c r="MKT10" s="413"/>
      <c r="MKU10" s="514"/>
      <c r="MKV10" s="515"/>
      <c r="MKW10" s="515"/>
      <c r="MKX10" s="515"/>
      <c r="MKY10" s="515"/>
      <c r="MKZ10" s="515"/>
      <c r="MLA10" s="515"/>
      <c r="MLB10" s="515"/>
      <c r="MLC10" s="515"/>
      <c r="MLD10" s="515"/>
      <c r="MLE10" s="413"/>
      <c r="MLF10" s="413"/>
      <c r="MLG10" s="413"/>
      <c r="MLH10" s="413"/>
      <c r="MLI10" s="413"/>
      <c r="MLJ10" s="413"/>
      <c r="MLK10" s="413"/>
      <c r="MLL10" s="413"/>
      <c r="MLM10" s="413"/>
      <c r="MLN10" s="413"/>
      <c r="MLO10" s="413"/>
      <c r="MLP10" s="514"/>
      <c r="MLQ10" s="515"/>
      <c r="MLR10" s="515"/>
      <c r="MLS10" s="515"/>
      <c r="MLT10" s="515"/>
      <c r="MLU10" s="515"/>
      <c r="MLV10" s="515"/>
      <c r="MLW10" s="515"/>
      <c r="MLX10" s="515"/>
      <c r="MLY10" s="515"/>
      <c r="MLZ10" s="413"/>
      <c r="MMA10" s="413"/>
      <c r="MMB10" s="413"/>
      <c r="MMC10" s="413"/>
      <c r="MMD10" s="413"/>
      <c r="MME10" s="413"/>
      <c r="MMF10" s="413"/>
      <c r="MMG10" s="413"/>
      <c r="MMH10" s="413"/>
      <c r="MMI10" s="413"/>
      <c r="MMJ10" s="413"/>
      <c r="MMK10" s="514"/>
      <c r="MML10" s="515"/>
      <c r="MMM10" s="515"/>
      <c r="MMN10" s="515"/>
      <c r="MMO10" s="515"/>
      <c r="MMP10" s="515"/>
      <c r="MMQ10" s="515"/>
      <c r="MMR10" s="515"/>
      <c r="MMS10" s="515"/>
      <c r="MMT10" s="515"/>
      <c r="MMU10" s="413"/>
      <c r="MMV10" s="413"/>
      <c r="MMW10" s="413"/>
      <c r="MMX10" s="413"/>
      <c r="MMY10" s="413"/>
      <c r="MMZ10" s="413"/>
      <c r="MNA10" s="413"/>
      <c r="MNB10" s="413"/>
      <c r="MNC10" s="413"/>
      <c r="MND10" s="413"/>
      <c r="MNE10" s="413"/>
      <c r="MNF10" s="514"/>
      <c r="MNG10" s="515"/>
      <c r="MNH10" s="515"/>
      <c r="MNI10" s="515"/>
      <c r="MNJ10" s="515"/>
      <c r="MNK10" s="515"/>
      <c r="MNL10" s="515"/>
      <c r="MNM10" s="515"/>
      <c r="MNN10" s="515"/>
      <c r="MNO10" s="515"/>
      <c r="MNP10" s="413"/>
      <c r="MNQ10" s="413"/>
      <c r="MNR10" s="413"/>
      <c r="MNS10" s="413"/>
      <c r="MNT10" s="413"/>
      <c r="MNU10" s="413"/>
      <c r="MNV10" s="413"/>
      <c r="MNW10" s="413"/>
      <c r="MNX10" s="413"/>
      <c r="MNY10" s="413"/>
      <c r="MNZ10" s="413"/>
      <c r="MOA10" s="514"/>
      <c r="MOB10" s="515"/>
      <c r="MOC10" s="515"/>
      <c r="MOD10" s="515"/>
      <c r="MOE10" s="515"/>
      <c r="MOF10" s="515"/>
      <c r="MOG10" s="515"/>
      <c r="MOH10" s="515"/>
      <c r="MOI10" s="515"/>
      <c r="MOJ10" s="515"/>
      <c r="MOK10" s="413"/>
      <c r="MOL10" s="413"/>
      <c r="MOM10" s="413"/>
      <c r="MON10" s="413"/>
      <c r="MOO10" s="413"/>
      <c r="MOP10" s="413"/>
      <c r="MOQ10" s="413"/>
      <c r="MOR10" s="413"/>
      <c r="MOS10" s="413"/>
      <c r="MOT10" s="413"/>
      <c r="MOU10" s="413"/>
      <c r="MOV10" s="514"/>
      <c r="MOW10" s="515"/>
      <c r="MOX10" s="515"/>
      <c r="MOY10" s="515"/>
      <c r="MOZ10" s="515"/>
      <c r="MPA10" s="515"/>
      <c r="MPB10" s="515"/>
      <c r="MPC10" s="515"/>
      <c r="MPD10" s="515"/>
      <c r="MPE10" s="515"/>
      <c r="MPF10" s="413"/>
      <c r="MPG10" s="413"/>
      <c r="MPH10" s="413"/>
      <c r="MPI10" s="413"/>
      <c r="MPJ10" s="413"/>
      <c r="MPK10" s="413"/>
      <c r="MPL10" s="413"/>
      <c r="MPM10" s="413"/>
      <c r="MPN10" s="413"/>
      <c r="MPO10" s="413"/>
      <c r="MPP10" s="413"/>
      <c r="MPQ10" s="514"/>
      <c r="MPR10" s="515"/>
      <c r="MPS10" s="515"/>
      <c r="MPT10" s="515"/>
      <c r="MPU10" s="515"/>
      <c r="MPV10" s="515"/>
      <c r="MPW10" s="515"/>
      <c r="MPX10" s="515"/>
      <c r="MPY10" s="515"/>
      <c r="MPZ10" s="515"/>
      <c r="MQA10" s="413"/>
      <c r="MQB10" s="413"/>
      <c r="MQC10" s="413"/>
      <c r="MQD10" s="413"/>
      <c r="MQE10" s="413"/>
      <c r="MQF10" s="413"/>
      <c r="MQG10" s="413"/>
      <c r="MQH10" s="413"/>
      <c r="MQI10" s="413"/>
      <c r="MQJ10" s="413"/>
      <c r="MQK10" s="413"/>
      <c r="MQL10" s="514"/>
      <c r="MQM10" s="515"/>
      <c r="MQN10" s="515"/>
      <c r="MQO10" s="515"/>
      <c r="MQP10" s="515"/>
      <c r="MQQ10" s="515"/>
      <c r="MQR10" s="515"/>
      <c r="MQS10" s="515"/>
      <c r="MQT10" s="515"/>
      <c r="MQU10" s="515"/>
      <c r="MQV10" s="413"/>
      <c r="MQW10" s="413"/>
      <c r="MQX10" s="413"/>
      <c r="MQY10" s="413"/>
      <c r="MQZ10" s="413"/>
      <c r="MRA10" s="413"/>
      <c r="MRB10" s="413"/>
      <c r="MRC10" s="413"/>
      <c r="MRD10" s="413"/>
      <c r="MRE10" s="413"/>
      <c r="MRF10" s="413"/>
      <c r="MRG10" s="514"/>
      <c r="MRH10" s="515"/>
      <c r="MRI10" s="515"/>
      <c r="MRJ10" s="515"/>
      <c r="MRK10" s="515"/>
      <c r="MRL10" s="515"/>
      <c r="MRM10" s="515"/>
      <c r="MRN10" s="515"/>
      <c r="MRO10" s="515"/>
      <c r="MRP10" s="515"/>
      <c r="MRQ10" s="413"/>
      <c r="MRR10" s="413"/>
      <c r="MRS10" s="413"/>
      <c r="MRT10" s="413"/>
      <c r="MRU10" s="413"/>
      <c r="MRV10" s="413"/>
      <c r="MRW10" s="413"/>
      <c r="MRX10" s="413"/>
      <c r="MRY10" s="413"/>
      <c r="MRZ10" s="413"/>
      <c r="MSA10" s="413"/>
      <c r="MSB10" s="514"/>
      <c r="MSC10" s="515"/>
      <c r="MSD10" s="515"/>
      <c r="MSE10" s="515"/>
      <c r="MSF10" s="515"/>
      <c r="MSG10" s="515"/>
      <c r="MSH10" s="515"/>
      <c r="MSI10" s="515"/>
      <c r="MSJ10" s="515"/>
      <c r="MSK10" s="515"/>
      <c r="MSL10" s="413"/>
      <c r="MSM10" s="413"/>
      <c r="MSN10" s="413"/>
      <c r="MSO10" s="413"/>
      <c r="MSP10" s="413"/>
      <c r="MSQ10" s="413"/>
      <c r="MSR10" s="413"/>
      <c r="MSS10" s="413"/>
      <c r="MST10" s="413"/>
      <c r="MSU10" s="413"/>
      <c r="MSV10" s="413"/>
      <c r="MSW10" s="514"/>
      <c r="MSX10" s="515"/>
      <c r="MSY10" s="515"/>
      <c r="MSZ10" s="515"/>
      <c r="MTA10" s="515"/>
      <c r="MTB10" s="515"/>
      <c r="MTC10" s="515"/>
      <c r="MTD10" s="515"/>
      <c r="MTE10" s="515"/>
      <c r="MTF10" s="515"/>
      <c r="MTG10" s="413"/>
      <c r="MTH10" s="413"/>
      <c r="MTI10" s="413"/>
      <c r="MTJ10" s="413"/>
      <c r="MTK10" s="413"/>
      <c r="MTL10" s="413"/>
      <c r="MTM10" s="413"/>
      <c r="MTN10" s="413"/>
      <c r="MTO10" s="413"/>
      <c r="MTP10" s="413"/>
      <c r="MTQ10" s="413"/>
      <c r="MTR10" s="514"/>
      <c r="MTS10" s="515"/>
      <c r="MTT10" s="515"/>
      <c r="MTU10" s="515"/>
      <c r="MTV10" s="515"/>
      <c r="MTW10" s="515"/>
      <c r="MTX10" s="515"/>
      <c r="MTY10" s="515"/>
      <c r="MTZ10" s="515"/>
      <c r="MUA10" s="515"/>
      <c r="MUB10" s="413"/>
      <c r="MUC10" s="413"/>
      <c r="MUD10" s="413"/>
      <c r="MUE10" s="413"/>
      <c r="MUF10" s="413"/>
      <c r="MUG10" s="413"/>
      <c r="MUH10" s="413"/>
      <c r="MUI10" s="413"/>
      <c r="MUJ10" s="413"/>
      <c r="MUK10" s="413"/>
      <c r="MUL10" s="413"/>
      <c r="MUM10" s="514"/>
      <c r="MUN10" s="515"/>
      <c r="MUO10" s="515"/>
      <c r="MUP10" s="515"/>
      <c r="MUQ10" s="515"/>
      <c r="MUR10" s="515"/>
      <c r="MUS10" s="515"/>
      <c r="MUT10" s="515"/>
      <c r="MUU10" s="515"/>
      <c r="MUV10" s="515"/>
      <c r="MUW10" s="413"/>
      <c r="MUX10" s="413"/>
      <c r="MUY10" s="413"/>
      <c r="MUZ10" s="413"/>
      <c r="MVA10" s="413"/>
      <c r="MVB10" s="413"/>
      <c r="MVC10" s="413"/>
      <c r="MVD10" s="413"/>
      <c r="MVE10" s="413"/>
      <c r="MVF10" s="413"/>
      <c r="MVG10" s="413"/>
      <c r="MVH10" s="514"/>
      <c r="MVI10" s="515"/>
      <c r="MVJ10" s="515"/>
      <c r="MVK10" s="515"/>
      <c r="MVL10" s="515"/>
      <c r="MVM10" s="515"/>
      <c r="MVN10" s="515"/>
      <c r="MVO10" s="515"/>
      <c r="MVP10" s="515"/>
      <c r="MVQ10" s="515"/>
      <c r="MVR10" s="413"/>
      <c r="MVS10" s="413"/>
      <c r="MVT10" s="413"/>
      <c r="MVU10" s="413"/>
      <c r="MVV10" s="413"/>
      <c r="MVW10" s="413"/>
      <c r="MVX10" s="413"/>
      <c r="MVY10" s="413"/>
      <c r="MVZ10" s="413"/>
      <c r="MWA10" s="413"/>
      <c r="MWB10" s="413"/>
      <c r="MWC10" s="514"/>
      <c r="MWD10" s="515"/>
      <c r="MWE10" s="515"/>
      <c r="MWF10" s="515"/>
      <c r="MWG10" s="515"/>
      <c r="MWH10" s="515"/>
      <c r="MWI10" s="515"/>
      <c r="MWJ10" s="515"/>
      <c r="MWK10" s="515"/>
      <c r="MWL10" s="515"/>
      <c r="MWM10" s="413"/>
      <c r="MWN10" s="413"/>
      <c r="MWO10" s="413"/>
      <c r="MWP10" s="413"/>
      <c r="MWQ10" s="413"/>
      <c r="MWR10" s="413"/>
      <c r="MWS10" s="413"/>
      <c r="MWT10" s="413"/>
      <c r="MWU10" s="413"/>
      <c r="MWV10" s="413"/>
      <c r="MWW10" s="413"/>
      <c r="MWX10" s="514"/>
      <c r="MWY10" s="515"/>
      <c r="MWZ10" s="515"/>
      <c r="MXA10" s="515"/>
      <c r="MXB10" s="515"/>
      <c r="MXC10" s="515"/>
      <c r="MXD10" s="515"/>
      <c r="MXE10" s="515"/>
      <c r="MXF10" s="515"/>
      <c r="MXG10" s="515"/>
      <c r="MXH10" s="413"/>
      <c r="MXI10" s="413"/>
      <c r="MXJ10" s="413"/>
      <c r="MXK10" s="413"/>
      <c r="MXL10" s="413"/>
      <c r="MXM10" s="413"/>
      <c r="MXN10" s="413"/>
      <c r="MXO10" s="413"/>
      <c r="MXP10" s="413"/>
      <c r="MXQ10" s="413"/>
      <c r="MXR10" s="413"/>
      <c r="MXS10" s="514"/>
      <c r="MXT10" s="515"/>
      <c r="MXU10" s="515"/>
      <c r="MXV10" s="515"/>
      <c r="MXW10" s="515"/>
      <c r="MXX10" s="515"/>
      <c r="MXY10" s="515"/>
      <c r="MXZ10" s="515"/>
      <c r="MYA10" s="515"/>
      <c r="MYB10" s="515"/>
      <c r="MYC10" s="413"/>
      <c r="MYD10" s="413"/>
      <c r="MYE10" s="413"/>
      <c r="MYF10" s="413"/>
      <c r="MYG10" s="413"/>
      <c r="MYH10" s="413"/>
      <c r="MYI10" s="413"/>
      <c r="MYJ10" s="413"/>
      <c r="MYK10" s="413"/>
      <c r="MYL10" s="413"/>
      <c r="MYM10" s="413"/>
      <c r="MYN10" s="514"/>
      <c r="MYO10" s="515"/>
      <c r="MYP10" s="515"/>
      <c r="MYQ10" s="515"/>
      <c r="MYR10" s="515"/>
      <c r="MYS10" s="515"/>
      <c r="MYT10" s="515"/>
      <c r="MYU10" s="515"/>
      <c r="MYV10" s="515"/>
      <c r="MYW10" s="515"/>
      <c r="MYX10" s="413"/>
      <c r="MYY10" s="413"/>
      <c r="MYZ10" s="413"/>
      <c r="MZA10" s="413"/>
      <c r="MZB10" s="413"/>
      <c r="MZC10" s="413"/>
      <c r="MZD10" s="413"/>
      <c r="MZE10" s="413"/>
      <c r="MZF10" s="413"/>
      <c r="MZG10" s="413"/>
      <c r="MZH10" s="413"/>
      <c r="MZI10" s="514"/>
      <c r="MZJ10" s="515"/>
      <c r="MZK10" s="515"/>
      <c r="MZL10" s="515"/>
      <c r="MZM10" s="515"/>
      <c r="MZN10" s="515"/>
      <c r="MZO10" s="515"/>
      <c r="MZP10" s="515"/>
      <c r="MZQ10" s="515"/>
      <c r="MZR10" s="515"/>
      <c r="MZS10" s="413"/>
      <c r="MZT10" s="413"/>
      <c r="MZU10" s="413"/>
      <c r="MZV10" s="413"/>
      <c r="MZW10" s="413"/>
      <c r="MZX10" s="413"/>
      <c r="MZY10" s="413"/>
      <c r="MZZ10" s="413"/>
      <c r="NAA10" s="413"/>
      <c r="NAB10" s="413"/>
      <c r="NAC10" s="413"/>
      <c r="NAD10" s="514"/>
      <c r="NAE10" s="515"/>
      <c r="NAF10" s="515"/>
      <c r="NAG10" s="515"/>
      <c r="NAH10" s="515"/>
      <c r="NAI10" s="515"/>
      <c r="NAJ10" s="515"/>
      <c r="NAK10" s="515"/>
      <c r="NAL10" s="515"/>
      <c r="NAM10" s="515"/>
      <c r="NAN10" s="413"/>
      <c r="NAO10" s="413"/>
      <c r="NAP10" s="413"/>
      <c r="NAQ10" s="413"/>
      <c r="NAR10" s="413"/>
      <c r="NAS10" s="413"/>
      <c r="NAT10" s="413"/>
      <c r="NAU10" s="413"/>
      <c r="NAV10" s="413"/>
      <c r="NAW10" s="413"/>
      <c r="NAX10" s="413"/>
      <c r="NAY10" s="514"/>
      <c r="NAZ10" s="515"/>
      <c r="NBA10" s="515"/>
      <c r="NBB10" s="515"/>
      <c r="NBC10" s="515"/>
      <c r="NBD10" s="515"/>
      <c r="NBE10" s="515"/>
      <c r="NBF10" s="515"/>
      <c r="NBG10" s="515"/>
      <c r="NBH10" s="515"/>
      <c r="NBI10" s="413"/>
      <c r="NBJ10" s="413"/>
      <c r="NBK10" s="413"/>
      <c r="NBL10" s="413"/>
      <c r="NBM10" s="413"/>
      <c r="NBN10" s="413"/>
      <c r="NBO10" s="413"/>
      <c r="NBP10" s="413"/>
      <c r="NBQ10" s="413"/>
      <c r="NBR10" s="413"/>
      <c r="NBS10" s="413"/>
      <c r="NBT10" s="514"/>
      <c r="NBU10" s="515"/>
      <c r="NBV10" s="515"/>
      <c r="NBW10" s="515"/>
      <c r="NBX10" s="515"/>
      <c r="NBY10" s="515"/>
      <c r="NBZ10" s="515"/>
      <c r="NCA10" s="515"/>
      <c r="NCB10" s="515"/>
      <c r="NCC10" s="515"/>
      <c r="NCD10" s="413"/>
      <c r="NCE10" s="413"/>
      <c r="NCF10" s="413"/>
      <c r="NCG10" s="413"/>
      <c r="NCH10" s="413"/>
      <c r="NCI10" s="413"/>
      <c r="NCJ10" s="413"/>
      <c r="NCK10" s="413"/>
      <c r="NCL10" s="413"/>
      <c r="NCM10" s="413"/>
      <c r="NCN10" s="413"/>
      <c r="NCO10" s="514"/>
      <c r="NCP10" s="515"/>
      <c r="NCQ10" s="515"/>
      <c r="NCR10" s="515"/>
      <c r="NCS10" s="515"/>
      <c r="NCT10" s="515"/>
      <c r="NCU10" s="515"/>
      <c r="NCV10" s="515"/>
      <c r="NCW10" s="515"/>
      <c r="NCX10" s="515"/>
      <c r="NCY10" s="413"/>
      <c r="NCZ10" s="413"/>
      <c r="NDA10" s="413"/>
      <c r="NDB10" s="413"/>
      <c r="NDC10" s="413"/>
      <c r="NDD10" s="413"/>
      <c r="NDE10" s="413"/>
      <c r="NDF10" s="413"/>
      <c r="NDG10" s="413"/>
      <c r="NDH10" s="413"/>
      <c r="NDI10" s="413"/>
      <c r="NDJ10" s="514"/>
      <c r="NDK10" s="515"/>
      <c r="NDL10" s="515"/>
      <c r="NDM10" s="515"/>
      <c r="NDN10" s="515"/>
      <c r="NDO10" s="515"/>
      <c r="NDP10" s="515"/>
      <c r="NDQ10" s="515"/>
      <c r="NDR10" s="515"/>
      <c r="NDS10" s="515"/>
      <c r="NDT10" s="413"/>
      <c r="NDU10" s="413"/>
      <c r="NDV10" s="413"/>
      <c r="NDW10" s="413"/>
      <c r="NDX10" s="413"/>
      <c r="NDY10" s="413"/>
      <c r="NDZ10" s="413"/>
      <c r="NEA10" s="413"/>
      <c r="NEB10" s="413"/>
      <c r="NEC10" s="413"/>
      <c r="NED10" s="413"/>
      <c r="NEE10" s="514"/>
      <c r="NEF10" s="515"/>
      <c r="NEG10" s="515"/>
      <c r="NEH10" s="515"/>
      <c r="NEI10" s="515"/>
      <c r="NEJ10" s="515"/>
      <c r="NEK10" s="515"/>
      <c r="NEL10" s="515"/>
      <c r="NEM10" s="515"/>
      <c r="NEN10" s="515"/>
      <c r="NEO10" s="413"/>
      <c r="NEP10" s="413"/>
      <c r="NEQ10" s="413"/>
      <c r="NER10" s="413"/>
      <c r="NES10" s="413"/>
      <c r="NET10" s="413"/>
      <c r="NEU10" s="413"/>
      <c r="NEV10" s="413"/>
      <c r="NEW10" s="413"/>
      <c r="NEX10" s="413"/>
      <c r="NEY10" s="413"/>
      <c r="NEZ10" s="514"/>
      <c r="NFA10" s="515"/>
      <c r="NFB10" s="515"/>
      <c r="NFC10" s="515"/>
      <c r="NFD10" s="515"/>
      <c r="NFE10" s="515"/>
      <c r="NFF10" s="515"/>
      <c r="NFG10" s="515"/>
      <c r="NFH10" s="515"/>
      <c r="NFI10" s="515"/>
      <c r="NFJ10" s="413"/>
      <c r="NFK10" s="413"/>
      <c r="NFL10" s="413"/>
      <c r="NFM10" s="413"/>
      <c r="NFN10" s="413"/>
      <c r="NFO10" s="413"/>
      <c r="NFP10" s="413"/>
      <c r="NFQ10" s="413"/>
      <c r="NFR10" s="413"/>
      <c r="NFS10" s="413"/>
      <c r="NFT10" s="413"/>
      <c r="NFU10" s="514"/>
      <c r="NFV10" s="515"/>
      <c r="NFW10" s="515"/>
      <c r="NFX10" s="515"/>
      <c r="NFY10" s="515"/>
      <c r="NFZ10" s="515"/>
      <c r="NGA10" s="515"/>
      <c r="NGB10" s="515"/>
      <c r="NGC10" s="515"/>
      <c r="NGD10" s="515"/>
      <c r="NGE10" s="413"/>
      <c r="NGF10" s="413"/>
      <c r="NGG10" s="413"/>
      <c r="NGH10" s="413"/>
      <c r="NGI10" s="413"/>
      <c r="NGJ10" s="413"/>
      <c r="NGK10" s="413"/>
      <c r="NGL10" s="413"/>
      <c r="NGM10" s="413"/>
      <c r="NGN10" s="413"/>
      <c r="NGO10" s="413"/>
      <c r="NGP10" s="514"/>
      <c r="NGQ10" s="515"/>
      <c r="NGR10" s="515"/>
      <c r="NGS10" s="515"/>
      <c r="NGT10" s="515"/>
      <c r="NGU10" s="515"/>
      <c r="NGV10" s="515"/>
      <c r="NGW10" s="515"/>
      <c r="NGX10" s="515"/>
      <c r="NGY10" s="515"/>
      <c r="NGZ10" s="413"/>
      <c r="NHA10" s="413"/>
      <c r="NHB10" s="413"/>
      <c r="NHC10" s="413"/>
      <c r="NHD10" s="413"/>
      <c r="NHE10" s="413"/>
      <c r="NHF10" s="413"/>
      <c r="NHG10" s="413"/>
      <c r="NHH10" s="413"/>
      <c r="NHI10" s="413"/>
      <c r="NHJ10" s="413"/>
      <c r="NHK10" s="514"/>
      <c r="NHL10" s="515"/>
      <c r="NHM10" s="515"/>
      <c r="NHN10" s="515"/>
      <c r="NHO10" s="515"/>
      <c r="NHP10" s="515"/>
      <c r="NHQ10" s="515"/>
      <c r="NHR10" s="515"/>
      <c r="NHS10" s="515"/>
      <c r="NHT10" s="515"/>
      <c r="NHU10" s="413"/>
      <c r="NHV10" s="413"/>
      <c r="NHW10" s="413"/>
      <c r="NHX10" s="413"/>
      <c r="NHY10" s="413"/>
      <c r="NHZ10" s="413"/>
      <c r="NIA10" s="413"/>
      <c r="NIB10" s="413"/>
      <c r="NIC10" s="413"/>
      <c r="NID10" s="413"/>
      <c r="NIE10" s="413"/>
      <c r="NIF10" s="514"/>
      <c r="NIG10" s="515"/>
      <c r="NIH10" s="515"/>
      <c r="NII10" s="515"/>
      <c r="NIJ10" s="515"/>
      <c r="NIK10" s="515"/>
      <c r="NIL10" s="515"/>
      <c r="NIM10" s="515"/>
      <c r="NIN10" s="515"/>
      <c r="NIO10" s="515"/>
      <c r="NIP10" s="413"/>
      <c r="NIQ10" s="413"/>
      <c r="NIR10" s="413"/>
      <c r="NIS10" s="413"/>
      <c r="NIT10" s="413"/>
      <c r="NIU10" s="413"/>
      <c r="NIV10" s="413"/>
      <c r="NIW10" s="413"/>
      <c r="NIX10" s="413"/>
      <c r="NIY10" s="413"/>
      <c r="NIZ10" s="413"/>
      <c r="NJA10" s="514"/>
      <c r="NJB10" s="515"/>
      <c r="NJC10" s="515"/>
      <c r="NJD10" s="515"/>
      <c r="NJE10" s="515"/>
      <c r="NJF10" s="515"/>
      <c r="NJG10" s="515"/>
      <c r="NJH10" s="515"/>
      <c r="NJI10" s="515"/>
      <c r="NJJ10" s="515"/>
      <c r="NJK10" s="413"/>
      <c r="NJL10" s="413"/>
      <c r="NJM10" s="413"/>
      <c r="NJN10" s="413"/>
      <c r="NJO10" s="413"/>
      <c r="NJP10" s="413"/>
      <c r="NJQ10" s="413"/>
      <c r="NJR10" s="413"/>
      <c r="NJS10" s="413"/>
      <c r="NJT10" s="413"/>
      <c r="NJU10" s="413"/>
      <c r="NJV10" s="514"/>
      <c r="NJW10" s="515"/>
      <c r="NJX10" s="515"/>
      <c r="NJY10" s="515"/>
      <c r="NJZ10" s="515"/>
      <c r="NKA10" s="515"/>
      <c r="NKB10" s="515"/>
      <c r="NKC10" s="515"/>
      <c r="NKD10" s="515"/>
      <c r="NKE10" s="515"/>
      <c r="NKF10" s="413"/>
      <c r="NKG10" s="413"/>
      <c r="NKH10" s="413"/>
      <c r="NKI10" s="413"/>
      <c r="NKJ10" s="413"/>
      <c r="NKK10" s="413"/>
      <c r="NKL10" s="413"/>
      <c r="NKM10" s="413"/>
      <c r="NKN10" s="413"/>
      <c r="NKO10" s="413"/>
      <c r="NKP10" s="413"/>
      <c r="NKQ10" s="514"/>
      <c r="NKR10" s="515"/>
      <c r="NKS10" s="515"/>
      <c r="NKT10" s="515"/>
      <c r="NKU10" s="515"/>
      <c r="NKV10" s="515"/>
      <c r="NKW10" s="515"/>
      <c r="NKX10" s="515"/>
      <c r="NKY10" s="515"/>
      <c r="NKZ10" s="515"/>
      <c r="NLA10" s="413"/>
      <c r="NLB10" s="413"/>
      <c r="NLC10" s="413"/>
      <c r="NLD10" s="413"/>
      <c r="NLE10" s="413"/>
      <c r="NLF10" s="413"/>
      <c r="NLG10" s="413"/>
      <c r="NLH10" s="413"/>
      <c r="NLI10" s="413"/>
      <c r="NLJ10" s="413"/>
      <c r="NLK10" s="413"/>
      <c r="NLL10" s="514"/>
      <c r="NLM10" s="515"/>
      <c r="NLN10" s="515"/>
      <c r="NLO10" s="515"/>
      <c r="NLP10" s="515"/>
      <c r="NLQ10" s="515"/>
      <c r="NLR10" s="515"/>
      <c r="NLS10" s="515"/>
      <c r="NLT10" s="515"/>
      <c r="NLU10" s="515"/>
      <c r="NLV10" s="413"/>
      <c r="NLW10" s="413"/>
      <c r="NLX10" s="413"/>
      <c r="NLY10" s="413"/>
      <c r="NLZ10" s="413"/>
      <c r="NMA10" s="413"/>
      <c r="NMB10" s="413"/>
      <c r="NMC10" s="413"/>
      <c r="NMD10" s="413"/>
      <c r="NME10" s="413"/>
      <c r="NMF10" s="413"/>
      <c r="NMG10" s="514"/>
      <c r="NMH10" s="515"/>
      <c r="NMI10" s="515"/>
      <c r="NMJ10" s="515"/>
      <c r="NMK10" s="515"/>
      <c r="NML10" s="515"/>
      <c r="NMM10" s="515"/>
      <c r="NMN10" s="515"/>
      <c r="NMO10" s="515"/>
      <c r="NMP10" s="515"/>
      <c r="NMQ10" s="413"/>
      <c r="NMR10" s="413"/>
      <c r="NMS10" s="413"/>
      <c r="NMT10" s="413"/>
      <c r="NMU10" s="413"/>
      <c r="NMV10" s="413"/>
      <c r="NMW10" s="413"/>
      <c r="NMX10" s="413"/>
      <c r="NMY10" s="413"/>
      <c r="NMZ10" s="413"/>
      <c r="NNA10" s="413"/>
      <c r="NNB10" s="514"/>
      <c r="NNC10" s="515"/>
      <c r="NND10" s="515"/>
      <c r="NNE10" s="515"/>
      <c r="NNF10" s="515"/>
      <c r="NNG10" s="515"/>
      <c r="NNH10" s="515"/>
      <c r="NNI10" s="515"/>
      <c r="NNJ10" s="515"/>
      <c r="NNK10" s="515"/>
      <c r="NNL10" s="413"/>
      <c r="NNM10" s="413"/>
      <c r="NNN10" s="413"/>
      <c r="NNO10" s="413"/>
      <c r="NNP10" s="413"/>
      <c r="NNQ10" s="413"/>
      <c r="NNR10" s="413"/>
      <c r="NNS10" s="413"/>
      <c r="NNT10" s="413"/>
      <c r="NNU10" s="413"/>
      <c r="NNV10" s="413"/>
      <c r="NNW10" s="514"/>
      <c r="NNX10" s="515"/>
      <c r="NNY10" s="515"/>
      <c r="NNZ10" s="515"/>
      <c r="NOA10" s="515"/>
      <c r="NOB10" s="515"/>
      <c r="NOC10" s="515"/>
      <c r="NOD10" s="515"/>
      <c r="NOE10" s="515"/>
      <c r="NOF10" s="515"/>
      <c r="NOG10" s="413"/>
      <c r="NOH10" s="413"/>
      <c r="NOI10" s="413"/>
      <c r="NOJ10" s="413"/>
      <c r="NOK10" s="413"/>
      <c r="NOL10" s="413"/>
      <c r="NOM10" s="413"/>
      <c r="NON10" s="413"/>
      <c r="NOO10" s="413"/>
      <c r="NOP10" s="413"/>
      <c r="NOQ10" s="413"/>
      <c r="NOR10" s="514"/>
      <c r="NOS10" s="515"/>
      <c r="NOT10" s="515"/>
      <c r="NOU10" s="515"/>
      <c r="NOV10" s="515"/>
      <c r="NOW10" s="515"/>
      <c r="NOX10" s="515"/>
      <c r="NOY10" s="515"/>
      <c r="NOZ10" s="515"/>
      <c r="NPA10" s="515"/>
      <c r="NPB10" s="413"/>
      <c r="NPC10" s="413"/>
      <c r="NPD10" s="413"/>
      <c r="NPE10" s="413"/>
      <c r="NPF10" s="413"/>
      <c r="NPG10" s="413"/>
      <c r="NPH10" s="413"/>
      <c r="NPI10" s="413"/>
      <c r="NPJ10" s="413"/>
      <c r="NPK10" s="413"/>
      <c r="NPL10" s="413"/>
      <c r="NPM10" s="514"/>
      <c r="NPN10" s="515"/>
      <c r="NPO10" s="515"/>
      <c r="NPP10" s="515"/>
      <c r="NPQ10" s="515"/>
      <c r="NPR10" s="515"/>
      <c r="NPS10" s="515"/>
      <c r="NPT10" s="515"/>
      <c r="NPU10" s="515"/>
      <c r="NPV10" s="515"/>
      <c r="NPW10" s="413"/>
      <c r="NPX10" s="413"/>
      <c r="NPY10" s="413"/>
      <c r="NPZ10" s="413"/>
      <c r="NQA10" s="413"/>
      <c r="NQB10" s="413"/>
      <c r="NQC10" s="413"/>
      <c r="NQD10" s="413"/>
      <c r="NQE10" s="413"/>
      <c r="NQF10" s="413"/>
      <c r="NQG10" s="413"/>
      <c r="NQH10" s="514"/>
      <c r="NQI10" s="515"/>
      <c r="NQJ10" s="515"/>
      <c r="NQK10" s="515"/>
      <c r="NQL10" s="515"/>
      <c r="NQM10" s="515"/>
      <c r="NQN10" s="515"/>
      <c r="NQO10" s="515"/>
      <c r="NQP10" s="515"/>
      <c r="NQQ10" s="515"/>
      <c r="NQR10" s="413"/>
      <c r="NQS10" s="413"/>
      <c r="NQT10" s="413"/>
      <c r="NQU10" s="413"/>
      <c r="NQV10" s="413"/>
      <c r="NQW10" s="413"/>
      <c r="NQX10" s="413"/>
      <c r="NQY10" s="413"/>
      <c r="NQZ10" s="413"/>
      <c r="NRA10" s="413"/>
      <c r="NRB10" s="413"/>
      <c r="NRC10" s="514"/>
      <c r="NRD10" s="515"/>
      <c r="NRE10" s="515"/>
      <c r="NRF10" s="515"/>
      <c r="NRG10" s="515"/>
      <c r="NRH10" s="515"/>
      <c r="NRI10" s="515"/>
      <c r="NRJ10" s="515"/>
      <c r="NRK10" s="515"/>
      <c r="NRL10" s="515"/>
      <c r="NRM10" s="413"/>
      <c r="NRN10" s="413"/>
      <c r="NRO10" s="413"/>
      <c r="NRP10" s="413"/>
      <c r="NRQ10" s="413"/>
      <c r="NRR10" s="413"/>
      <c r="NRS10" s="413"/>
      <c r="NRT10" s="413"/>
      <c r="NRU10" s="413"/>
      <c r="NRV10" s="413"/>
      <c r="NRW10" s="413"/>
      <c r="NRX10" s="514"/>
      <c r="NRY10" s="515"/>
      <c r="NRZ10" s="515"/>
      <c r="NSA10" s="515"/>
      <c r="NSB10" s="515"/>
      <c r="NSC10" s="515"/>
      <c r="NSD10" s="515"/>
      <c r="NSE10" s="515"/>
      <c r="NSF10" s="515"/>
      <c r="NSG10" s="515"/>
      <c r="NSH10" s="413"/>
      <c r="NSI10" s="413"/>
      <c r="NSJ10" s="413"/>
      <c r="NSK10" s="413"/>
      <c r="NSL10" s="413"/>
      <c r="NSM10" s="413"/>
      <c r="NSN10" s="413"/>
      <c r="NSO10" s="413"/>
      <c r="NSP10" s="413"/>
      <c r="NSQ10" s="413"/>
      <c r="NSR10" s="413"/>
      <c r="NSS10" s="514"/>
      <c r="NST10" s="515"/>
      <c r="NSU10" s="515"/>
      <c r="NSV10" s="515"/>
      <c r="NSW10" s="515"/>
      <c r="NSX10" s="515"/>
      <c r="NSY10" s="515"/>
      <c r="NSZ10" s="515"/>
      <c r="NTA10" s="515"/>
      <c r="NTB10" s="515"/>
      <c r="NTC10" s="413"/>
      <c r="NTD10" s="413"/>
      <c r="NTE10" s="413"/>
      <c r="NTF10" s="413"/>
      <c r="NTG10" s="413"/>
      <c r="NTH10" s="413"/>
      <c r="NTI10" s="413"/>
      <c r="NTJ10" s="413"/>
      <c r="NTK10" s="413"/>
      <c r="NTL10" s="413"/>
      <c r="NTM10" s="413"/>
      <c r="NTN10" s="514"/>
      <c r="NTO10" s="515"/>
      <c r="NTP10" s="515"/>
      <c r="NTQ10" s="515"/>
      <c r="NTR10" s="515"/>
      <c r="NTS10" s="515"/>
      <c r="NTT10" s="515"/>
      <c r="NTU10" s="515"/>
      <c r="NTV10" s="515"/>
      <c r="NTW10" s="515"/>
      <c r="NTX10" s="413"/>
      <c r="NTY10" s="413"/>
      <c r="NTZ10" s="413"/>
      <c r="NUA10" s="413"/>
      <c r="NUB10" s="413"/>
      <c r="NUC10" s="413"/>
      <c r="NUD10" s="413"/>
      <c r="NUE10" s="413"/>
      <c r="NUF10" s="413"/>
      <c r="NUG10" s="413"/>
      <c r="NUH10" s="413"/>
      <c r="NUI10" s="514"/>
      <c r="NUJ10" s="515"/>
      <c r="NUK10" s="515"/>
      <c r="NUL10" s="515"/>
      <c r="NUM10" s="515"/>
      <c r="NUN10" s="515"/>
      <c r="NUO10" s="515"/>
      <c r="NUP10" s="515"/>
      <c r="NUQ10" s="515"/>
      <c r="NUR10" s="515"/>
      <c r="NUS10" s="413"/>
      <c r="NUT10" s="413"/>
      <c r="NUU10" s="413"/>
      <c r="NUV10" s="413"/>
      <c r="NUW10" s="413"/>
      <c r="NUX10" s="413"/>
      <c r="NUY10" s="413"/>
      <c r="NUZ10" s="413"/>
      <c r="NVA10" s="413"/>
      <c r="NVB10" s="413"/>
      <c r="NVC10" s="413"/>
      <c r="NVD10" s="514"/>
      <c r="NVE10" s="515"/>
      <c r="NVF10" s="515"/>
      <c r="NVG10" s="515"/>
      <c r="NVH10" s="515"/>
      <c r="NVI10" s="515"/>
      <c r="NVJ10" s="515"/>
      <c r="NVK10" s="515"/>
      <c r="NVL10" s="515"/>
      <c r="NVM10" s="515"/>
      <c r="NVN10" s="413"/>
      <c r="NVO10" s="413"/>
      <c r="NVP10" s="413"/>
      <c r="NVQ10" s="413"/>
      <c r="NVR10" s="413"/>
      <c r="NVS10" s="413"/>
      <c r="NVT10" s="413"/>
      <c r="NVU10" s="413"/>
      <c r="NVV10" s="413"/>
      <c r="NVW10" s="413"/>
      <c r="NVX10" s="413"/>
      <c r="NVY10" s="514"/>
      <c r="NVZ10" s="515"/>
      <c r="NWA10" s="515"/>
      <c r="NWB10" s="515"/>
      <c r="NWC10" s="515"/>
      <c r="NWD10" s="515"/>
      <c r="NWE10" s="515"/>
      <c r="NWF10" s="515"/>
      <c r="NWG10" s="515"/>
      <c r="NWH10" s="515"/>
      <c r="NWI10" s="413"/>
      <c r="NWJ10" s="413"/>
      <c r="NWK10" s="413"/>
      <c r="NWL10" s="413"/>
      <c r="NWM10" s="413"/>
      <c r="NWN10" s="413"/>
      <c r="NWO10" s="413"/>
      <c r="NWP10" s="413"/>
      <c r="NWQ10" s="413"/>
      <c r="NWR10" s="413"/>
      <c r="NWS10" s="413"/>
      <c r="NWT10" s="514"/>
      <c r="NWU10" s="515"/>
      <c r="NWV10" s="515"/>
      <c r="NWW10" s="515"/>
      <c r="NWX10" s="515"/>
      <c r="NWY10" s="515"/>
      <c r="NWZ10" s="515"/>
      <c r="NXA10" s="515"/>
      <c r="NXB10" s="515"/>
      <c r="NXC10" s="515"/>
      <c r="NXD10" s="413"/>
      <c r="NXE10" s="413"/>
      <c r="NXF10" s="413"/>
      <c r="NXG10" s="413"/>
      <c r="NXH10" s="413"/>
      <c r="NXI10" s="413"/>
      <c r="NXJ10" s="413"/>
      <c r="NXK10" s="413"/>
      <c r="NXL10" s="413"/>
      <c r="NXM10" s="413"/>
      <c r="NXN10" s="413"/>
      <c r="NXO10" s="514"/>
      <c r="NXP10" s="515"/>
      <c r="NXQ10" s="515"/>
      <c r="NXR10" s="515"/>
      <c r="NXS10" s="515"/>
      <c r="NXT10" s="515"/>
      <c r="NXU10" s="515"/>
      <c r="NXV10" s="515"/>
      <c r="NXW10" s="515"/>
      <c r="NXX10" s="515"/>
      <c r="NXY10" s="413"/>
      <c r="NXZ10" s="413"/>
      <c r="NYA10" s="413"/>
      <c r="NYB10" s="413"/>
      <c r="NYC10" s="413"/>
      <c r="NYD10" s="413"/>
      <c r="NYE10" s="413"/>
      <c r="NYF10" s="413"/>
      <c r="NYG10" s="413"/>
      <c r="NYH10" s="413"/>
      <c r="NYI10" s="413"/>
      <c r="NYJ10" s="514"/>
      <c r="NYK10" s="515"/>
      <c r="NYL10" s="515"/>
      <c r="NYM10" s="515"/>
      <c r="NYN10" s="515"/>
      <c r="NYO10" s="515"/>
      <c r="NYP10" s="515"/>
      <c r="NYQ10" s="515"/>
      <c r="NYR10" s="515"/>
      <c r="NYS10" s="515"/>
      <c r="NYT10" s="413"/>
      <c r="NYU10" s="413"/>
      <c r="NYV10" s="413"/>
      <c r="NYW10" s="413"/>
      <c r="NYX10" s="413"/>
      <c r="NYY10" s="413"/>
      <c r="NYZ10" s="413"/>
      <c r="NZA10" s="413"/>
      <c r="NZB10" s="413"/>
      <c r="NZC10" s="413"/>
      <c r="NZD10" s="413"/>
      <c r="NZE10" s="514"/>
      <c r="NZF10" s="515"/>
      <c r="NZG10" s="515"/>
      <c r="NZH10" s="515"/>
      <c r="NZI10" s="515"/>
      <c r="NZJ10" s="515"/>
      <c r="NZK10" s="515"/>
      <c r="NZL10" s="515"/>
      <c r="NZM10" s="515"/>
      <c r="NZN10" s="515"/>
      <c r="NZO10" s="413"/>
      <c r="NZP10" s="413"/>
      <c r="NZQ10" s="413"/>
      <c r="NZR10" s="413"/>
      <c r="NZS10" s="413"/>
      <c r="NZT10" s="413"/>
      <c r="NZU10" s="413"/>
      <c r="NZV10" s="413"/>
      <c r="NZW10" s="413"/>
      <c r="NZX10" s="413"/>
      <c r="NZY10" s="413"/>
      <c r="NZZ10" s="514"/>
      <c r="OAA10" s="515"/>
      <c r="OAB10" s="515"/>
      <c r="OAC10" s="515"/>
      <c r="OAD10" s="515"/>
      <c r="OAE10" s="515"/>
      <c r="OAF10" s="515"/>
      <c r="OAG10" s="515"/>
      <c r="OAH10" s="515"/>
      <c r="OAI10" s="515"/>
      <c r="OAJ10" s="413"/>
      <c r="OAK10" s="413"/>
      <c r="OAL10" s="413"/>
      <c r="OAM10" s="413"/>
      <c r="OAN10" s="413"/>
      <c r="OAO10" s="413"/>
      <c r="OAP10" s="413"/>
      <c r="OAQ10" s="413"/>
      <c r="OAR10" s="413"/>
      <c r="OAS10" s="413"/>
      <c r="OAT10" s="413"/>
      <c r="OAU10" s="514"/>
      <c r="OAV10" s="515"/>
      <c r="OAW10" s="515"/>
      <c r="OAX10" s="515"/>
      <c r="OAY10" s="515"/>
      <c r="OAZ10" s="515"/>
      <c r="OBA10" s="515"/>
      <c r="OBB10" s="515"/>
      <c r="OBC10" s="515"/>
      <c r="OBD10" s="515"/>
      <c r="OBE10" s="413"/>
      <c r="OBF10" s="413"/>
      <c r="OBG10" s="413"/>
      <c r="OBH10" s="413"/>
      <c r="OBI10" s="413"/>
      <c r="OBJ10" s="413"/>
      <c r="OBK10" s="413"/>
      <c r="OBL10" s="413"/>
      <c r="OBM10" s="413"/>
      <c r="OBN10" s="413"/>
      <c r="OBO10" s="413"/>
      <c r="OBP10" s="514"/>
      <c r="OBQ10" s="515"/>
      <c r="OBR10" s="515"/>
      <c r="OBS10" s="515"/>
      <c r="OBT10" s="515"/>
      <c r="OBU10" s="515"/>
      <c r="OBV10" s="515"/>
      <c r="OBW10" s="515"/>
      <c r="OBX10" s="515"/>
      <c r="OBY10" s="515"/>
      <c r="OBZ10" s="413"/>
      <c r="OCA10" s="413"/>
      <c r="OCB10" s="413"/>
      <c r="OCC10" s="413"/>
      <c r="OCD10" s="413"/>
      <c r="OCE10" s="413"/>
      <c r="OCF10" s="413"/>
      <c r="OCG10" s="413"/>
      <c r="OCH10" s="413"/>
      <c r="OCI10" s="413"/>
      <c r="OCJ10" s="413"/>
      <c r="OCK10" s="514"/>
      <c r="OCL10" s="515"/>
      <c r="OCM10" s="515"/>
      <c r="OCN10" s="515"/>
      <c r="OCO10" s="515"/>
      <c r="OCP10" s="515"/>
      <c r="OCQ10" s="515"/>
      <c r="OCR10" s="515"/>
      <c r="OCS10" s="515"/>
      <c r="OCT10" s="515"/>
      <c r="OCU10" s="413"/>
      <c r="OCV10" s="413"/>
      <c r="OCW10" s="413"/>
      <c r="OCX10" s="413"/>
      <c r="OCY10" s="413"/>
      <c r="OCZ10" s="413"/>
      <c r="ODA10" s="413"/>
      <c r="ODB10" s="413"/>
      <c r="ODC10" s="413"/>
      <c r="ODD10" s="413"/>
      <c r="ODE10" s="413"/>
      <c r="ODF10" s="514"/>
      <c r="ODG10" s="515"/>
      <c r="ODH10" s="515"/>
      <c r="ODI10" s="515"/>
      <c r="ODJ10" s="515"/>
      <c r="ODK10" s="515"/>
      <c r="ODL10" s="515"/>
      <c r="ODM10" s="515"/>
      <c r="ODN10" s="515"/>
      <c r="ODO10" s="515"/>
      <c r="ODP10" s="413"/>
      <c r="ODQ10" s="413"/>
      <c r="ODR10" s="413"/>
      <c r="ODS10" s="413"/>
      <c r="ODT10" s="413"/>
      <c r="ODU10" s="413"/>
      <c r="ODV10" s="413"/>
      <c r="ODW10" s="413"/>
      <c r="ODX10" s="413"/>
      <c r="ODY10" s="413"/>
      <c r="ODZ10" s="413"/>
      <c r="OEA10" s="514"/>
      <c r="OEB10" s="515"/>
      <c r="OEC10" s="515"/>
      <c r="OED10" s="515"/>
      <c r="OEE10" s="515"/>
      <c r="OEF10" s="515"/>
      <c r="OEG10" s="515"/>
      <c r="OEH10" s="515"/>
      <c r="OEI10" s="515"/>
      <c r="OEJ10" s="515"/>
      <c r="OEK10" s="413"/>
      <c r="OEL10" s="413"/>
      <c r="OEM10" s="413"/>
      <c r="OEN10" s="413"/>
      <c r="OEO10" s="413"/>
      <c r="OEP10" s="413"/>
      <c r="OEQ10" s="413"/>
      <c r="OER10" s="413"/>
      <c r="OES10" s="413"/>
      <c r="OET10" s="413"/>
      <c r="OEU10" s="413"/>
      <c r="OEV10" s="514"/>
      <c r="OEW10" s="515"/>
      <c r="OEX10" s="515"/>
      <c r="OEY10" s="515"/>
      <c r="OEZ10" s="515"/>
      <c r="OFA10" s="515"/>
      <c r="OFB10" s="515"/>
      <c r="OFC10" s="515"/>
      <c r="OFD10" s="515"/>
      <c r="OFE10" s="515"/>
      <c r="OFF10" s="413"/>
      <c r="OFG10" s="413"/>
      <c r="OFH10" s="413"/>
      <c r="OFI10" s="413"/>
      <c r="OFJ10" s="413"/>
      <c r="OFK10" s="413"/>
      <c r="OFL10" s="413"/>
      <c r="OFM10" s="413"/>
      <c r="OFN10" s="413"/>
      <c r="OFO10" s="413"/>
      <c r="OFP10" s="413"/>
      <c r="OFQ10" s="514"/>
      <c r="OFR10" s="515"/>
      <c r="OFS10" s="515"/>
      <c r="OFT10" s="515"/>
      <c r="OFU10" s="515"/>
      <c r="OFV10" s="515"/>
      <c r="OFW10" s="515"/>
      <c r="OFX10" s="515"/>
      <c r="OFY10" s="515"/>
      <c r="OFZ10" s="515"/>
      <c r="OGA10" s="413"/>
      <c r="OGB10" s="413"/>
      <c r="OGC10" s="413"/>
      <c r="OGD10" s="413"/>
      <c r="OGE10" s="413"/>
      <c r="OGF10" s="413"/>
      <c r="OGG10" s="413"/>
      <c r="OGH10" s="413"/>
      <c r="OGI10" s="413"/>
      <c r="OGJ10" s="413"/>
      <c r="OGK10" s="413"/>
      <c r="OGL10" s="514"/>
      <c r="OGM10" s="515"/>
      <c r="OGN10" s="515"/>
      <c r="OGO10" s="515"/>
      <c r="OGP10" s="515"/>
      <c r="OGQ10" s="515"/>
      <c r="OGR10" s="515"/>
      <c r="OGS10" s="515"/>
      <c r="OGT10" s="515"/>
      <c r="OGU10" s="515"/>
      <c r="OGV10" s="413"/>
      <c r="OGW10" s="413"/>
      <c r="OGX10" s="413"/>
      <c r="OGY10" s="413"/>
      <c r="OGZ10" s="413"/>
      <c r="OHA10" s="413"/>
      <c r="OHB10" s="413"/>
      <c r="OHC10" s="413"/>
      <c r="OHD10" s="413"/>
      <c r="OHE10" s="413"/>
      <c r="OHF10" s="413"/>
      <c r="OHG10" s="514"/>
      <c r="OHH10" s="515"/>
      <c r="OHI10" s="515"/>
      <c r="OHJ10" s="515"/>
      <c r="OHK10" s="515"/>
      <c r="OHL10" s="515"/>
      <c r="OHM10" s="515"/>
      <c r="OHN10" s="515"/>
      <c r="OHO10" s="515"/>
      <c r="OHP10" s="515"/>
      <c r="OHQ10" s="413"/>
      <c r="OHR10" s="413"/>
      <c r="OHS10" s="413"/>
      <c r="OHT10" s="413"/>
      <c r="OHU10" s="413"/>
      <c r="OHV10" s="413"/>
      <c r="OHW10" s="413"/>
      <c r="OHX10" s="413"/>
      <c r="OHY10" s="413"/>
      <c r="OHZ10" s="413"/>
      <c r="OIA10" s="413"/>
      <c r="OIB10" s="514"/>
      <c r="OIC10" s="515"/>
      <c r="OID10" s="515"/>
      <c r="OIE10" s="515"/>
      <c r="OIF10" s="515"/>
      <c r="OIG10" s="515"/>
      <c r="OIH10" s="515"/>
      <c r="OII10" s="515"/>
      <c r="OIJ10" s="515"/>
      <c r="OIK10" s="515"/>
      <c r="OIL10" s="413"/>
      <c r="OIM10" s="413"/>
      <c r="OIN10" s="413"/>
      <c r="OIO10" s="413"/>
      <c r="OIP10" s="413"/>
      <c r="OIQ10" s="413"/>
      <c r="OIR10" s="413"/>
      <c r="OIS10" s="413"/>
      <c r="OIT10" s="413"/>
      <c r="OIU10" s="413"/>
      <c r="OIV10" s="413"/>
      <c r="OIW10" s="514"/>
      <c r="OIX10" s="515"/>
      <c r="OIY10" s="515"/>
      <c r="OIZ10" s="515"/>
      <c r="OJA10" s="515"/>
      <c r="OJB10" s="515"/>
      <c r="OJC10" s="515"/>
      <c r="OJD10" s="515"/>
      <c r="OJE10" s="515"/>
      <c r="OJF10" s="515"/>
      <c r="OJG10" s="413"/>
      <c r="OJH10" s="413"/>
      <c r="OJI10" s="413"/>
      <c r="OJJ10" s="413"/>
      <c r="OJK10" s="413"/>
      <c r="OJL10" s="413"/>
      <c r="OJM10" s="413"/>
      <c r="OJN10" s="413"/>
      <c r="OJO10" s="413"/>
      <c r="OJP10" s="413"/>
      <c r="OJQ10" s="413"/>
      <c r="OJR10" s="514"/>
      <c r="OJS10" s="515"/>
      <c r="OJT10" s="515"/>
      <c r="OJU10" s="515"/>
      <c r="OJV10" s="515"/>
      <c r="OJW10" s="515"/>
      <c r="OJX10" s="515"/>
      <c r="OJY10" s="515"/>
      <c r="OJZ10" s="515"/>
      <c r="OKA10" s="515"/>
      <c r="OKB10" s="413"/>
      <c r="OKC10" s="413"/>
      <c r="OKD10" s="413"/>
      <c r="OKE10" s="413"/>
      <c r="OKF10" s="413"/>
      <c r="OKG10" s="413"/>
      <c r="OKH10" s="413"/>
      <c r="OKI10" s="413"/>
      <c r="OKJ10" s="413"/>
      <c r="OKK10" s="413"/>
      <c r="OKL10" s="413"/>
      <c r="OKM10" s="514"/>
      <c r="OKN10" s="515"/>
      <c r="OKO10" s="515"/>
      <c r="OKP10" s="515"/>
      <c r="OKQ10" s="515"/>
      <c r="OKR10" s="515"/>
      <c r="OKS10" s="515"/>
      <c r="OKT10" s="515"/>
      <c r="OKU10" s="515"/>
      <c r="OKV10" s="515"/>
      <c r="OKW10" s="413"/>
      <c r="OKX10" s="413"/>
      <c r="OKY10" s="413"/>
      <c r="OKZ10" s="413"/>
      <c r="OLA10" s="413"/>
      <c r="OLB10" s="413"/>
      <c r="OLC10" s="413"/>
      <c r="OLD10" s="413"/>
      <c r="OLE10" s="413"/>
      <c r="OLF10" s="413"/>
      <c r="OLG10" s="413"/>
      <c r="OLH10" s="514"/>
      <c r="OLI10" s="515"/>
      <c r="OLJ10" s="515"/>
      <c r="OLK10" s="515"/>
      <c r="OLL10" s="515"/>
      <c r="OLM10" s="515"/>
      <c r="OLN10" s="515"/>
      <c r="OLO10" s="515"/>
      <c r="OLP10" s="515"/>
      <c r="OLQ10" s="515"/>
      <c r="OLR10" s="413"/>
      <c r="OLS10" s="413"/>
      <c r="OLT10" s="413"/>
      <c r="OLU10" s="413"/>
      <c r="OLV10" s="413"/>
      <c r="OLW10" s="413"/>
      <c r="OLX10" s="413"/>
      <c r="OLY10" s="413"/>
      <c r="OLZ10" s="413"/>
      <c r="OMA10" s="413"/>
      <c r="OMB10" s="413"/>
      <c r="OMC10" s="514"/>
      <c r="OMD10" s="515"/>
      <c r="OME10" s="515"/>
      <c r="OMF10" s="515"/>
      <c r="OMG10" s="515"/>
      <c r="OMH10" s="515"/>
      <c r="OMI10" s="515"/>
      <c r="OMJ10" s="515"/>
      <c r="OMK10" s="515"/>
      <c r="OML10" s="515"/>
      <c r="OMM10" s="413"/>
      <c r="OMN10" s="413"/>
      <c r="OMO10" s="413"/>
      <c r="OMP10" s="413"/>
      <c r="OMQ10" s="413"/>
      <c r="OMR10" s="413"/>
      <c r="OMS10" s="413"/>
      <c r="OMT10" s="413"/>
      <c r="OMU10" s="413"/>
      <c r="OMV10" s="413"/>
      <c r="OMW10" s="413"/>
      <c r="OMX10" s="514"/>
      <c r="OMY10" s="515"/>
      <c r="OMZ10" s="515"/>
      <c r="ONA10" s="515"/>
      <c r="ONB10" s="515"/>
      <c r="ONC10" s="515"/>
      <c r="OND10" s="515"/>
      <c r="ONE10" s="515"/>
      <c r="ONF10" s="515"/>
      <c r="ONG10" s="515"/>
      <c r="ONH10" s="413"/>
      <c r="ONI10" s="413"/>
      <c r="ONJ10" s="413"/>
      <c r="ONK10" s="413"/>
      <c r="ONL10" s="413"/>
      <c r="ONM10" s="413"/>
      <c r="ONN10" s="413"/>
      <c r="ONO10" s="413"/>
      <c r="ONP10" s="413"/>
      <c r="ONQ10" s="413"/>
      <c r="ONR10" s="413"/>
      <c r="ONS10" s="514"/>
      <c r="ONT10" s="515"/>
      <c r="ONU10" s="515"/>
      <c r="ONV10" s="515"/>
      <c r="ONW10" s="515"/>
      <c r="ONX10" s="515"/>
      <c r="ONY10" s="515"/>
      <c r="ONZ10" s="515"/>
      <c r="OOA10" s="515"/>
      <c r="OOB10" s="515"/>
      <c r="OOC10" s="413"/>
      <c r="OOD10" s="413"/>
      <c r="OOE10" s="413"/>
      <c r="OOF10" s="413"/>
      <c r="OOG10" s="413"/>
      <c r="OOH10" s="413"/>
      <c r="OOI10" s="413"/>
      <c r="OOJ10" s="413"/>
      <c r="OOK10" s="413"/>
      <c r="OOL10" s="413"/>
      <c r="OOM10" s="413"/>
      <c r="OON10" s="514"/>
      <c r="OOO10" s="515"/>
      <c r="OOP10" s="515"/>
      <c r="OOQ10" s="515"/>
      <c r="OOR10" s="515"/>
      <c r="OOS10" s="515"/>
      <c r="OOT10" s="515"/>
      <c r="OOU10" s="515"/>
      <c r="OOV10" s="515"/>
      <c r="OOW10" s="515"/>
      <c r="OOX10" s="413"/>
      <c r="OOY10" s="413"/>
      <c r="OOZ10" s="413"/>
      <c r="OPA10" s="413"/>
      <c r="OPB10" s="413"/>
      <c r="OPC10" s="413"/>
      <c r="OPD10" s="413"/>
      <c r="OPE10" s="413"/>
      <c r="OPF10" s="413"/>
      <c r="OPG10" s="413"/>
      <c r="OPH10" s="413"/>
      <c r="OPI10" s="514"/>
      <c r="OPJ10" s="515"/>
      <c r="OPK10" s="515"/>
      <c r="OPL10" s="515"/>
      <c r="OPM10" s="515"/>
      <c r="OPN10" s="515"/>
      <c r="OPO10" s="515"/>
      <c r="OPP10" s="515"/>
      <c r="OPQ10" s="515"/>
      <c r="OPR10" s="515"/>
      <c r="OPS10" s="413"/>
      <c r="OPT10" s="413"/>
      <c r="OPU10" s="413"/>
      <c r="OPV10" s="413"/>
      <c r="OPW10" s="413"/>
      <c r="OPX10" s="413"/>
      <c r="OPY10" s="413"/>
      <c r="OPZ10" s="413"/>
      <c r="OQA10" s="413"/>
      <c r="OQB10" s="413"/>
      <c r="OQC10" s="413"/>
      <c r="OQD10" s="514"/>
      <c r="OQE10" s="515"/>
      <c r="OQF10" s="515"/>
      <c r="OQG10" s="515"/>
      <c r="OQH10" s="515"/>
      <c r="OQI10" s="515"/>
      <c r="OQJ10" s="515"/>
      <c r="OQK10" s="515"/>
      <c r="OQL10" s="515"/>
      <c r="OQM10" s="515"/>
      <c r="OQN10" s="413"/>
      <c r="OQO10" s="413"/>
      <c r="OQP10" s="413"/>
      <c r="OQQ10" s="413"/>
      <c r="OQR10" s="413"/>
      <c r="OQS10" s="413"/>
      <c r="OQT10" s="413"/>
      <c r="OQU10" s="413"/>
      <c r="OQV10" s="413"/>
      <c r="OQW10" s="413"/>
      <c r="OQX10" s="413"/>
      <c r="OQY10" s="514"/>
      <c r="OQZ10" s="515"/>
      <c r="ORA10" s="515"/>
      <c r="ORB10" s="515"/>
      <c r="ORC10" s="515"/>
      <c r="ORD10" s="515"/>
      <c r="ORE10" s="515"/>
      <c r="ORF10" s="515"/>
      <c r="ORG10" s="515"/>
      <c r="ORH10" s="515"/>
      <c r="ORI10" s="413"/>
      <c r="ORJ10" s="413"/>
      <c r="ORK10" s="413"/>
      <c r="ORL10" s="413"/>
      <c r="ORM10" s="413"/>
      <c r="ORN10" s="413"/>
      <c r="ORO10" s="413"/>
      <c r="ORP10" s="413"/>
      <c r="ORQ10" s="413"/>
      <c r="ORR10" s="413"/>
      <c r="ORS10" s="413"/>
      <c r="ORT10" s="514"/>
      <c r="ORU10" s="515"/>
      <c r="ORV10" s="515"/>
      <c r="ORW10" s="515"/>
      <c r="ORX10" s="515"/>
      <c r="ORY10" s="515"/>
      <c r="ORZ10" s="515"/>
      <c r="OSA10" s="515"/>
      <c r="OSB10" s="515"/>
      <c r="OSC10" s="515"/>
      <c r="OSD10" s="413"/>
      <c r="OSE10" s="413"/>
      <c r="OSF10" s="413"/>
      <c r="OSG10" s="413"/>
      <c r="OSH10" s="413"/>
      <c r="OSI10" s="413"/>
      <c r="OSJ10" s="413"/>
      <c r="OSK10" s="413"/>
      <c r="OSL10" s="413"/>
      <c r="OSM10" s="413"/>
      <c r="OSN10" s="413"/>
      <c r="OSO10" s="514"/>
      <c r="OSP10" s="515"/>
      <c r="OSQ10" s="515"/>
      <c r="OSR10" s="515"/>
      <c r="OSS10" s="515"/>
      <c r="OST10" s="515"/>
      <c r="OSU10" s="515"/>
      <c r="OSV10" s="515"/>
      <c r="OSW10" s="515"/>
      <c r="OSX10" s="515"/>
      <c r="OSY10" s="413"/>
      <c r="OSZ10" s="413"/>
      <c r="OTA10" s="413"/>
      <c r="OTB10" s="413"/>
      <c r="OTC10" s="413"/>
      <c r="OTD10" s="413"/>
      <c r="OTE10" s="413"/>
      <c r="OTF10" s="413"/>
      <c r="OTG10" s="413"/>
      <c r="OTH10" s="413"/>
      <c r="OTI10" s="413"/>
      <c r="OTJ10" s="514"/>
      <c r="OTK10" s="515"/>
      <c r="OTL10" s="515"/>
      <c r="OTM10" s="515"/>
      <c r="OTN10" s="515"/>
      <c r="OTO10" s="515"/>
      <c r="OTP10" s="515"/>
      <c r="OTQ10" s="515"/>
      <c r="OTR10" s="515"/>
      <c r="OTS10" s="515"/>
      <c r="OTT10" s="413"/>
      <c r="OTU10" s="413"/>
      <c r="OTV10" s="413"/>
      <c r="OTW10" s="413"/>
      <c r="OTX10" s="413"/>
      <c r="OTY10" s="413"/>
      <c r="OTZ10" s="413"/>
      <c r="OUA10" s="413"/>
      <c r="OUB10" s="413"/>
      <c r="OUC10" s="413"/>
      <c r="OUD10" s="413"/>
      <c r="OUE10" s="514"/>
      <c r="OUF10" s="515"/>
      <c r="OUG10" s="515"/>
      <c r="OUH10" s="515"/>
      <c r="OUI10" s="515"/>
      <c r="OUJ10" s="515"/>
      <c r="OUK10" s="515"/>
      <c r="OUL10" s="515"/>
      <c r="OUM10" s="515"/>
      <c r="OUN10" s="515"/>
      <c r="OUO10" s="413"/>
      <c r="OUP10" s="413"/>
      <c r="OUQ10" s="413"/>
      <c r="OUR10" s="413"/>
      <c r="OUS10" s="413"/>
      <c r="OUT10" s="413"/>
      <c r="OUU10" s="413"/>
      <c r="OUV10" s="413"/>
      <c r="OUW10" s="413"/>
      <c r="OUX10" s="413"/>
      <c r="OUY10" s="413"/>
      <c r="OUZ10" s="514"/>
      <c r="OVA10" s="515"/>
      <c r="OVB10" s="515"/>
      <c r="OVC10" s="515"/>
      <c r="OVD10" s="515"/>
      <c r="OVE10" s="515"/>
      <c r="OVF10" s="515"/>
      <c r="OVG10" s="515"/>
      <c r="OVH10" s="515"/>
      <c r="OVI10" s="515"/>
      <c r="OVJ10" s="413"/>
      <c r="OVK10" s="413"/>
      <c r="OVL10" s="413"/>
      <c r="OVM10" s="413"/>
      <c r="OVN10" s="413"/>
      <c r="OVO10" s="413"/>
      <c r="OVP10" s="413"/>
      <c r="OVQ10" s="413"/>
      <c r="OVR10" s="413"/>
      <c r="OVS10" s="413"/>
      <c r="OVT10" s="413"/>
      <c r="OVU10" s="514"/>
      <c r="OVV10" s="515"/>
      <c r="OVW10" s="515"/>
      <c r="OVX10" s="515"/>
      <c r="OVY10" s="515"/>
      <c r="OVZ10" s="515"/>
      <c r="OWA10" s="515"/>
      <c r="OWB10" s="515"/>
      <c r="OWC10" s="515"/>
      <c r="OWD10" s="515"/>
      <c r="OWE10" s="413"/>
      <c r="OWF10" s="413"/>
      <c r="OWG10" s="413"/>
      <c r="OWH10" s="413"/>
      <c r="OWI10" s="413"/>
      <c r="OWJ10" s="413"/>
      <c r="OWK10" s="413"/>
      <c r="OWL10" s="413"/>
      <c r="OWM10" s="413"/>
      <c r="OWN10" s="413"/>
      <c r="OWO10" s="413"/>
      <c r="OWP10" s="514"/>
      <c r="OWQ10" s="515"/>
      <c r="OWR10" s="515"/>
      <c r="OWS10" s="515"/>
      <c r="OWT10" s="515"/>
      <c r="OWU10" s="515"/>
      <c r="OWV10" s="515"/>
      <c r="OWW10" s="515"/>
      <c r="OWX10" s="515"/>
      <c r="OWY10" s="515"/>
      <c r="OWZ10" s="413"/>
      <c r="OXA10" s="413"/>
      <c r="OXB10" s="413"/>
      <c r="OXC10" s="413"/>
      <c r="OXD10" s="413"/>
      <c r="OXE10" s="413"/>
      <c r="OXF10" s="413"/>
      <c r="OXG10" s="413"/>
      <c r="OXH10" s="413"/>
      <c r="OXI10" s="413"/>
      <c r="OXJ10" s="413"/>
      <c r="OXK10" s="514"/>
      <c r="OXL10" s="515"/>
      <c r="OXM10" s="515"/>
      <c r="OXN10" s="515"/>
      <c r="OXO10" s="515"/>
      <c r="OXP10" s="515"/>
      <c r="OXQ10" s="515"/>
      <c r="OXR10" s="515"/>
      <c r="OXS10" s="515"/>
      <c r="OXT10" s="515"/>
      <c r="OXU10" s="413"/>
      <c r="OXV10" s="413"/>
      <c r="OXW10" s="413"/>
      <c r="OXX10" s="413"/>
      <c r="OXY10" s="413"/>
      <c r="OXZ10" s="413"/>
      <c r="OYA10" s="413"/>
      <c r="OYB10" s="413"/>
      <c r="OYC10" s="413"/>
      <c r="OYD10" s="413"/>
      <c r="OYE10" s="413"/>
      <c r="OYF10" s="514"/>
      <c r="OYG10" s="515"/>
      <c r="OYH10" s="515"/>
      <c r="OYI10" s="515"/>
      <c r="OYJ10" s="515"/>
      <c r="OYK10" s="515"/>
      <c r="OYL10" s="515"/>
      <c r="OYM10" s="515"/>
      <c r="OYN10" s="515"/>
      <c r="OYO10" s="515"/>
      <c r="OYP10" s="413"/>
      <c r="OYQ10" s="413"/>
      <c r="OYR10" s="413"/>
      <c r="OYS10" s="413"/>
      <c r="OYT10" s="413"/>
      <c r="OYU10" s="413"/>
      <c r="OYV10" s="413"/>
      <c r="OYW10" s="413"/>
      <c r="OYX10" s="413"/>
      <c r="OYY10" s="413"/>
      <c r="OYZ10" s="413"/>
      <c r="OZA10" s="514"/>
      <c r="OZB10" s="515"/>
      <c r="OZC10" s="515"/>
      <c r="OZD10" s="515"/>
      <c r="OZE10" s="515"/>
      <c r="OZF10" s="515"/>
      <c r="OZG10" s="515"/>
      <c r="OZH10" s="515"/>
      <c r="OZI10" s="515"/>
      <c r="OZJ10" s="515"/>
      <c r="OZK10" s="413"/>
      <c r="OZL10" s="413"/>
      <c r="OZM10" s="413"/>
      <c r="OZN10" s="413"/>
      <c r="OZO10" s="413"/>
      <c r="OZP10" s="413"/>
      <c r="OZQ10" s="413"/>
      <c r="OZR10" s="413"/>
      <c r="OZS10" s="413"/>
      <c r="OZT10" s="413"/>
      <c r="OZU10" s="413"/>
      <c r="OZV10" s="514"/>
      <c r="OZW10" s="515"/>
      <c r="OZX10" s="515"/>
      <c r="OZY10" s="515"/>
      <c r="OZZ10" s="515"/>
      <c r="PAA10" s="515"/>
      <c r="PAB10" s="515"/>
      <c r="PAC10" s="515"/>
      <c r="PAD10" s="515"/>
      <c r="PAE10" s="515"/>
      <c r="PAF10" s="413"/>
      <c r="PAG10" s="413"/>
      <c r="PAH10" s="413"/>
      <c r="PAI10" s="413"/>
      <c r="PAJ10" s="413"/>
      <c r="PAK10" s="413"/>
      <c r="PAL10" s="413"/>
      <c r="PAM10" s="413"/>
      <c r="PAN10" s="413"/>
      <c r="PAO10" s="413"/>
      <c r="PAP10" s="413"/>
      <c r="PAQ10" s="514"/>
      <c r="PAR10" s="515"/>
      <c r="PAS10" s="515"/>
      <c r="PAT10" s="515"/>
      <c r="PAU10" s="515"/>
      <c r="PAV10" s="515"/>
      <c r="PAW10" s="515"/>
      <c r="PAX10" s="515"/>
      <c r="PAY10" s="515"/>
      <c r="PAZ10" s="515"/>
      <c r="PBA10" s="413"/>
      <c r="PBB10" s="413"/>
      <c r="PBC10" s="413"/>
      <c r="PBD10" s="413"/>
      <c r="PBE10" s="413"/>
      <c r="PBF10" s="413"/>
      <c r="PBG10" s="413"/>
      <c r="PBH10" s="413"/>
      <c r="PBI10" s="413"/>
      <c r="PBJ10" s="413"/>
      <c r="PBK10" s="413"/>
      <c r="PBL10" s="514"/>
      <c r="PBM10" s="515"/>
      <c r="PBN10" s="515"/>
      <c r="PBO10" s="515"/>
      <c r="PBP10" s="515"/>
      <c r="PBQ10" s="515"/>
      <c r="PBR10" s="515"/>
      <c r="PBS10" s="515"/>
      <c r="PBT10" s="515"/>
      <c r="PBU10" s="515"/>
      <c r="PBV10" s="413"/>
      <c r="PBW10" s="413"/>
      <c r="PBX10" s="413"/>
      <c r="PBY10" s="413"/>
      <c r="PBZ10" s="413"/>
      <c r="PCA10" s="413"/>
      <c r="PCB10" s="413"/>
      <c r="PCC10" s="413"/>
      <c r="PCD10" s="413"/>
      <c r="PCE10" s="413"/>
      <c r="PCF10" s="413"/>
      <c r="PCG10" s="514"/>
      <c r="PCH10" s="515"/>
      <c r="PCI10" s="515"/>
      <c r="PCJ10" s="515"/>
      <c r="PCK10" s="515"/>
      <c r="PCL10" s="515"/>
      <c r="PCM10" s="515"/>
      <c r="PCN10" s="515"/>
      <c r="PCO10" s="515"/>
      <c r="PCP10" s="515"/>
      <c r="PCQ10" s="413"/>
      <c r="PCR10" s="413"/>
      <c r="PCS10" s="413"/>
      <c r="PCT10" s="413"/>
      <c r="PCU10" s="413"/>
      <c r="PCV10" s="413"/>
      <c r="PCW10" s="413"/>
      <c r="PCX10" s="413"/>
      <c r="PCY10" s="413"/>
      <c r="PCZ10" s="413"/>
      <c r="PDA10" s="413"/>
      <c r="PDB10" s="514"/>
      <c r="PDC10" s="515"/>
      <c r="PDD10" s="515"/>
      <c r="PDE10" s="515"/>
      <c r="PDF10" s="515"/>
      <c r="PDG10" s="515"/>
      <c r="PDH10" s="515"/>
      <c r="PDI10" s="515"/>
      <c r="PDJ10" s="515"/>
      <c r="PDK10" s="515"/>
      <c r="PDL10" s="413"/>
      <c r="PDM10" s="413"/>
      <c r="PDN10" s="413"/>
      <c r="PDO10" s="413"/>
      <c r="PDP10" s="413"/>
      <c r="PDQ10" s="413"/>
      <c r="PDR10" s="413"/>
      <c r="PDS10" s="413"/>
      <c r="PDT10" s="413"/>
      <c r="PDU10" s="413"/>
      <c r="PDV10" s="413"/>
      <c r="PDW10" s="514"/>
      <c r="PDX10" s="515"/>
      <c r="PDY10" s="515"/>
      <c r="PDZ10" s="515"/>
      <c r="PEA10" s="515"/>
      <c r="PEB10" s="515"/>
      <c r="PEC10" s="515"/>
      <c r="PED10" s="515"/>
      <c r="PEE10" s="515"/>
      <c r="PEF10" s="515"/>
      <c r="PEG10" s="413"/>
      <c r="PEH10" s="413"/>
      <c r="PEI10" s="413"/>
      <c r="PEJ10" s="413"/>
      <c r="PEK10" s="413"/>
      <c r="PEL10" s="413"/>
      <c r="PEM10" s="413"/>
      <c r="PEN10" s="413"/>
      <c r="PEO10" s="413"/>
      <c r="PEP10" s="413"/>
      <c r="PEQ10" s="413"/>
      <c r="PER10" s="514"/>
      <c r="PES10" s="515"/>
      <c r="PET10" s="515"/>
      <c r="PEU10" s="515"/>
      <c r="PEV10" s="515"/>
      <c r="PEW10" s="515"/>
      <c r="PEX10" s="515"/>
      <c r="PEY10" s="515"/>
      <c r="PEZ10" s="515"/>
      <c r="PFA10" s="515"/>
      <c r="PFB10" s="413"/>
      <c r="PFC10" s="413"/>
      <c r="PFD10" s="413"/>
      <c r="PFE10" s="413"/>
      <c r="PFF10" s="413"/>
      <c r="PFG10" s="413"/>
      <c r="PFH10" s="413"/>
      <c r="PFI10" s="413"/>
      <c r="PFJ10" s="413"/>
      <c r="PFK10" s="413"/>
      <c r="PFL10" s="413"/>
      <c r="PFM10" s="514"/>
      <c r="PFN10" s="515"/>
      <c r="PFO10" s="515"/>
      <c r="PFP10" s="515"/>
      <c r="PFQ10" s="515"/>
      <c r="PFR10" s="515"/>
      <c r="PFS10" s="515"/>
      <c r="PFT10" s="515"/>
      <c r="PFU10" s="515"/>
      <c r="PFV10" s="515"/>
      <c r="PFW10" s="413"/>
      <c r="PFX10" s="413"/>
      <c r="PFY10" s="413"/>
      <c r="PFZ10" s="413"/>
      <c r="PGA10" s="413"/>
      <c r="PGB10" s="413"/>
      <c r="PGC10" s="413"/>
      <c r="PGD10" s="413"/>
      <c r="PGE10" s="413"/>
      <c r="PGF10" s="413"/>
      <c r="PGG10" s="413"/>
      <c r="PGH10" s="514"/>
      <c r="PGI10" s="515"/>
      <c r="PGJ10" s="515"/>
      <c r="PGK10" s="515"/>
      <c r="PGL10" s="515"/>
      <c r="PGM10" s="515"/>
      <c r="PGN10" s="515"/>
      <c r="PGO10" s="515"/>
      <c r="PGP10" s="515"/>
      <c r="PGQ10" s="515"/>
      <c r="PGR10" s="413"/>
      <c r="PGS10" s="413"/>
      <c r="PGT10" s="413"/>
      <c r="PGU10" s="413"/>
      <c r="PGV10" s="413"/>
      <c r="PGW10" s="413"/>
      <c r="PGX10" s="413"/>
      <c r="PGY10" s="413"/>
      <c r="PGZ10" s="413"/>
      <c r="PHA10" s="413"/>
      <c r="PHB10" s="413"/>
      <c r="PHC10" s="514"/>
      <c r="PHD10" s="515"/>
      <c r="PHE10" s="515"/>
      <c r="PHF10" s="515"/>
      <c r="PHG10" s="515"/>
      <c r="PHH10" s="515"/>
      <c r="PHI10" s="515"/>
      <c r="PHJ10" s="515"/>
      <c r="PHK10" s="515"/>
      <c r="PHL10" s="515"/>
      <c r="PHM10" s="413"/>
      <c r="PHN10" s="413"/>
      <c r="PHO10" s="413"/>
      <c r="PHP10" s="413"/>
      <c r="PHQ10" s="413"/>
      <c r="PHR10" s="413"/>
      <c r="PHS10" s="413"/>
      <c r="PHT10" s="413"/>
      <c r="PHU10" s="413"/>
      <c r="PHV10" s="413"/>
      <c r="PHW10" s="413"/>
      <c r="PHX10" s="514"/>
      <c r="PHY10" s="515"/>
      <c r="PHZ10" s="515"/>
      <c r="PIA10" s="515"/>
      <c r="PIB10" s="515"/>
      <c r="PIC10" s="515"/>
      <c r="PID10" s="515"/>
      <c r="PIE10" s="515"/>
      <c r="PIF10" s="515"/>
      <c r="PIG10" s="515"/>
      <c r="PIH10" s="413"/>
      <c r="PII10" s="413"/>
      <c r="PIJ10" s="413"/>
      <c r="PIK10" s="413"/>
      <c r="PIL10" s="413"/>
      <c r="PIM10" s="413"/>
      <c r="PIN10" s="413"/>
      <c r="PIO10" s="413"/>
      <c r="PIP10" s="413"/>
      <c r="PIQ10" s="413"/>
      <c r="PIR10" s="413"/>
      <c r="PIS10" s="514"/>
      <c r="PIT10" s="515"/>
      <c r="PIU10" s="515"/>
      <c r="PIV10" s="515"/>
      <c r="PIW10" s="515"/>
      <c r="PIX10" s="515"/>
      <c r="PIY10" s="515"/>
      <c r="PIZ10" s="515"/>
      <c r="PJA10" s="515"/>
      <c r="PJB10" s="515"/>
      <c r="PJC10" s="413"/>
      <c r="PJD10" s="413"/>
      <c r="PJE10" s="413"/>
      <c r="PJF10" s="413"/>
      <c r="PJG10" s="413"/>
      <c r="PJH10" s="413"/>
      <c r="PJI10" s="413"/>
      <c r="PJJ10" s="413"/>
      <c r="PJK10" s="413"/>
      <c r="PJL10" s="413"/>
      <c r="PJM10" s="413"/>
      <c r="PJN10" s="514"/>
      <c r="PJO10" s="515"/>
      <c r="PJP10" s="515"/>
      <c r="PJQ10" s="515"/>
      <c r="PJR10" s="515"/>
      <c r="PJS10" s="515"/>
      <c r="PJT10" s="515"/>
      <c r="PJU10" s="515"/>
      <c r="PJV10" s="515"/>
      <c r="PJW10" s="515"/>
      <c r="PJX10" s="413"/>
      <c r="PJY10" s="413"/>
      <c r="PJZ10" s="413"/>
      <c r="PKA10" s="413"/>
      <c r="PKB10" s="413"/>
      <c r="PKC10" s="413"/>
      <c r="PKD10" s="413"/>
      <c r="PKE10" s="413"/>
      <c r="PKF10" s="413"/>
      <c r="PKG10" s="413"/>
      <c r="PKH10" s="413"/>
      <c r="PKI10" s="514"/>
      <c r="PKJ10" s="515"/>
      <c r="PKK10" s="515"/>
      <c r="PKL10" s="515"/>
      <c r="PKM10" s="515"/>
      <c r="PKN10" s="515"/>
      <c r="PKO10" s="515"/>
      <c r="PKP10" s="515"/>
      <c r="PKQ10" s="515"/>
      <c r="PKR10" s="515"/>
      <c r="PKS10" s="413"/>
      <c r="PKT10" s="413"/>
      <c r="PKU10" s="413"/>
      <c r="PKV10" s="413"/>
      <c r="PKW10" s="413"/>
      <c r="PKX10" s="413"/>
      <c r="PKY10" s="413"/>
      <c r="PKZ10" s="413"/>
      <c r="PLA10" s="413"/>
      <c r="PLB10" s="413"/>
      <c r="PLC10" s="413"/>
      <c r="PLD10" s="514"/>
      <c r="PLE10" s="515"/>
      <c r="PLF10" s="515"/>
      <c r="PLG10" s="515"/>
      <c r="PLH10" s="515"/>
      <c r="PLI10" s="515"/>
      <c r="PLJ10" s="515"/>
      <c r="PLK10" s="515"/>
      <c r="PLL10" s="515"/>
      <c r="PLM10" s="515"/>
      <c r="PLN10" s="413"/>
      <c r="PLO10" s="413"/>
      <c r="PLP10" s="413"/>
      <c r="PLQ10" s="413"/>
      <c r="PLR10" s="413"/>
      <c r="PLS10" s="413"/>
      <c r="PLT10" s="413"/>
      <c r="PLU10" s="413"/>
      <c r="PLV10" s="413"/>
      <c r="PLW10" s="413"/>
      <c r="PLX10" s="413"/>
      <c r="PLY10" s="514"/>
      <c r="PLZ10" s="515"/>
      <c r="PMA10" s="515"/>
      <c r="PMB10" s="515"/>
      <c r="PMC10" s="515"/>
      <c r="PMD10" s="515"/>
      <c r="PME10" s="515"/>
      <c r="PMF10" s="515"/>
      <c r="PMG10" s="515"/>
      <c r="PMH10" s="515"/>
      <c r="PMI10" s="413"/>
      <c r="PMJ10" s="413"/>
      <c r="PMK10" s="413"/>
      <c r="PML10" s="413"/>
      <c r="PMM10" s="413"/>
      <c r="PMN10" s="413"/>
      <c r="PMO10" s="413"/>
      <c r="PMP10" s="413"/>
      <c r="PMQ10" s="413"/>
      <c r="PMR10" s="413"/>
      <c r="PMS10" s="413"/>
      <c r="PMT10" s="514"/>
      <c r="PMU10" s="515"/>
      <c r="PMV10" s="515"/>
      <c r="PMW10" s="515"/>
      <c r="PMX10" s="515"/>
      <c r="PMY10" s="515"/>
      <c r="PMZ10" s="515"/>
      <c r="PNA10" s="515"/>
      <c r="PNB10" s="515"/>
      <c r="PNC10" s="515"/>
      <c r="PND10" s="413"/>
      <c r="PNE10" s="413"/>
      <c r="PNF10" s="413"/>
      <c r="PNG10" s="413"/>
      <c r="PNH10" s="413"/>
      <c r="PNI10" s="413"/>
      <c r="PNJ10" s="413"/>
      <c r="PNK10" s="413"/>
      <c r="PNL10" s="413"/>
      <c r="PNM10" s="413"/>
      <c r="PNN10" s="413"/>
      <c r="PNO10" s="514"/>
      <c r="PNP10" s="515"/>
      <c r="PNQ10" s="515"/>
      <c r="PNR10" s="515"/>
      <c r="PNS10" s="515"/>
      <c r="PNT10" s="515"/>
      <c r="PNU10" s="515"/>
      <c r="PNV10" s="515"/>
      <c r="PNW10" s="515"/>
      <c r="PNX10" s="515"/>
      <c r="PNY10" s="413"/>
      <c r="PNZ10" s="413"/>
      <c r="POA10" s="413"/>
      <c r="POB10" s="413"/>
      <c r="POC10" s="413"/>
      <c r="POD10" s="413"/>
      <c r="POE10" s="413"/>
      <c r="POF10" s="413"/>
      <c r="POG10" s="413"/>
      <c r="POH10" s="413"/>
      <c r="POI10" s="413"/>
      <c r="POJ10" s="514"/>
      <c r="POK10" s="515"/>
      <c r="POL10" s="515"/>
      <c r="POM10" s="515"/>
      <c r="PON10" s="515"/>
      <c r="POO10" s="515"/>
      <c r="POP10" s="515"/>
      <c r="POQ10" s="515"/>
      <c r="POR10" s="515"/>
      <c r="POS10" s="515"/>
      <c r="POT10" s="413"/>
      <c r="POU10" s="413"/>
      <c r="POV10" s="413"/>
      <c r="POW10" s="413"/>
      <c r="POX10" s="413"/>
      <c r="POY10" s="413"/>
      <c r="POZ10" s="413"/>
      <c r="PPA10" s="413"/>
      <c r="PPB10" s="413"/>
      <c r="PPC10" s="413"/>
      <c r="PPD10" s="413"/>
      <c r="PPE10" s="514"/>
      <c r="PPF10" s="515"/>
      <c r="PPG10" s="515"/>
      <c r="PPH10" s="515"/>
      <c r="PPI10" s="515"/>
      <c r="PPJ10" s="515"/>
      <c r="PPK10" s="515"/>
      <c r="PPL10" s="515"/>
      <c r="PPM10" s="515"/>
      <c r="PPN10" s="515"/>
      <c r="PPO10" s="413"/>
      <c r="PPP10" s="413"/>
      <c r="PPQ10" s="413"/>
      <c r="PPR10" s="413"/>
      <c r="PPS10" s="413"/>
      <c r="PPT10" s="413"/>
      <c r="PPU10" s="413"/>
      <c r="PPV10" s="413"/>
      <c r="PPW10" s="413"/>
      <c r="PPX10" s="413"/>
      <c r="PPY10" s="413"/>
      <c r="PPZ10" s="514"/>
      <c r="PQA10" s="515"/>
      <c r="PQB10" s="515"/>
      <c r="PQC10" s="515"/>
      <c r="PQD10" s="515"/>
      <c r="PQE10" s="515"/>
      <c r="PQF10" s="515"/>
      <c r="PQG10" s="515"/>
      <c r="PQH10" s="515"/>
      <c r="PQI10" s="515"/>
      <c r="PQJ10" s="413"/>
      <c r="PQK10" s="413"/>
      <c r="PQL10" s="413"/>
      <c r="PQM10" s="413"/>
      <c r="PQN10" s="413"/>
      <c r="PQO10" s="413"/>
      <c r="PQP10" s="413"/>
      <c r="PQQ10" s="413"/>
      <c r="PQR10" s="413"/>
      <c r="PQS10" s="413"/>
      <c r="PQT10" s="413"/>
      <c r="PQU10" s="514"/>
      <c r="PQV10" s="515"/>
      <c r="PQW10" s="515"/>
      <c r="PQX10" s="515"/>
      <c r="PQY10" s="515"/>
      <c r="PQZ10" s="515"/>
      <c r="PRA10" s="515"/>
      <c r="PRB10" s="515"/>
      <c r="PRC10" s="515"/>
      <c r="PRD10" s="515"/>
      <c r="PRE10" s="413"/>
      <c r="PRF10" s="413"/>
      <c r="PRG10" s="413"/>
      <c r="PRH10" s="413"/>
      <c r="PRI10" s="413"/>
      <c r="PRJ10" s="413"/>
      <c r="PRK10" s="413"/>
      <c r="PRL10" s="413"/>
      <c r="PRM10" s="413"/>
      <c r="PRN10" s="413"/>
      <c r="PRO10" s="413"/>
      <c r="PRP10" s="514"/>
      <c r="PRQ10" s="515"/>
      <c r="PRR10" s="515"/>
      <c r="PRS10" s="515"/>
      <c r="PRT10" s="515"/>
      <c r="PRU10" s="515"/>
      <c r="PRV10" s="515"/>
      <c r="PRW10" s="515"/>
      <c r="PRX10" s="515"/>
      <c r="PRY10" s="515"/>
      <c r="PRZ10" s="413"/>
      <c r="PSA10" s="413"/>
      <c r="PSB10" s="413"/>
      <c r="PSC10" s="413"/>
      <c r="PSD10" s="413"/>
      <c r="PSE10" s="413"/>
      <c r="PSF10" s="413"/>
      <c r="PSG10" s="413"/>
      <c r="PSH10" s="413"/>
      <c r="PSI10" s="413"/>
      <c r="PSJ10" s="413"/>
      <c r="PSK10" s="514"/>
      <c r="PSL10" s="515"/>
      <c r="PSM10" s="515"/>
      <c r="PSN10" s="515"/>
      <c r="PSO10" s="515"/>
      <c r="PSP10" s="515"/>
      <c r="PSQ10" s="515"/>
      <c r="PSR10" s="515"/>
      <c r="PSS10" s="515"/>
      <c r="PST10" s="515"/>
      <c r="PSU10" s="413"/>
      <c r="PSV10" s="413"/>
      <c r="PSW10" s="413"/>
      <c r="PSX10" s="413"/>
      <c r="PSY10" s="413"/>
      <c r="PSZ10" s="413"/>
      <c r="PTA10" s="413"/>
      <c r="PTB10" s="413"/>
      <c r="PTC10" s="413"/>
      <c r="PTD10" s="413"/>
      <c r="PTE10" s="413"/>
      <c r="PTF10" s="514"/>
      <c r="PTG10" s="515"/>
      <c r="PTH10" s="515"/>
      <c r="PTI10" s="515"/>
      <c r="PTJ10" s="515"/>
      <c r="PTK10" s="515"/>
      <c r="PTL10" s="515"/>
      <c r="PTM10" s="515"/>
      <c r="PTN10" s="515"/>
      <c r="PTO10" s="515"/>
      <c r="PTP10" s="413"/>
      <c r="PTQ10" s="413"/>
      <c r="PTR10" s="413"/>
      <c r="PTS10" s="413"/>
      <c r="PTT10" s="413"/>
      <c r="PTU10" s="413"/>
      <c r="PTV10" s="413"/>
      <c r="PTW10" s="413"/>
      <c r="PTX10" s="413"/>
      <c r="PTY10" s="413"/>
      <c r="PTZ10" s="413"/>
      <c r="PUA10" s="514"/>
      <c r="PUB10" s="515"/>
      <c r="PUC10" s="515"/>
      <c r="PUD10" s="515"/>
      <c r="PUE10" s="515"/>
      <c r="PUF10" s="515"/>
      <c r="PUG10" s="515"/>
      <c r="PUH10" s="515"/>
      <c r="PUI10" s="515"/>
      <c r="PUJ10" s="515"/>
      <c r="PUK10" s="413"/>
      <c r="PUL10" s="413"/>
      <c r="PUM10" s="413"/>
      <c r="PUN10" s="413"/>
      <c r="PUO10" s="413"/>
      <c r="PUP10" s="413"/>
      <c r="PUQ10" s="413"/>
      <c r="PUR10" s="413"/>
      <c r="PUS10" s="413"/>
      <c r="PUT10" s="413"/>
      <c r="PUU10" s="413"/>
      <c r="PUV10" s="514"/>
      <c r="PUW10" s="515"/>
      <c r="PUX10" s="515"/>
      <c r="PUY10" s="515"/>
      <c r="PUZ10" s="515"/>
      <c r="PVA10" s="515"/>
      <c r="PVB10" s="515"/>
      <c r="PVC10" s="515"/>
      <c r="PVD10" s="515"/>
      <c r="PVE10" s="515"/>
      <c r="PVF10" s="413"/>
      <c r="PVG10" s="413"/>
      <c r="PVH10" s="413"/>
      <c r="PVI10" s="413"/>
      <c r="PVJ10" s="413"/>
      <c r="PVK10" s="413"/>
      <c r="PVL10" s="413"/>
      <c r="PVM10" s="413"/>
      <c r="PVN10" s="413"/>
      <c r="PVO10" s="413"/>
      <c r="PVP10" s="413"/>
      <c r="PVQ10" s="514"/>
      <c r="PVR10" s="515"/>
      <c r="PVS10" s="515"/>
      <c r="PVT10" s="515"/>
      <c r="PVU10" s="515"/>
      <c r="PVV10" s="515"/>
      <c r="PVW10" s="515"/>
      <c r="PVX10" s="515"/>
      <c r="PVY10" s="515"/>
      <c r="PVZ10" s="515"/>
      <c r="PWA10" s="413"/>
      <c r="PWB10" s="413"/>
      <c r="PWC10" s="413"/>
      <c r="PWD10" s="413"/>
      <c r="PWE10" s="413"/>
      <c r="PWF10" s="413"/>
      <c r="PWG10" s="413"/>
      <c r="PWH10" s="413"/>
      <c r="PWI10" s="413"/>
      <c r="PWJ10" s="413"/>
      <c r="PWK10" s="413"/>
      <c r="PWL10" s="514"/>
      <c r="PWM10" s="515"/>
      <c r="PWN10" s="515"/>
      <c r="PWO10" s="515"/>
      <c r="PWP10" s="515"/>
      <c r="PWQ10" s="515"/>
      <c r="PWR10" s="515"/>
      <c r="PWS10" s="515"/>
      <c r="PWT10" s="515"/>
      <c r="PWU10" s="515"/>
      <c r="PWV10" s="413"/>
      <c r="PWW10" s="413"/>
      <c r="PWX10" s="413"/>
      <c r="PWY10" s="413"/>
      <c r="PWZ10" s="413"/>
      <c r="PXA10" s="413"/>
      <c r="PXB10" s="413"/>
      <c r="PXC10" s="413"/>
      <c r="PXD10" s="413"/>
      <c r="PXE10" s="413"/>
      <c r="PXF10" s="413"/>
      <c r="PXG10" s="514"/>
      <c r="PXH10" s="515"/>
      <c r="PXI10" s="515"/>
      <c r="PXJ10" s="515"/>
      <c r="PXK10" s="515"/>
      <c r="PXL10" s="515"/>
      <c r="PXM10" s="515"/>
      <c r="PXN10" s="515"/>
      <c r="PXO10" s="515"/>
      <c r="PXP10" s="515"/>
      <c r="PXQ10" s="413"/>
      <c r="PXR10" s="413"/>
      <c r="PXS10" s="413"/>
      <c r="PXT10" s="413"/>
      <c r="PXU10" s="413"/>
      <c r="PXV10" s="413"/>
      <c r="PXW10" s="413"/>
      <c r="PXX10" s="413"/>
      <c r="PXY10" s="413"/>
      <c r="PXZ10" s="413"/>
      <c r="PYA10" s="413"/>
      <c r="PYB10" s="514"/>
      <c r="PYC10" s="515"/>
      <c r="PYD10" s="515"/>
      <c r="PYE10" s="515"/>
      <c r="PYF10" s="515"/>
      <c r="PYG10" s="515"/>
      <c r="PYH10" s="515"/>
      <c r="PYI10" s="515"/>
      <c r="PYJ10" s="515"/>
      <c r="PYK10" s="515"/>
      <c r="PYL10" s="413"/>
      <c r="PYM10" s="413"/>
      <c r="PYN10" s="413"/>
      <c r="PYO10" s="413"/>
      <c r="PYP10" s="413"/>
      <c r="PYQ10" s="413"/>
      <c r="PYR10" s="413"/>
      <c r="PYS10" s="413"/>
      <c r="PYT10" s="413"/>
      <c r="PYU10" s="413"/>
      <c r="PYV10" s="413"/>
      <c r="PYW10" s="514"/>
      <c r="PYX10" s="515"/>
      <c r="PYY10" s="515"/>
      <c r="PYZ10" s="515"/>
      <c r="PZA10" s="515"/>
      <c r="PZB10" s="515"/>
      <c r="PZC10" s="515"/>
      <c r="PZD10" s="515"/>
      <c r="PZE10" s="515"/>
      <c r="PZF10" s="515"/>
      <c r="PZG10" s="413"/>
      <c r="PZH10" s="413"/>
      <c r="PZI10" s="413"/>
      <c r="PZJ10" s="413"/>
      <c r="PZK10" s="413"/>
      <c r="PZL10" s="413"/>
      <c r="PZM10" s="413"/>
      <c r="PZN10" s="413"/>
      <c r="PZO10" s="413"/>
      <c r="PZP10" s="413"/>
      <c r="PZQ10" s="413"/>
      <c r="PZR10" s="514"/>
      <c r="PZS10" s="515"/>
      <c r="PZT10" s="515"/>
      <c r="PZU10" s="515"/>
      <c r="PZV10" s="515"/>
      <c r="PZW10" s="515"/>
      <c r="PZX10" s="515"/>
      <c r="PZY10" s="515"/>
      <c r="PZZ10" s="515"/>
      <c r="QAA10" s="515"/>
      <c r="QAB10" s="413"/>
      <c r="QAC10" s="413"/>
      <c r="QAD10" s="413"/>
      <c r="QAE10" s="413"/>
      <c r="QAF10" s="413"/>
      <c r="QAG10" s="413"/>
      <c r="QAH10" s="413"/>
      <c r="QAI10" s="413"/>
      <c r="QAJ10" s="413"/>
      <c r="QAK10" s="413"/>
      <c r="QAL10" s="413"/>
      <c r="QAM10" s="514"/>
      <c r="QAN10" s="515"/>
      <c r="QAO10" s="515"/>
      <c r="QAP10" s="515"/>
      <c r="QAQ10" s="515"/>
      <c r="QAR10" s="515"/>
      <c r="QAS10" s="515"/>
      <c r="QAT10" s="515"/>
      <c r="QAU10" s="515"/>
      <c r="QAV10" s="515"/>
      <c r="QAW10" s="413"/>
      <c r="QAX10" s="413"/>
      <c r="QAY10" s="413"/>
      <c r="QAZ10" s="413"/>
      <c r="QBA10" s="413"/>
      <c r="QBB10" s="413"/>
      <c r="QBC10" s="413"/>
      <c r="QBD10" s="413"/>
      <c r="QBE10" s="413"/>
      <c r="QBF10" s="413"/>
      <c r="QBG10" s="413"/>
      <c r="QBH10" s="514"/>
      <c r="QBI10" s="515"/>
      <c r="QBJ10" s="515"/>
      <c r="QBK10" s="515"/>
      <c r="QBL10" s="515"/>
      <c r="QBM10" s="515"/>
      <c r="QBN10" s="515"/>
      <c r="QBO10" s="515"/>
      <c r="QBP10" s="515"/>
      <c r="QBQ10" s="515"/>
      <c r="QBR10" s="413"/>
      <c r="QBS10" s="413"/>
      <c r="QBT10" s="413"/>
      <c r="QBU10" s="413"/>
      <c r="QBV10" s="413"/>
      <c r="QBW10" s="413"/>
      <c r="QBX10" s="413"/>
      <c r="QBY10" s="413"/>
      <c r="QBZ10" s="413"/>
      <c r="QCA10" s="413"/>
      <c r="QCB10" s="413"/>
      <c r="QCC10" s="514"/>
      <c r="QCD10" s="515"/>
      <c r="QCE10" s="515"/>
      <c r="QCF10" s="515"/>
      <c r="QCG10" s="515"/>
      <c r="QCH10" s="515"/>
      <c r="QCI10" s="515"/>
      <c r="QCJ10" s="515"/>
      <c r="QCK10" s="515"/>
      <c r="QCL10" s="515"/>
      <c r="QCM10" s="413"/>
      <c r="QCN10" s="413"/>
      <c r="QCO10" s="413"/>
      <c r="QCP10" s="413"/>
      <c r="QCQ10" s="413"/>
      <c r="QCR10" s="413"/>
      <c r="QCS10" s="413"/>
      <c r="QCT10" s="413"/>
      <c r="QCU10" s="413"/>
      <c r="QCV10" s="413"/>
      <c r="QCW10" s="413"/>
      <c r="QCX10" s="514"/>
      <c r="QCY10" s="515"/>
      <c r="QCZ10" s="515"/>
      <c r="QDA10" s="515"/>
      <c r="QDB10" s="515"/>
      <c r="QDC10" s="515"/>
      <c r="QDD10" s="515"/>
      <c r="QDE10" s="515"/>
      <c r="QDF10" s="515"/>
      <c r="QDG10" s="515"/>
      <c r="QDH10" s="413"/>
      <c r="QDI10" s="413"/>
      <c r="QDJ10" s="413"/>
      <c r="QDK10" s="413"/>
      <c r="QDL10" s="413"/>
      <c r="QDM10" s="413"/>
      <c r="QDN10" s="413"/>
      <c r="QDO10" s="413"/>
      <c r="QDP10" s="413"/>
      <c r="QDQ10" s="413"/>
      <c r="QDR10" s="413"/>
      <c r="QDS10" s="514"/>
      <c r="QDT10" s="515"/>
      <c r="QDU10" s="515"/>
      <c r="QDV10" s="515"/>
      <c r="QDW10" s="515"/>
      <c r="QDX10" s="515"/>
      <c r="QDY10" s="515"/>
      <c r="QDZ10" s="515"/>
      <c r="QEA10" s="515"/>
      <c r="QEB10" s="515"/>
      <c r="QEC10" s="413"/>
      <c r="QED10" s="413"/>
      <c r="QEE10" s="413"/>
      <c r="QEF10" s="413"/>
      <c r="QEG10" s="413"/>
      <c r="QEH10" s="413"/>
      <c r="QEI10" s="413"/>
      <c r="QEJ10" s="413"/>
      <c r="QEK10" s="413"/>
      <c r="QEL10" s="413"/>
      <c r="QEM10" s="413"/>
      <c r="QEN10" s="514"/>
      <c r="QEO10" s="515"/>
      <c r="QEP10" s="515"/>
      <c r="QEQ10" s="515"/>
      <c r="QER10" s="515"/>
      <c r="QES10" s="515"/>
      <c r="QET10" s="515"/>
      <c r="QEU10" s="515"/>
      <c r="QEV10" s="515"/>
      <c r="QEW10" s="515"/>
      <c r="QEX10" s="413"/>
      <c r="QEY10" s="413"/>
      <c r="QEZ10" s="413"/>
      <c r="QFA10" s="413"/>
      <c r="QFB10" s="413"/>
      <c r="QFC10" s="413"/>
      <c r="QFD10" s="413"/>
      <c r="QFE10" s="413"/>
      <c r="QFF10" s="413"/>
      <c r="QFG10" s="413"/>
      <c r="QFH10" s="413"/>
      <c r="QFI10" s="514"/>
      <c r="QFJ10" s="515"/>
      <c r="QFK10" s="515"/>
      <c r="QFL10" s="515"/>
      <c r="QFM10" s="515"/>
      <c r="QFN10" s="515"/>
      <c r="QFO10" s="515"/>
      <c r="QFP10" s="515"/>
      <c r="QFQ10" s="515"/>
      <c r="QFR10" s="515"/>
      <c r="QFS10" s="413"/>
      <c r="QFT10" s="413"/>
      <c r="QFU10" s="413"/>
      <c r="QFV10" s="413"/>
      <c r="QFW10" s="413"/>
      <c r="QFX10" s="413"/>
      <c r="QFY10" s="413"/>
      <c r="QFZ10" s="413"/>
      <c r="QGA10" s="413"/>
      <c r="QGB10" s="413"/>
      <c r="QGC10" s="413"/>
      <c r="QGD10" s="514"/>
      <c r="QGE10" s="515"/>
      <c r="QGF10" s="515"/>
      <c r="QGG10" s="515"/>
      <c r="QGH10" s="515"/>
      <c r="QGI10" s="515"/>
      <c r="QGJ10" s="515"/>
      <c r="QGK10" s="515"/>
      <c r="QGL10" s="515"/>
      <c r="QGM10" s="515"/>
      <c r="QGN10" s="413"/>
      <c r="QGO10" s="413"/>
      <c r="QGP10" s="413"/>
      <c r="QGQ10" s="413"/>
      <c r="QGR10" s="413"/>
      <c r="QGS10" s="413"/>
      <c r="QGT10" s="413"/>
      <c r="QGU10" s="413"/>
      <c r="QGV10" s="413"/>
      <c r="QGW10" s="413"/>
      <c r="QGX10" s="413"/>
      <c r="QGY10" s="514"/>
      <c r="QGZ10" s="515"/>
      <c r="QHA10" s="515"/>
      <c r="QHB10" s="515"/>
      <c r="QHC10" s="515"/>
      <c r="QHD10" s="515"/>
      <c r="QHE10" s="515"/>
      <c r="QHF10" s="515"/>
      <c r="QHG10" s="515"/>
      <c r="QHH10" s="515"/>
      <c r="QHI10" s="413"/>
      <c r="QHJ10" s="413"/>
      <c r="QHK10" s="413"/>
      <c r="QHL10" s="413"/>
      <c r="QHM10" s="413"/>
      <c r="QHN10" s="413"/>
      <c r="QHO10" s="413"/>
      <c r="QHP10" s="413"/>
      <c r="QHQ10" s="413"/>
      <c r="QHR10" s="413"/>
      <c r="QHS10" s="413"/>
      <c r="QHT10" s="514"/>
      <c r="QHU10" s="515"/>
      <c r="QHV10" s="515"/>
      <c r="QHW10" s="515"/>
      <c r="QHX10" s="515"/>
      <c r="QHY10" s="515"/>
      <c r="QHZ10" s="515"/>
      <c r="QIA10" s="515"/>
      <c r="QIB10" s="515"/>
      <c r="QIC10" s="515"/>
      <c r="QID10" s="413"/>
      <c r="QIE10" s="413"/>
      <c r="QIF10" s="413"/>
      <c r="QIG10" s="413"/>
      <c r="QIH10" s="413"/>
      <c r="QII10" s="413"/>
      <c r="QIJ10" s="413"/>
      <c r="QIK10" s="413"/>
      <c r="QIL10" s="413"/>
      <c r="QIM10" s="413"/>
      <c r="QIN10" s="413"/>
      <c r="QIO10" s="514"/>
      <c r="QIP10" s="515"/>
      <c r="QIQ10" s="515"/>
      <c r="QIR10" s="515"/>
      <c r="QIS10" s="515"/>
      <c r="QIT10" s="515"/>
      <c r="QIU10" s="515"/>
      <c r="QIV10" s="515"/>
      <c r="QIW10" s="515"/>
      <c r="QIX10" s="515"/>
      <c r="QIY10" s="413"/>
      <c r="QIZ10" s="413"/>
      <c r="QJA10" s="413"/>
      <c r="QJB10" s="413"/>
      <c r="QJC10" s="413"/>
      <c r="QJD10" s="413"/>
      <c r="QJE10" s="413"/>
      <c r="QJF10" s="413"/>
      <c r="QJG10" s="413"/>
      <c r="QJH10" s="413"/>
      <c r="QJI10" s="413"/>
      <c r="QJJ10" s="514"/>
      <c r="QJK10" s="515"/>
      <c r="QJL10" s="515"/>
      <c r="QJM10" s="515"/>
      <c r="QJN10" s="515"/>
      <c r="QJO10" s="515"/>
      <c r="QJP10" s="515"/>
      <c r="QJQ10" s="515"/>
      <c r="QJR10" s="515"/>
      <c r="QJS10" s="515"/>
      <c r="QJT10" s="413"/>
      <c r="QJU10" s="413"/>
      <c r="QJV10" s="413"/>
      <c r="QJW10" s="413"/>
      <c r="QJX10" s="413"/>
      <c r="QJY10" s="413"/>
      <c r="QJZ10" s="413"/>
      <c r="QKA10" s="413"/>
      <c r="QKB10" s="413"/>
      <c r="QKC10" s="413"/>
      <c r="QKD10" s="413"/>
      <c r="QKE10" s="514"/>
      <c r="QKF10" s="515"/>
      <c r="QKG10" s="515"/>
      <c r="QKH10" s="515"/>
      <c r="QKI10" s="515"/>
      <c r="QKJ10" s="515"/>
      <c r="QKK10" s="515"/>
      <c r="QKL10" s="515"/>
      <c r="QKM10" s="515"/>
      <c r="QKN10" s="515"/>
      <c r="QKO10" s="413"/>
      <c r="QKP10" s="413"/>
      <c r="QKQ10" s="413"/>
      <c r="QKR10" s="413"/>
      <c r="QKS10" s="413"/>
      <c r="QKT10" s="413"/>
      <c r="QKU10" s="413"/>
      <c r="QKV10" s="413"/>
      <c r="QKW10" s="413"/>
      <c r="QKX10" s="413"/>
      <c r="QKY10" s="413"/>
      <c r="QKZ10" s="514"/>
      <c r="QLA10" s="515"/>
      <c r="QLB10" s="515"/>
      <c r="QLC10" s="515"/>
      <c r="QLD10" s="515"/>
      <c r="QLE10" s="515"/>
      <c r="QLF10" s="515"/>
      <c r="QLG10" s="515"/>
      <c r="QLH10" s="515"/>
      <c r="QLI10" s="515"/>
      <c r="QLJ10" s="413"/>
      <c r="QLK10" s="413"/>
      <c r="QLL10" s="413"/>
      <c r="QLM10" s="413"/>
      <c r="QLN10" s="413"/>
      <c r="QLO10" s="413"/>
      <c r="QLP10" s="413"/>
      <c r="QLQ10" s="413"/>
      <c r="QLR10" s="413"/>
      <c r="QLS10" s="413"/>
      <c r="QLT10" s="413"/>
      <c r="QLU10" s="514"/>
      <c r="QLV10" s="515"/>
      <c r="QLW10" s="515"/>
      <c r="QLX10" s="515"/>
      <c r="QLY10" s="515"/>
      <c r="QLZ10" s="515"/>
      <c r="QMA10" s="515"/>
      <c r="QMB10" s="515"/>
      <c r="QMC10" s="515"/>
      <c r="QMD10" s="515"/>
      <c r="QME10" s="413"/>
      <c r="QMF10" s="413"/>
      <c r="QMG10" s="413"/>
      <c r="QMH10" s="413"/>
      <c r="QMI10" s="413"/>
      <c r="QMJ10" s="413"/>
      <c r="QMK10" s="413"/>
      <c r="QML10" s="413"/>
      <c r="QMM10" s="413"/>
      <c r="QMN10" s="413"/>
      <c r="QMO10" s="413"/>
      <c r="QMP10" s="514"/>
      <c r="QMQ10" s="515"/>
      <c r="QMR10" s="515"/>
      <c r="QMS10" s="515"/>
      <c r="QMT10" s="515"/>
      <c r="QMU10" s="515"/>
      <c r="QMV10" s="515"/>
      <c r="QMW10" s="515"/>
      <c r="QMX10" s="515"/>
      <c r="QMY10" s="515"/>
      <c r="QMZ10" s="413"/>
      <c r="QNA10" s="413"/>
      <c r="QNB10" s="413"/>
      <c r="QNC10" s="413"/>
      <c r="QND10" s="413"/>
      <c r="QNE10" s="413"/>
      <c r="QNF10" s="413"/>
      <c r="QNG10" s="413"/>
      <c r="QNH10" s="413"/>
      <c r="QNI10" s="413"/>
      <c r="QNJ10" s="413"/>
      <c r="QNK10" s="514"/>
      <c r="QNL10" s="515"/>
      <c r="QNM10" s="515"/>
      <c r="QNN10" s="515"/>
      <c r="QNO10" s="515"/>
      <c r="QNP10" s="515"/>
      <c r="QNQ10" s="515"/>
      <c r="QNR10" s="515"/>
      <c r="QNS10" s="515"/>
      <c r="QNT10" s="515"/>
      <c r="QNU10" s="413"/>
      <c r="QNV10" s="413"/>
      <c r="QNW10" s="413"/>
      <c r="QNX10" s="413"/>
      <c r="QNY10" s="413"/>
      <c r="QNZ10" s="413"/>
      <c r="QOA10" s="413"/>
      <c r="QOB10" s="413"/>
      <c r="QOC10" s="413"/>
      <c r="QOD10" s="413"/>
      <c r="QOE10" s="413"/>
      <c r="QOF10" s="514"/>
      <c r="QOG10" s="515"/>
      <c r="QOH10" s="515"/>
      <c r="QOI10" s="515"/>
      <c r="QOJ10" s="515"/>
      <c r="QOK10" s="515"/>
      <c r="QOL10" s="515"/>
      <c r="QOM10" s="515"/>
      <c r="QON10" s="515"/>
      <c r="QOO10" s="515"/>
      <c r="QOP10" s="413"/>
      <c r="QOQ10" s="413"/>
      <c r="QOR10" s="413"/>
      <c r="QOS10" s="413"/>
      <c r="QOT10" s="413"/>
      <c r="QOU10" s="413"/>
      <c r="QOV10" s="413"/>
      <c r="QOW10" s="413"/>
      <c r="QOX10" s="413"/>
      <c r="QOY10" s="413"/>
      <c r="QOZ10" s="413"/>
      <c r="QPA10" s="514"/>
      <c r="QPB10" s="515"/>
      <c r="QPC10" s="515"/>
      <c r="QPD10" s="515"/>
      <c r="QPE10" s="515"/>
      <c r="QPF10" s="515"/>
      <c r="QPG10" s="515"/>
      <c r="QPH10" s="515"/>
      <c r="QPI10" s="515"/>
      <c r="QPJ10" s="515"/>
      <c r="QPK10" s="413"/>
      <c r="QPL10" s="413"/>
      <c r="QPM10" s="413"/>
      <c r="QPN10" s="413"/>
      <c r="QPO10" s="413"/>
      <c r="QPP10" s="413"/>
      <c r="QPQ10" s="413"/>
      <c r="QPR10" s="413"/>
      <c r="QPS10" s="413"/>
      <c r="QPT10" s="413"/>
      <c r="QPU10" s="413"/>
      <c r="QPV10" s="514"/>
      <c r="QPW10" s="515"/>
      <c r="QPX10" s="515"/>
      <c r="QPY10" s="515"/>
      <c r="QPZ10" s="515"/>
      <c r="QQA10" s="515"/>
      <c r="QQB10" s="515"/>
      <c r="QQC10" s="515"/>
      <c r="QQD10" s="515"/>
      <c r="QQE10" s="515"/>
      <c r="QQF10" s="413"/>
      <c r="QQG10" s="413"/>
      <c r="QQH10" s="413"/>
      <c r="QQI10" s="413"/>
      <c r="QQJ10" s="413"/>
      <c r="QQK10" s="413"/>
      <c r="QQL10" s="413"/>
      <c r="QQM10" s="413"/>
      <c r="QQN10" s="413"/>
      <c r="QQO10" s="413"/>
      <c r="QQP10" s="413"/>
      <c r="QQQ10" s="514"/>
      <c r="QQR10" s="515"/>
      <c r="QQS10" s="515"/>
      <c r="QQT10" s="515"/>
      <c r="QQU10" s="515"/>
      <c r="QQV10" s="515"/>
      <c r="QQW10" s="515"/>
      <c r="QQX10" s="515"/>
      <c r="QQY10" s="515"/>
      <c r="QQZ10" s="515"/>
      <c r="QRA10" s="413"/>
      <c r="QRB10" s="413"/>
      <c r="QRC10" s="413"/>
      <c r="QRD10" s="413"/>
      <c r="QRE10" s="413"/>
      <c r="QRF10" s="413"/>
      <c r="QRG10" s="413"/>
      <c r="QRH10" s="413"/>
      <c r="QRI10" s="413"/>
      <c r="QRJ10" s="413"/>
      <c r="QRK10" s="413"/>
      <c r="QRL10" s="514"/>
      <c r="QRM10" s="515"/>
      <c r="QRN10" s="515"/>
      <c r="QRO10" s="515"/>
      <c r="QRP10" s="515"/>
      <c r="QRQ10" s="515"/>
      <c r="QRR10" s="515"/>
      <c r="QRS10" s="515"/>
      <c r="QRT10" s="515"/>
      <c r="QRU10" s="515"/>
      <c r="QRV10" s="413"/>
      <c r="QRW10" s="413"/>
      <c r="QRX10" s="413"/>
      <c r="QRY10" s="413"/>
      <c r="QRZ10" s="413"/>
      <c r="QSA10" s="413"/>
      <c r="QSB10" s="413"/>
      <c r="QSC10" s="413"/>
      <c r="QSD10" s="413"/>
      <c r="QSE10" s="413"/>
      <c r="QSF10" s="413"/>
      <c r="QSG10" s="514"/>
      <c r="QSH10" s="515"/>
      <c r="QSI10" s="515"/>
      <c r="QSJ10" s="515"/>
      <c r="QSK10" s="515"/>
      <c r="QSL10" s="515"/>
      <c r="QSM10" s="515"/>
      <c r="QSN10" s="515"/>
      <c r="QSO10" s="515"/>
      <c r="QSP10" s="515"/>
      <c r="QSQ10" s="413"/>
      <c r="QSR10" s="413"/>
      <c r="QSS10" s="413"/>
      <c r="QST10" s="413"/>
      <c r="QSU10" s="413"/>
      <c r="QSV10" s="413"/>
      <c r="QSW10" s="413"/>
      <c r="QSX10" s="413"/>
      <c r="QSY10" s="413"/>
      <c r="QSZ10" s="413"/>
      <c r="QTA10" s="413"/>
      <c r="QTB10" s="514"/>
      <c r="QTC10" s="515"/>
      <c r="QTD10" s="515"/>
      <c r="QTE10" s="515"/>
      <c r="QTF10" s="515"/>
      <c r="QTG10" s="515"/>
      <c r="QTH10" s="515"/>
      <c r="QTI10" s="515"/>
      <c r="QTJ10" s="515"/>
      <c r="QTK10" s="515"/>
      <c r="QTL10" s="413"/>
      <c r="QTM10" s="413"/>
      <c r="QTN10" s="413"/>
      <c r="QTO10" s="413"/>
      <c r="QTP10" s="413"/>
      <c r="QTQ10" s="413"/>
      <c r="QTR10" s="413"/>
      <c r="QTS10" s="413"/>
      <c r="QTT10" s="413"/>
      <c r="QTU10" s="413"/>
      <c r="QTV10" s="413"/>
      <c r="QTW10" s="514"/>
      <c r="QTX10" s="515"/>
      <c r="QTY10" s="515"/>
      <c r="QTZ10" s="515"/>
      <c r="QUA10" s="515"/>
      <c r="QUB10" s="515"/>
      <c r="QUC10" s="515"/>
      <c r="QUD10" s="515"/>
      <c r="QUE10" s="515"/>
      <c r="QUF10" s="515"/>
      <c r="QUG10" s="413"/>
      <c r="QUH10" s="413"/>
      <c r="QUI10" s="413"/>
      <c r="QUJ10" s="413"/>
      <c r="QUK10" s="413"/>
      <c r="QUL10" s="413"/>
      <c r="QUM10" s="413"/>
      <c r="QUN10" s="413"/>
      <c r="QUO10" s="413"/>
      <c r="QUP10" s="413"/>
      <c r="QUQ10" s="413"/>
      <c r="QUR10" s="514"/>
      <c r="QUS10" s="515"/>
      <c r="QUT10" s="515"/>
      <c r="QUU10" s="515"/>
      <c r="QUV10" s="515"/>
      <c r="QUW10" s="515"/>
      <c r="QUX10" s="515"/>
      <c r="QUY10" s="515"/>
      <c r="QUZ10" s="515"/>
      <c r="QVA10" s="515"/>
      <c r="QVB10" s="413"/>
      <c r="QVC10" s="413"/>
      <c r="QVD10" s="413"/>
      <c r="QVE10" s="413"/>
      <c r="QVF10" s="413"/>
      <c r="QVG10" s="413"/>
      <c r="QVH10" s="413"/>
      <c r="QVI10" s="413"/>
      <c r="QVJ10" s="413"/>
      <c r="QVK10" s="413"/>
      <c r="QVL10" s="413"/>
      <c r="QVM10" s="514"/>
      <c r="QVN10" s="515"/>
      <c r="QVO10" s="515"/>
      <c r="QVP10" s="515"/>
      <c r="QVQ10" s="515"/>
      <c r="QVR10" s="515"/>
      <c r="QVS10" s="515"/>
      <c r="QVT10" s="515"/>
      <c r="QVU10" s="515"/>
      <c r="QVV10" s="515"/>
      <c r="QVW10" s="413"/>
      <c r="QVX10" s="413"/>
      <c r="QVY10" s="413"/>
      <c r="QVZ10" s="413"/>
      <c r="QWA10" s="413"/>
      <c r="QWB10" s="413"/>
      <c r="QWC10" s="413"/>
      <c r="QWD10" s="413"/>
      <c r="QWE10" s="413"/>
      <c r="QWF10" s="413"/>
      <c r="QWG10" s="413"/>
      <c r="QWH10" s="514"/>
      <c r="QWI10" s="515"/>
      <c r="QWJ10" s="515"/>
      <c r="QWK10" s="515"/>
      <c r="QWL10" s="515"/>
      <c r="QWM10" s="515"/>
      <c r="QWN10" s="515"/>
      <c r="QWO10" s="515"/>
      <c r="QWP10" s="515"/>
      <c r="QWQ10" s="515"/>
      <c r="QWR10" s="413"/>
      <c r="QWS10" s="413"/>
      <c r="QWT10" s="413"/>
      <c r="QWU10" s="413"/>
      <c r="QWV10" s="413"/>
      <c r="QWW10" s="413"/>
      <c r="QWX10" s="413"/>
      <c r="QWY10" s="413"/>
      <c r="QWZ10" s="413"/>
      <c r="QXA10" s="413"/>
      <c r="QXB10" s="413"/>
      <c r="QXC10" s="514"/>
      <c r="QXD10" s="515"/>
      <c r="QXE10" s="515"/>
      <c r="QXF10" s="515"/>
      <c r="QXG10" s="515"/>
      <c r="QXH10" s="515"/>
      <c r="QXI10" s="515"/>
      <c r="QXJ10" s="515"/>
      <c r="QXK10" s="515"/>
      <c r="QXL10" s="515"/>
      <c r="QXM10" s="413"/>
      <c r="QXN10" s="413"/>
      <c r="QXO10" s="413"/>
      <c r="QXP10" s="413"/>
      <c r="QXQ10" s="413"/>
      <c r="QXR10" s="413"/>
      <c r="QXS10" s="413"/>
      <c r="QXT10" s="413"/>
      <c r="QXU10" s="413"/>
      <c r="QXV10" s="413"/>
      <c r="QXW10" s="413"/>
      <c r="QXX10" s="514"/>
      <c r="QXY10" s="515"/>
      <c r="QXZ10" s="515"/>
      <c r="QYA10" s="515"/>
      <c r="QYB10" s="515"/>
      <c r="QYC10" s="515"/>
      <c r="QYD10" s="515"/>
      <c r="QYE10" s="515"/>
      <c r="QYF10" s="515"/>
      <c r="QYG10" s="515"/>
      <c r="QYH10" s="413"/>
      <c r="QYI10" s="413"/>
      <c r="QYJ10" s="413"/>
      <c r="QYK10" s="413"/>
      <c r="QYL10" s="413"/>
      <c r="QYM10" s="413"/>
      <c r="QYN10" s="413"/>
      <c r="QYO10" s="413"/>
      <c r="QYP10" s="413"/>
      <c r="QYQ10" s="413"/>
      <c r="QYR10" s="413"/>
      <c r="QYS10" s="514"/>
      <c r="QYT10" s="515"/>
      <c r="QYU10" s="515"/>
      <c r="QYV10" s="515"/>
      <c r="QYW10" s="515"/>
      <c r="QYX10" s="515"/>
      <c r="QYY10" s="515"/>
      <c r="QYZ10" s="515"/>
      <c r="QZA10" s="515"/>
      <c r="QZB10" s="515"/>
      <c r="QZC10" s="413"/>
      <c r="QZD10" s="413"/>
      <c r="QZE10" s="413"/>
      <c r="QZF10" s="413"/>
      <c r="QZG10" s="413"/>
      <c r="QZH10" s="413"/>
      <c r="QZI10" s="413"/>
      <c r="QZJ10" s="413"/>
      <c r="QZK10" s="413"/>
      <c r="QZL10" s="413"/>
      <c r="QZM10" s="413"/>
      <c r="QZN10" s="514"/>
      <c r="QZO10" s="515"/>
      <c r="QZP10" s="515"/>
      <c r="QZQ10" s="515"/>
      <c r="QZR10" s="515"/>
      <c r="QZS10" s="515"/>
      <c r="QZT10" s="515"/>
      <c r="QZU10" s="515"/>
      <c r="QZV10" s="515"/>
      <c r="QZW10" s="515"/>
      <c r="QZX10" s="413"/>
      <c r="QZY10" s="413"/>
      <c r="QZZ10" s="413"/>
      <c r="RAA10" s="413"/>
      <c r="RAB10" s="413"/>
      <c r="RAC10" s="413"/>
      <c r="RAD10" s="413"/>
      <c r="RAE10" s="413"/>
      <c r="RAF10" s="413"/>
      <c r="RAG10" s="413"/>
      <c r="RAH10" s="413"/>
      <c r="RAI10" s="514"/>
      <c r="RAJ10" s="515"/>
      <c r="RAK10" s="515"/>
      <c r="RAL10" s="515"/>
      <c r="RAM10" s="515"/>
      <c r="RAN10" s="515"/>
      <c r="RAO10" s="515"/>
      <c r="RAP10" s="515"/>
      <c r="RAQ10" s="515"/>
      <c r="RAR10" s="515"/>
      <c r="RAS10" s="413"/>
      <c r="RAT10" s="413"/>
      <c r="RAU10" s="413"/>
      <c r="RAV10" s="413"/>
      <c r="RAW10" s="413"/>
      <c r="RAX10" s="413"/>
      <c r="RAY10" s="413"/>
      <c r="RAZ10" s="413"/>
      <c r="RBA10" s="413"/>
      <c r="RBB10" s="413"/>
      <c r="RBC10" s="413"/>
      <c r="RBD10" s="514"/>
      <c r="RBE10" s="515"/>
      <c r="RBF10" s="515"/>
      <c r="RBG10" s="515"/>
      <c r="RBH10" s="515"/>
      <c r="RBI10" s="515"/>
      <c r="RBJ10" s="515"/>
      <c r="RBK10" s="515"/>
      <c r="RBL10" s="515"/>
      <c r="RBM10" s="515"/>
      <c r="RBN10" s="413"/>
      <c r="RBO10" s="413"/>
      <c r="RBP10" s="413"/>
      <c r="RBQ10" s="413"/>
      <c r="RBR10" s="413"/>
      <c r="RBS10" s="413"/>
      <c r="RBT10" s="413"/>
      <c r="RBU10" s="413"/>
      <c r="RBV10" s="413"/>
      <c r="RBW10" s="413"/>
      <c r="RBX10" s="413"/>
      <c r="RBY10" s="514"/>
      <c r="RBZ10" s="515"/>
      <c r="RCA10" s="515"/>
      <c r="RCB10" s="515"/>
      <c r="RCC10" s="515"/>
      <c r="RCD10" s="515"/>
      <c r="RCE10" s="515"/>
      <c r="RCF10" s="515"/>
      <c r="RCG10" s="515"/>
      <c r="RCH10" s="515"/>
      <c r="RCI10" s="413"/>
      <c r="RCJ10" s="413"/>
      <c r="RCK10" s="413"/>
      <c r="RCL10" s="413"/>
      <c r="RCM10" s="413"/>
      <c r="RCN10" s="413"/>
      <c r="RCO10" s="413"/>
      <c r="RCP10" s="413"/>
      <c r="RCQ10" s="413"/>
      <c r="RCR10" s="413"/>
      <c r="RCS10" s="413"/>
      <c r="RCT10" s="514"/>
      <c r="RCU10" s="515"/>
      <c r="RCV10" s="515"/>
      <c r="RCW10" s="515"/>
      <c r="RCX10" s="515"/>
      <c r="RCY10" s="515"/>
      <c r="RCZ10" s="515"/>
      <c r="RDA10" s="515"/>
      <c r="RDB10" s="515"/>
      <c r="RDC10" s="515"/>
      <c r="RDD10" s="413"/>
      <c r="RDE10" s="413"/>
      <c r="RDF10" s="413"/>
      <c r="RDG10" s="413"/>
      <c r="RDH10" s="413"/>
      <c r="RDI10" s="413"/>
      <c r="RDJ10" s="413"/>
      <c r="RDK10" s="413"/>
      <c r="RDL10" s="413"/>
      <c r="RDM10" s="413"/>
      <c r="RDN10" s="413"/>
      <c r="RDO10" s="514"/>
      <c r="RDP10" s="515"/>
      <c r="RDQ10" s="515"/>
      <c r="RDR10" s="515"/>
      <c r="RDS10" s="515"/>
      <c r="RDT10" s="515"/>
      <c r="RDU10" s="515"/>
      <c r="RDV10" s="515"/>
      <c r="RDW10" s="515"/>
      <c r="RDX10" s="515"/>
      <c r="RDY10" s="413"/>
      <c r="RDZ10" s="413"/>
      <c r="REA10" s="413"/>
      <c r="REB10" s="413"/>
      <c r="REC10" s="413"/>
      <c r="RED10" s="413"/>
      <c r="REE10" s="413"/>
      <c r="REF10" s="413"/>
      <c r="REG10" s="413"/>
      <c r="REH10" s="413"/>
      <c r="REI10" s="413"/>
      <c r="REJ10" s="514"/>
      <c r="REK10" s="515"/>
      <c r="REL10" s="515"/>
      <c r="REM10" s="515"/>
      <c r="REN10" s="515"/>
      <c r="REO10" s="515"/>
      <c r="REP10" s="515"/>
      <c r="REQ10" s="515"/>
      <c r="RER10" s="515"/>
      <c r="RES10" s="515"/>
      <c r="RET10" s="413"/>
      <c r="REU10" s="413"/>
      <c r="REV10" s="413"/>
      <c r="REW10" s="413"/>
      <c r="REX10" s="413"/>
      <c r="REY10" s="413"/>
      <c r="REZ10" s="413"/>
      <c r="RFA10" s="413"/>
      <c r="RFB10" s="413"/>
      <c r="RFC10" s="413"/>
      <c r="RFD10" s="413"/>
      <c r="RFE10" s="514"/>
      <c r="RFF10" s="515"/>
      <c r="RFG10" s="515"/>
      <c r="RFH10" s="515"/>
      <c r="RFI10" s="515"/>
      <c r="RFJ10" s="515"/>
      <c r="RFK10" s="515"/>
      <c r="RFL10" s="515"/>
      <c r="RFM10" s="515"/>
      <c r="RFN10" s="515"/>
      <c r="RFO10" s="413"/>
      <c r="RFP10" s="413"/>
      <c r="RFQ10" s="413"/>
      <c r="RFR10" s="413"/>
      <c r="RFS10" s="413"/>
      <c r="RFT10" s="413"/>
      <c r="RFU10" s="413"/>
      <c r="RFV10" s="413"/>
      <c r="RFW10" s="413"/>
      <c r="RFX10" s="413"/>
      <c r="RFY10" s="413"/>
      <c r="RFZ10" s="514"/>
      <c r="RGA10" s="515"/>
      <c r="RGB10" s="515"/>
      <c r="RGC10" s="515"/>
      <c r="RGD10" s="515"/>
      <c r="RGE10" s="515"/>
      <c r="RGF10" s="515"/>
      <c r="RGG10" s="515"/>
      <c r="RGH10" s="515"/>
      <c r="RGI10" s="515"/>
      <c r="RGJ10" s="413"/>
      <c r="RGK10" s="413"/>
      <c r="RGL10" s="413"/>
      <c r="RGM10" s="413"/>
      <c r="RGN10" s="413"/>
      <c r="RGO10" s="413"/>
      <c r="RGP10" s="413"/>
      <c r="RGQ10" s="413"/>
      <c r="RGR10" s="413"/>
      <c r="RGS10" s="413"/>
      <c r="RGT10" s="413"/>
      <c r="RGU10" s="514"/>
      <c r="RGV10" s="515"/>
      <c r="RGW10" s="515"/>
      <c r="RGX10" s="515"/>
      <c r="RGY10" s="515"/>
      <c r="RGZ10" s="515"/>
      <c r="RHA10" s="515"/>
      <c r="RHB10" s="515"/>
      <c r="RHC10" s="515"/>
      <c r="RHD10" s="515"/>
      <c r="RHE10" s="413"/>
      <c r="RHF10" s="413"/>
      <c r="RHG10" s="413"/>
      <c r="RHH10" s="413"/>
      <c r="RHI10" s="413"/>
      <c r="RHJ10" s="413"/>
      <c r="RHK10" s="413"/>
      <c r="RHL10" s="413"/>
      <c r="RHM10" s="413"/>
      <c r="RHN10" s="413"/>
      <c r="RHO10" s="413"/>
      <c r="RHP10" s="514"/>
      <c r="RHQ10" s="515"/>
      <c r="RHR10" s="515"/>
      <c r="RHS10" s="515"/>
      <c r="RHT10" s="515"/>
      <c r="RHU10" s="515"/>
      <c r="RHV10" s="515"/>
      <c r="RHW10" s="515"/>
      <c r="RHX10" s="515"/>
      <c r="RHY10" s="515"/>
      <c r="RHZ10" s="413"/>
      <c r="RIA10" s="413"/>
      <c r="RIB10" s="413"/>
      <c r="RIC10" s="413"/>
      <c r="RID10" s="413"/>
      <c r="RIE10" s="413"/>
      <c r="RIF10" s="413"/>
      <c r="RIG10" s="413"/>
      <c r="RIH10" s="413"/>
      <c r="RII10" s="413"/>
      <c r="RIJ10" s="413"/>
      <c r="RIK10" s="514"/>
      <c r="RIL10" s="515"/>
      <c r="RIM10" s="515"/>
      <c r="RIN10" s="515"/>
      <c r="RIO10" s="515"/>
      <c r="RIP10" s="515"/>
      <c r="RIQ10" s="515"/>
      <c r="RIR10" s="515"/>
      <c r="RIS10" s="515"/>
      <c r="RIT10" s="515"/>
      <c r="RIU10" s="413"/>
      <c r="RIV10" s="413"/>
      <c r="RIW10" s="413"/>
      <c r="RIX10" s="413"/>
      <c r="RIY10" s="413"/>
      <c r="RIZ10" s="413"/>
      <c r="RJA10" s="413"/>
      <c r="RJB10" s="413"/>
      <c r="RJC10" s="413"/>
      <c r="RJD10" s="413"/>
      <c r="RJE10" s="413"/>
      <c r="RJF10" s="514"/>
      <c r="RJG10" s="515"/>
      <c r="RJH10" s="515"/>
      <c r="RJI10" s="515"/>
      <c r="RJJ10" s="515"/>
      <c r="RJK10" s="515"/>
      <c r="RJL10" s="515"/>
      <c r="RJM10" s="515"/>
      <c r="RJN10" s="515"/>
      <c r="RJO10" s="515"/>
      <c r="RJP10" s="413"/>
      <c r="RJQ10" s="413"/>
      <c r="RJR10" s="413"/>
      <c r="RJS10" s="413"/>
      <c r="RJT10" s="413"/>
      <c r="RJU10" s="413"/>
      <c r="RJV10" s="413"/>
      <c r="RJW10" s="413"/>
      <c r="RJX10" s="413"/>
      <c r="RJY10" s="413"/>
      <c r="RJZ10" s="413"/>
      <c r="RKA10" s="514"/>
      <c r="RKB10" s="515"/>
      <c r="RKC10" s="515"/>
      <c r="RKD10" s="515"/>
      <c r="RKE10" s="515"/>
      <c r="RKF10" s="515"/>
      <c r="RKG10" s="515"/>
      <c r="RKH10" s="515"/>
      <c r="RKI10" s="515"/>
      <c r="RKJ10" s="515"/>
      <c r="RKK10" s="413"/>
      <c r="RKL10" s="413"/>
      <c r="RKM10" s="413"/>
      <c r="RKN10" s="413"/>
      <c r="RKO10" s="413"/>
      <c r="RKP10" s="413"/>
      <c r="RKQ10" s="413"/>
      <c r="RKR10" s="413"/>
      <c r="RKS10" s="413"/>
      <c r="RKT10" s="413"/>
      <c r="RKU10" s="413"/>
      <c r="RKV10" s="514"/>
      <c r="RKW10" s="515"/>
      <c r="RKX10" s="515"/>
      <c r="RKY10" s="515"/>
      <c r="RKZ10" s="515"/>
      <c r="RLA10" s="515"/>
      <c r="RLB10" s="515"/>
      <c r="RLC10" s="515"/>
      <c r="RLD10" s="515"/>
      <c r="RLE10" s="515"/>
      <c r="RLF10" s="413"/>
      <c r="RLG10" s="413"/>
      <c r="RLH10" s="413"/>
      <c r="RLI10" s="413"/>
      <c r="RLJ10" s="413"/>
      <c r="RLK10" s="413"/>
      <c r="RLL10" s="413"/>
      <c r="RLM10" s="413"/>
      <c r="RLN10" s="413"/>
      <c r="RLO10" s="413"/>
      <c r="RLP10" s="413"/>
      <c r="RLQ10" s="514"/>
      <c r="RLR10" s="515"/>
      <c r="RLS10" s="515"/>
      <c r="RLT10" s="515"/>
      <c r="RLU10" s="515"/>
      <c r="RLV10" s="515"/>
      <c r="RLW10" s="515"/>
      <c r="RLX10" s="515"/>
      <c r="RLY10" s="515"/>
      <c r="RLZ10" s="515"/>
      <c r="RMA10" s="413"/>
      <c r="RMB10" s="413"/>
      <c r="RMC10" s="413"/>
      <c r="RMD10" s="413"/>
      <c r="RME10" s="413"/>
      <c r="RMF10" s="413"/>
      <c r="RMG10" s="413"/>
      <c r="RMH10" s="413"/>
      <c r="RMI10" s="413"/>
      <c r="RMJ10" s="413"/>
      <c r="RMK10" s="413"/>
      <c r="RML10" s="514"/>
      <c r="RMM10" s="515"/>
      <c r="RMN10" s="515"/>
      <c r="RMO10" s="515"/>
      <c r="RMP10" s="515"/>
      <c r="RMQ10" s="515"/>
      <c r="RMR10" s="515"/>
      <c r="RMS10" s="515"/>
      <c r="RMT10" s="515"/>
      <c r="RMU10" s="515"/>
      <c r="RMV10" s="413"/>
      <c r="RMW10" s="413"/>
      <c r="RMX10" s="413"/>
      <c r="RMY10" s="413"/>
      <c r="RMZ10" s="413"/>
      <c r="RNA10" s="413"/>
      <c r="RNB10" s="413"/>
      <c r="RNC10" s="413"/>
      <c r="RND10" s="413"/>
      <c r="RNE10" s="413"/>
      <c r="RNF10" s="413"/>
      <c r="RNG10" s="514"/>
      <c r="RNH10" s="515"/>
      <c r="RNI10" s="515"/>
      <c r="RNJ10" s="515"/>
      <c r="RNK10" s="515"/>
      <c r="RNL10" s="515"/>
      <c r="RNM10" s="515"/>
      <c r="RNN10" s="515"/>
      <c r="RNO10" s="515"/>
      <c r="RNP10" s="515"/>
      <c r="RNQ10" s="413"/>
      <c r="RNR10" s="413"/>
      <c r="RNS10" s="413"/>
      <c r="RNT10" s="413"/>
      <c r="RNU10" s="413"/>
      <c r="RNV10" s="413"/>
      <c r="RNW10" s="413"/>
      <c r="RNX10" s="413"/>
      <c r="RNY10" s="413"/>
      <c r="RNZ10" s="413"/>
      <c r="ROA10" s="413"/>
      <c r="ROB10" s="514"/>
      <c r="ROC10" s="515"/>
      <c r="ROD10" s="515"/>
      <c r="ROE10" s="515"/>
      <c r="ROF10" s="515"/>
      <c r="ROG10" s="515"/>
      <c r="ROH10" s="515"/>
      <c r="ROI10" s="515"/>
      <c r="ROJ10" s="515"/>
      <c r="ROK10" s="515"/>
      <c r="ROL10" s="413"/>
      <c r="ROM10" s="413"/>
      <c r="RON10" s="413"/>
      <c r="ROO10" s="413"/>
      <c r="ROP10" s="413"/>
      <c r="ROQ10" s="413"/>
      <c r="ROR10" s="413"/>
      <c r="ROS10" s="413"/>
      <c r="ROT10" s="413"/>
      <c r="ROU10" s="413"/>
      <c r="ROV10" s="413"/>
      <c r="ROW10" s="514"/>
      <c r="ROX10" s="515"/>
      <c r="ROY10" s="515"/>
      <c r="ROZ10" s="515"/>
      <c r="RPA10" s="515"/>
      <c r="RPB10" s="515"/>
      <c r="RPC10" s="515"/>
      <c r="RPD10" s="515"/>
      <c r="RPE10" s="515"/>
      <c r="RPF10" s="515"/>
      <c r="RPG10" s="413"/>
      <c r="RPH10" s="413"/>
      <c r="RPI10" s="413"/>
      <c r="RPJ10" s="413"/>
      <c r="RPK10" s="413"/>
      <c r="RPL10" s="413"/>
      <c r="RPM10" s="413"/>
      <c r="RPN10" s="413"/>
      <c r="RPO10" s="413"/>
      <c r="RPP10" s="413"/>
      <c r="RPQ10" s="413"/>
      <c r="RPR10" s="514"/>
      <c r="RPS10" s="515"/>
      <c r="RPT10" s="515"/>
      <c r="RPU10" s="515"/>
      <c r="RPV10" s="515"/>
      <c r="RPW10" s="515"/>
      <c r="RPX10" s="515"/>
      <c r="RPY10" s="515"/>
      <c r="RPZ10" s="515"/>
      <c r="RQA10" s="515"/>
      <c r="RQB10" s="413"/>
      <c r="RQC10" s="413"/>
      <c r="RQD10" s="413"/>
      <c r="RQE10" s="413"/>
      <c r="RQF10" s="413"/>
      <c r="RQG10" s="413"/>
      <c r="RQH10" s="413"/>
      <c r="RQI10" s="413"/>
      <c r="RQJ10" s="413"/>
      <c r="RQK10" s="413"/>
      <c r="RQL10" s="413"/>
      <c r="RQM10" s="514"/>
      <c r="RQN10" s="515"/>
      <c r="RQO10" s="515"/>
      <c r="RQP10" s="515"/>
      <c r="RQQ10" s="515"/>
      <c r="RQR10" s="515"/>
      <c r="RQS10" s="515"/>
      <c r="RQT10" s="515"/>
      <c r="RQU10" s="515"/>
      <c r="RQV10" s="515"/>
      <c r="RQW10" s="413"/>
      <c r="RQX10" s="413"/>
      <c r="RQY10" s="413"/>
      <c r="RQZ10" s="413"/>
      <c r="RRA10" s="413"/>
      <c r="RRB10" s="413"/>
      <c r="RRC10" s="413"/>
      <c r="RRD10" s="413"/>
      <c r="RRE10" s="413"/>
      <c r="RRF10" s="413"/>
      <c r="RRG10" s="413"/>
      <c r="RRH10" s="514"/>
      <c r="RRI10" s="515"/>
      <c r="RRJ10" s="515"/>
      <c r="RRK10" s="515"/>
      <c r="RRL10" s="515"/>
      <c r="RRM10" s="515"/>
      <c r="RRN10" s="515"/>
      <c r="RRO10" s="515"/>
      <c r="RRP10" s="515"/>
      <c r="RRQ10" s="515"/>
      <c r="RRR10" s="413"/>
      <c r="RRS10" s="413"/>
      <c r="RRT10" s="413"/>
      <c r="RRU10" s="413"/>
      <c r="RRV10" s="413"/>
      <c r="RRW10" s="413"/>
      <c r="RRX10" s="413"/>
      <c r="RRY10" s="413"/>
      <c r="RRZ10" s="413"/>
      <c r="RSA10" s="413"/>
      <c r="RSB10" s="413"/>
      <c r="RSC10" s="514"/>
      <c r="RSD10" s="515"/>
      <c r="RSE10" s="515"/>
      <c r="RSF10" s="515"/>
      <c r="RSG10" s="515"/>
      <c r="RSH10" s="515"/>
      <c r="RSI10" s="515"/>
      <c r="RSJ10" s="515"/>
      <c r="RSK10" s="515"/>
      <c r="RSL10" s="515"/>
      <c r="RSM10" s="413"/>
      <c r="RSN10" s="413"/>
      <c r="RSO10" s="413"/>
      <c r="RSP10" s="413"/>
      <c r="RSQ10" s="413"/>
      <c r="RSR10" s="413"/>
      <c r="RSS10" s="413"/>
      <c r="RST10" s="413"/>
      <c r="RSU10" s="413"/>
      <c r="RSV10" s="413"/>
      <c r="RSW10" s="413"/>
      <c r="RSX10" s="514"/>
      <c r="RSY10" s="515"/>
      <c r="RSZ10" s="515"/>
      <c r="RTA10" s="515"/>
      <c r="RTB10" s="515"/>
      <c r="RTC10" s="515"/>
      <c r="RTD10" s="515"/>
      <c r="RTE10" s="515"/>
      <c r="RTF10" s="515"/>
      <c r="RTG10" s="515"/>
      <c r="RTH10" s="413"/>
      <c r="RTI10" s="413"/>
      <c r="RTJ10" s="413"/>
      <c r="RTK10" s="413"/>
      <c r="RTL10" s="413"/>
      <c r="RTM10" s="413"/>
      <c r="RTN10" s="413"/>
      <c r="RTO10" s="413"/>
      <c r="RTP10" s="413"/>
      <c r="RTQ10" s="413"/>
      <c r="RTR10" s="413"/>
      <c r="RTS10" s="514"/>
      <c r="RTT10" s="515"/>
      <c r="RTU10" s="515"/>
      <c r="RTV10" s="515"/>
      <c r="RTW10" s="515"/>
      <c r="RTX10" s="515"/>
      <c r="RTY10" s="515"/>
      <c r="RTZ10" s="515"/>
      <c r="RUA10" s="515"/>
      <c r="RUB10" s="515"/>
      <c r="RUC10" s="413"/>
      <c r="RUD10" s="413"/>
      <c r="RUE10" s="413"/>
      <c r="RUF10" s="413"/>
      <c r="RUG10" s="413"/>
      <c r="RUH10" s="413"/>
      <c r="RUI10" s="413"/>
      <c r="RUJ10" s="413"/>
      <c r="RUK10" s="413"/>
      <c r="RUL10" s="413"/>
      <c r="RUM10" s="413"/>
      <c r="RUN10" s="514"/>
      <c r="RUO10" s="515"/>
      <c r="RUP10" s="515"/>
      <c r="RUQ10" s="515"/>
      <c r="RUR10" s="515"/>
      <c r="RUS10" s="515"/>
      <c r="RUT10" s="515"/>
      <c r="RUU10" s="515"/>
      <c r="RUV10" s="515"/>
      <c r="RUW10" s="515"/>
      <c r="RUX10" s="413"/>
      <c r="RUY10" s="413"/>
      <c r="RUZ10" s="413"/>
      <c r="RVA10" s="413"/>
      <c r="RVB10" s="413"/>
      <c r="RVC10" s="413"/>
      <c r="RVD10" s="413"/>
      <c r="RVE10" s="413"/>
      <c r="RVF10" s="413"/>
      <c r="RVG10" s="413"/>
      <c r="RVH10" s="413"/>
      <c r="RVI10" s="514"/>
      <c r="RVJ10" s="515"/>
      <c r="RVK10" s="515"/>
      <c r="RVL10" s="515"/>
      <c r="RVM10" s="515"/>
      <c r="RVN10" s="515"/>
      <c r="RVO10" s="515"/>
      <c r="RVP10" s="515"/>
      <c r="RVQ10" s="515"/>
      <c r="RVR10" s="515"/>
      <c r="RVS10" s="413"/>
      <c r="RVT10" s="413"/>
      <c r="RVU10" s="413"/>
      <c r="RVV10" s="413"/>
      <c r="RVW10" s="413"/>
      <c r="RVX10" s="413"/>
      <c r="RVY10" s="413"/>
      <c r="RVZ10" s="413"/>
      <c r="RWA10" s="413"/>
      <c r="RWB10" s="413"/>
      <c r="RWC10" s="413"/>
      <c r="RWD10" s="514"/>
      <c r="RWE10" s="515"/>
      <c r="RWF10" s="515"/>
      <c r="RWG10" s="515"/>
      <c r="RWH10" s="515"/>
      <c r="RWI10" s="515"/>
      <c r="RWJ10" s="515"/>
      <c r="RWK10" s="515"/>
      <c r="RWL10" s="515"/>
      <c r="RWM10" s="515"/>
      <c r="RWN10" s="413"/>
      <c r="RWO10" s="413"/>
      <c r="RWP10" s="413"/>
      <c r="RWQ10" s="413"/>
      <c r="RWR10" s="413"/>
      <c r="RWS10" s="413"/>
      <c r="RWT10" s="413"/>
      <c r="RWU10" s="413"/>
      <c r="RWV10" s="413"/>
      <c r="RWW10" s="413"/>
      <c r="RWX10" s="413"/>
      <c r="RWY10" s="514"/>
      <c r="RWZ10" s="515"/>
      <c r="RXA10" s="515"/>
      <c r="RXB10" s="515"/>
      <c r="RXC10" s="515"/>
      <c r="RXD10" s="515"/>
      <c r="RXE10" s="515"/>
      <c r="RXF10" s="515"/>
      <c r="RXG10" s="515"/>
      <c r="RXH10" s="515"/>
      <c r="RXI10" s="413"/>
      <c r="RXJ10" s="413"/>
      <c r="RXK10" s="413"/>
      <c r="RXL10" s="413"/>
      <c r="RXM10" s="413"/>
      <c r="RXN10" s="413"/>
      <c r="RXO10" s="413"/>
      <c r="RXP10" s="413"/>
      <c r="RXQ10" s="413"/>
      <c r="RXR10" s="413"/>
      <c r="RXS10" s="413"/>
      <c r="RXT10" s="514"/>
      <c r="RXU10" s="515"/>
      <c r="RXV10" s="515"/>
      <c r="RXW10" s="515"/>
      <c r="RXX10" s="515"/>
      <c r="RXY10" s="515"/>
      <c r="RXZ10" s="515"/>
      <c r="RYA10" s="515"/>
      <c r="RYB10" s="515"/>
      <c r="RYC10" s="515"/>
      <c r="RYD10" s="413"/>
      <c r="RYE10" s="413"/>
      <c r="RYF10" s="413"/>
      <c r="RYG10" s="413"/>
      <c r="RYH10" s="413"/>
      <c r="RYI10" s="413"/>
      <c r="RYJ10" s="413"/>
      <c r="RYK10" s="413"/>
      <c r="RYL10" s="413"/>
      <c r="RYM10" s="413"/>
      <c r="RYN10" s="413"/>
      <c r="RYO10" s="514"/>
      <c r="RYP10" s="515"/>
      <c r="RYQ10" s="515"/>
      <c r="RYR10" s="515"/>
      <c r="RYS10" s="515"/>
      <c r="RYT10" s="515"/>
      <c r="RYU10" s="515"/>
      <c r="RYV10" s="515"/>
      <c r="RYW10" s="515"/>
      <c r="RYX10" s="515"/>
      <c r="RYY10" s="413"/>
      <c r="RYZ10" s="413"/>
      <c r="RZA10" s="413"/>
      <c r="RZB10" s="413"/>
      <c r="RZC10" s="413"/>
      <c r="RZD10" s="413"/>
      <c r="RZE10" s="413"/>
      <c r="RZF10" s="413"/>
      <c r="RZG10" s="413"/>
      <c r="RZH10" s="413"/>
      <c r="RZI10" s="413"/>
      <c r="RZJ10" s="514"/>
      <c r="RZK10" s="515"/>
      <c r="RZL10" s="515"/>
      <c r="RZM10" s="515"/>
      <c r="RZN10" s="515"/>
      <c r="RZO10" s="515"/>
      <c r="RZP10" s="515"/>
      <c r="RZQ10" s="515"/>
      <c r="RZR10" s="515"/>
      <c r="RZS10" s="515"/>
      <c r="RZT10" s="413"/>
      <c r="RZU10" s="413"/>
      <c r="RZV10" s="413"/>
      <c r="RZW10" s="413"/>
      <c r="RZX10" s="413"/>
      <c r="RZY10" s="413"/>
      <c r="RZZ10" s="413"/>
      <c r="SAA10" s="413"/>
      <c r="SAB10" s="413"/>
      <c r="SAC10" s="413"/>
      <c r="SAD10" s="413"/>
      <c r="SAE10" s="514"/>
      <c r="SAF10" s="515"/>
      <c r="SAG10" s="515"/>
      <c r="SAH10" s="515"/>
      <c r="SAI10" s="515"/>
      <c r="SAJ10" s="515"/>
      <c r="SAK10" s="515"/>
      <c r="SAL10" s="515"/>
      <c r="SAM10" s="515"/>
      <c r="SAN10" s="515"/>
      <c r="SAO10" s="413"/>
      <c r="SAP10" s="413"/>
      <c r="SAQ10" s="413"/>
      <c r="SAR10" s="413"/>
      <c r="SAS10" s="413"/>
      <c r="SAT10" s="413"/>
      <c r="SAU10" s="413"/>
      <c r="SAV10" s="413"/>
      <c r="SAW10" s="413"/>
      <c r="SAX10" s="413"/>
      <c r="SAY10" s="413"/>
      <c r="SAZ10" s="514"/>
      <c r="SBA10" s="515"/>
      <c r="SBB10" s="515"/>
      <c r="SBC10" s="515"/>
      <c r="SBD10" s="515"/>
      <c r="SBE10" s="515"/>
      <c r="SBF10" s="515"/>
      <c r="SBG10" s="515"/>
      <c r="SBH10" s="515"/>
      <c r="SBI10" s="515"/>
      <c r="SBJ10" s="413"/>
      <c r="SBK10" s="413"/>
      <c r="SBL10" s="413"/>
      <c r="SBM10" s="413"/>
      <c r="SBN10" s="413"/>
      <c r="SBO10" s="413"/>
      <c r="SBP10" s="413"/>
      <c r="SBQ10" s="413"/>
      <c r="SBR10" s="413"/>
      <c r="SBS10" s="413"/>
      <c r="SBT10" s="413"/>
      <c r="SBU10" s="514"/>
      <c r="SBV10" s="515"/>
      <c r="SBW10" s="515"/>
      <c r="SBX10" s="515"/>
      <c r="SBY10" s="515"/>
      <c r="SBZ10" s="515"/>
      <c r="SCA10" s="515"/>
      <c r="SCB10" s="515"/>
      <c r="SCC10" s="515"/>
      <c r="SCD10" s="515"/>
      <c r="SCE10" s="413"/>
      <c r="SCF10" s="413"/>
      <c r="SCG10" s="413"/>
      <c r="SCH10" s="413"/>
      <c r="SCI10" s="413"/>
      <c r="SCJ10" s="413"/>
      <c r="SCK10" s="413"/>
      <c r="SCL10" s="413"/>
      <c r="SCM10" s="413"/>
      <c r="SCN10" s="413"/>
      <c r="SCO10" s="413"/>
      <c r="SCP10" s="514"/>
      <c r="SCQ10" s="515"/>
      <c r="SCR10" s="515"/>
      <c r="SCS10" s="515"/>
      <c r="SCT10" s="515"/>
      <c r="SCU10" s="515"/>
      <c r="SCV10" s="515"/>
      <c r="SCW10" s="515"/>
      <c r="SCX10" s="515"/>
      <c r="SCY10" s="515"/>
      <c r="SCZ10" s="413"/>
      <c r="SDA10" s="413"/>
      <c r="SDB10" s="413"/>
      <c r="SDC10" s="413"/>
      <c r="SDD10" s="413"/>
      <c r="SDE10" s="413"/>
      <c r="SDF10" s="413"/>
      <c r="SDG10" s="413"/>
      <c r="SDH10" s="413"/>
      <c r="SDI10" s="413"/>
      <c r="SDJ10" s="413"/>
      <c r="SDK10" s="514"/>
      <c r="SDL10" s="515"/>
      <c r="SDM10" s="515"/>
      <c r="SDN10" s="515"/>
      <c r="SDO10" s="515"/>
      <c r="SDP10" s="515"/>
      <c r="SDQ10" s="515"/>
      <c r="SDR10" s="515"/>
      <c r="SDS10" s="515"/>
      <c r="SDT10" s="515"/>
      <c r="SDU10" s="413"/>
      <c r="SDV10" s="413"/>
      <c r="SDW10" s="413"/>
      <c r="SDX10" s="413"/>
      <c r="SDY10" s="413"/>
      <c r="SDZ10" s="413"/>
      <c r="SEA10" s="413"/>
      <c r="SEB10" s="413"/>
      <c r="SEC10" s="413"/>
      <c r="SED10" s="413"/>
      <c r="SEE10" s="413"/>
      <c r="SEF10" s="514"/>
      <c r="SEG10" s="515"/>
      <c r="SEH10" s="515"/>
      <c r="SEI10" s="515"/>
      <c r="SEJ10" s="515"/>
      <c r="SEK10" s="515"/>
      <c r="SEL10" s="515"/>
      <c r="SEM10" s="515"/>
      <c r="SEN10" s="515"/>
      <c r="SEO10" s="515"/>
      <c r="SEP10" s="413"/>
      <c r="SEQ10" s="413"/>
      <c r="SER10" s="413"/>
      <c r="SES10" s="413"/>
      <c r="SET10" s="413"/>
      <c r="SEU10" s="413"/>
      <c r="SEV10" s="413"/>
      <c r="SEW10" s="413"/>
      <c r="SEX10" s="413"/>
      <c r="SEY10" s="413"/>
      <c r="SEZ10" s="413"/>
      <c r="SFA10" s="514"/>
      <c r="SFB10" s="515"/>
      <c r="SFC10" s="515"/>
      <c r="SFD10" s="515"/>
      <c r="SFE10" s="515"/>
      <c r="SFF10" s="515"/>
      <c r="SFG10" s="515"/>
      <c r="SFH10" s="515"/>
      <c r="SFI10" s="515"/>
      <c r="SFJ10" s="515"/>
      <c r="SFK10" s="413"/>
      <c r="SFL10" s="413"/>
      <c r="SFM10" s="413"/>
      <c r="SFN10" s="413"/>
      <c r="SFO10" s="413"/>
      <c r="SFP10" s="413"/>
      <c r="SFQ10" s="413"/>
      <c r="SFR10" s="413"/>
      <c r="SFS10" s="413"/>
      <c r="SFT10" s="413"/>
      <c r="SFU10" s="413"/>
      <c r="SFV10" s="514"/>
      <c r="SFW10" s="515"/>
      <c r="SFX10" s="515"/>
      <c r="SFY10" s="515"/>
      <c r="SFZ10" s="515"/>
      <c r="SGA10" s="515"/>
      <c r="SGB10" s="515"/>
      <c r="SGC10" s="515"/>
      <c r="SGD10" s="515"/>
      <c r="SGE10" s="515"/>
      <c r="SGF10" s="413"/>
      <c r="SGG10" s="413"/>
      <c r="SGH10" s="413"/>
      <c r="SGI10" s="413"/>
      <c r="SGJ10" s="413"/>
      <c r="SGK10" s="413"/>
      <c r="SGL10" s="413"/>
      <c r="SGM10" s="413"/>
      <c r="SGN10" s="413"/>
      <c r="SGO10" s="413"/>
      <c r="SGP10" s="413"/>
      <c r="SGQ10" s="514"/>
      <c r="SGR10" s="515"/>
      <c r="SGS10" s="515"/>
      <c r="SGT10" s="515"/>
      <c r="SGU10" s="515"/>
      <c r="SGV10" s="515"/>
      <c r="SGW10" s="515"/>
      <c r="SGX10" s="515"/>
      <c r="SGY10" s="515"/>
      <c r="SGZ10" s="515"/>
      <c r="SHA10" s="413"/>
      <c r="SHB10" s="413"/>
      <c r="SHC10" s="413"/>
      <c r="SHD10" s="413"/>
      <c r="SHE10" s="413"/>
      <c r="SHF10" s="413"/>
      <c r="SHG10" s="413"/>
      <c r="SHH10" s="413"/>
      <c r="SHI10" s="413"/>
      <c r="SHJ10" s="413"/>
      <c r="SHK10" s="413"/>
      <c r="SHL10" s="514"/>
      <c r="SHM10" s="515"/>
      <c r="SHN10" s="515"/>
      <c r="SHO10" s="515"/>
      <c r="SHP10" s="515"/>
      <c r="SHQ10" s="515"/>
      <c r="SHR10" s="515"/>
      <c r="SHS10" s="515"/>
      <c r="SHT10" s="515"/>
      <c r="SHU10" s="515"/>
      <c r="SHV10" s="413"/>
      <c r="SHW10" s="413"/>
      <c r="SHX10" s="413"/>
      <c r="SHY10" s="413"/>
      <c r="SHZ10" s="413"/>
      <c r="SIA10" s="413"/>
      <c r="SIB10" s="413"/>
      <c r="SIC10" s="413"/>
      <c r="SID10" s="413"/>
      <c r="SIE10" s="413"/>
      <c r="SIF10" s="413"/>
      <c r="SIG10" s="514"/>
      <c r="SIH10" s="515"/>
      <c r="SII10" s="515"/>
      <c r="SIJ10" s="515"/>
      <c r="SIK10" s="515"/>
      <c r="SIL10" s="515"/>
      <c r="SIM10" s="515"/>
      <c r="SIN10" s="515"/>
      <c r="SIO10" s="515"/>
      <c r="SIP10" s="515"/>
      <c r="SIQ10" s="413"/>
      <c r="SIR10" s="413"/>
      <c r="SIS10" s="413"/>
      <c r="SIT10" s="413"/>
      <c r="SIU10" s="413"/>
      <c r="SIV10" s="413"/>
      <c r="SIW10" s="413"/>
      <c r="SIX10" s="413"/>
      <c r="SIY10" s="413"/>
      <c r="SIZ10" s="413"/>
      <c r="SJA10" s="413"/>
      <c r="SJB10" s="514"/>
      <c r="SJC10" s="515"/>
      <c r="SJD10" s="515"/>
      <c r="SJE10" s="515"/>
      <c r="SJF10" s="515"/>
      <c r="SJG10" s="515"/>
      <c r="SJH10" s="515"/>
      <c r="SJI10" s="515"/>
      <c r="SJJ10" s="515"/>
      <c r="SJK10" s="515"/>
      <c r="SJL10" s="413"/>
      <c r="SJM10" s="413"/>
      <c r="SJN10" s="413"/>
      <c r="SJO10" s="413"/>
      <c r="SJP10" s="413"/>
      <c r="SJQ10" s="413"/>
      <c r="SJR10" s="413"/>
      <c r="SJS10" s="413"/>
      <c r="SJT10" s="413"/>
      <c r="SJU10" s="413"/>
      <c r="SJV10" s="413"/>
      <c r="SJW10" s="514"/>
      <c r="SJX10" s="515"/>
      <c r="SJY10" s="515"/>
      <c r="SJZ10" s="515"/>
      <c r="SKA10" s="515"/>
      <c r="SKB10" s="515"/>
      <c r="SKC10" s="515"/>
      <c r="SKD10" s="515"/>
      <c r="SKE10" s="515"/>
      <c r="SKF10" s="515"/>
      <c r="SKG10" s="413"/>
      <c r="SKH10" s="413"/>
      <c r="SKI10" s="413"/>
      <c r="SKJ10" s="413"/>
      <c r="SKK10" s="413"/>
      <c r="SKL10" s="413"/>
      <c r="SKM10" s="413"/>
      <c r="SKN10" s="413"/>
      <c r="SKO10" s="413"/>
      <c r="SKP10" s="413"/>
      <c r="SKQ10" s="413"/>
      <c r="SKR10" s="514"/>
      <c r="SKS10" s="515"/>
      <c r="SKT10" s="515"/>
      <c r="SKU10" s="515"/>
      <c r="SKV10" s="515"/>
      <c r="SKW10" s="515"/>
      <c r="SKX10" s="515"/>
      <c r="SKY10" s="515"/>
      <c r="SKZ10" s="515"/>
      <c r="SLA10" s="515"/>
      <c r="SLB10" s="413"/>
      <c r="SLC10" s="413"/>
      <c r="SLD10" s="413"/>
      <c r="SLE10" s="413"/>
      <c r="SLF10" s="413"/>
      <c r="SLG10" s="413"/>
      <c r="SLH10" s="413"/>
      <c r="SLI10" s="413"/>
      <c r="SLJ10" s="413"/>
      <c r="SLK10" s="413"/>
      <c r="SLL10" s="413"/>
      <c r="SLM10" s="514"/>
      <c r="SLN10" s="515"/>
      <c r="SLO10" s="515"/>
      <c r="SLP10" s="515"/>
      <c r="SLQ10" s="515"/>
      <c r="SLR10" s="515"/>
      <c r="SLS10" s="515"/>
      <c r="SLT10" s="515"/>
      <c r="SLU10" s="515"/>
      <c r="SLV10" s="515"/>
      <c r="SLW10" s="413"/>
      <c r="SLX10" s="413"/>
      <c r="SLY10" s="413"/>
      <c r="SLZ10" s="413"/>
      <c r="SMA10" s="413"/>
      <c r="SMB10" s="413"/>
      <c r="SMC10" s="413"/>
      <c r="SMD10" s="413"/>
      <c r="SME10" s="413"/>
      <c r="SMF10" s="413"/>
      <c r="SMG10" s="413"/>
      <c r="SMH10" s="514"/>
      <c r="SMI10" s="515"/>
      <c r="SMJ10" s="515"/>
      <c r="SMK10" s="515"/>
      <c r="SML10" s="515"/>
      <c r="SMM10" s="515"/>
      <c r="SMN10" s="515"/>
      <c r="SMO10" s="515"/>
      <c r="SMP10" s="515"/>
      <c r="SMQ10" s="515"/>
      <c r="SMR10" s="413"/>
      <c r="SMS10" s="413"/>
      <c r="SMT10" s="413"/>
      <c r="SMU10" s="413"/>
      <c r="SMV10" s="413"/>
      <c r="SMW10" s="413"/>
      <c r="SMX10" s="413"/>
      <c r="SMY10" s="413"/>
      <c r="SMZ10" s="413"/>
      <c r="SNA10" s="413"/>
      <c r="SNB10" s="413"/>
      <c r="SNC10" s="514"/>
      <c r="SND10" s="515"/>
      <c r="SNE10" s="515"/>
      <c r="SNF10" s="515"/>
      <c r="SNG10" s="515"/>
      <c r="SNH10" s="515"/>
      <c r="SNI10" s="515"/>
      <c r="SNJ10" s="515"/>
      <c r="SNK10" s="515"/>
      <c r="SNL10" s="515"/>
      <c r="SNM10" s="413"/>
      <c r="SNN10" s="413"/>
      <c r="SNO10" s="413"/>
      <c r="SNP10" s="413"/>
      <c r="SNQ10" s="413"/>
      <c r="SNR10" s="413"/>
      <c r="SNS10" s="413"/>
      <c r="SNT10" s="413"/>
      <c r="SNU10" s="413"/>
      <c r="SNV10" s="413"/>
      <c r="SNW10" s="413"/>
      <c r="SNX10" s="514"/>
      <c r="SNY10" s="515"/>
      <c r="SNZ10" s="515"/>
      <c r="SOA10" s="515"/>
      <c r="SOB10" s="515"/>
      <c r="SOC10" s="515"/>
      <c r="SOD10" s="515"/>
      <c r="SOE10" s="515"/>
      <c r="SOF10" s="515"/>
      <c r="SOG10" s="515"/>
      <c r="SOH10" s="413"/>
      <c r="SOI10" s="413"/>
      <c r="SOJ10" s="413"/>
      <c r="SOK10" s="413"/>
      <c r="SOL10" s="413"/>
      <c r="SOM10" s="413"/>
      <c r="SON10" s="413"/>
      <c r="SOO10" s="413"/>
      <c r="SOP10" s="413"/>
      <c r="SOQ10" s="413"/>
      <c r="SOR10" s="413"/>
      <c r="SOS10" s="514"/>
      <c r="SOT10" s="515"/>
      <c r="SOU10" s="515"/>
      <c r="SOV10" s="515"/>
      <c r="SOW10" s="515"/>
      <c r="SOX10" s="515"/>
      <c r="SOY10" s="515"/>
      <c r="SOZ10" s="515"/>
      <c r="SPA10" s="515"/>
      <c r="SPB10" s="515"/>
      <c r="SPC10" s="413"/>
      <c r="SPD10" s="413"/>
      <c r="SPE10" s="413"/>
      <c r="SPF10" s="413"/>
      <c r="SPG10" s="413"/>
      <c r="SPH10" s="413"/>
      <c r="SPI10" s="413"/>
      <c r="SPJ10" s="413"/>
      <c r="SPK10" s="413"/>
      <c r="SPL10" s="413"/>
      <c r="SPM10" s="413"/>
      <c r="SPN10" s="514"/>
      <c r="SPO10" s="515"/>
      <c r="SPP10" s="515"/>
      <c r="SPQ10" s="515"/>
      <c r="SPR10" s="515"/>
      <c r="SPS10" s="515"/>
      <c r="SPT10" s="515"/>
      <c r="SPU10" s="515"/>
      <c r="SPV10" s="515"/>
      <c r="SPW10" s="515"/>
      <c r="SPX10" s="413"/>
      <c r="SPY10" s="413"/>
      <c r="SPZ10" s="413"/>
      <c r="SQA10" s="413"/>
      <c r="SQB10" s="413"/>
      <c r="SQC10" s="413"/>
      <c r="SQD10" s="413"/>
      <c r="SQE10" s="413"/>
      <c r="SQF10" s="413"/>
      <c r="SQG10" s="413"/>
      <c r="SQH10" s="413"/>
      <c r="SQI10" s="514"/>
      <c r="SQJ10" s="515"/>
      <c r="SQK10" s="515"/>
      <c r="SQL10" s="515"/>
      <c r="SQM10" s="515"/>
      <c r="SQN10" s="515"/>
      <c r="SQO10" s="515"/>
      <c r="SQP10" s="515"/>
      <c r="SQQ10" s="515"/>
      <c r="SQR10" s="515"/>
      <c r="SQS10" s="413"/>
      <c r="SQT10" s="413"/>
      <c r="SQU10" s="413"/>
      <c r="SQV10" s="413"/>
      <c r="SQW10" s="413"/>
      <c r="SQX10" s="413"/>
      <c r="SQY10" s="413"/>
      <c r="SQZ10" s="413"/>
      <c r="SRA10" s="413"/>
      <c r="SRB10" s="413"/>
      <c r="SRC10" s="413"/>
      <c r="SRD10" s="514"/>
      <c r="SRE10" s="515"/>
      <c r="SRF10" s="515"/>
      <c r="SRG10" s="515"/>
      <c r="SRH10" s="515"/>
      <c r="SRI10" s="515"/>
      <c r="SRJ10" s="515"/>
      <c r="SRK10" s="515"/>
      <c r="SRL10" s="515"/>
      <c r="SRM10" s="515"/>
      <c r="SRN10" s="413"/>
      <c r="SRO10" s="413"/>
      <c r="SRP10" s="413"/>
      <c r="SRQ10" s="413"/>
      <c r="SRR10" s="413"/>
      <c r="SRS10" s="413"/>
      <c r="SRT10" s="413"/>
      <c r="SRU10" s="413"/>
      <c r="SRV10" s="413"/>
      <c r="SRW10" s="413"/>
      <c r="SRX10" s="413"/>
      <c r="SRY10" s="514"/>
      <c r="SRZ10" s="515"/>
      <c r="SSA10" s="515"/>
      <c r="SSB10" s="515"/>
      <c r="SSC10" s="515"/>
      <c r="SSD10" s="515"/>
      <c r="SSE10" s="515"/>
      <c r="SSF10" s="515"/>
      <c r="SSG10" s="515"/>
      <c r="SSH10" s="515"/>
      <c r="SSI10" s="413"/>
      <c r="SSJ10" s="413"/>
      <c r="SSK10" s="413"/>
      <c r="SSL10" s="413"/>
      <c r="SSM10" s="413"/>
      <c r="SSN10" s="413"/>
      <c r="SSO10" s="413"/>
      <c r="SSP10" s="413"/>
      <c r="SSQ10" s="413"/>
      <c r="SSR10" s="413"/>
      <c r="SSS10" s="413"/>
      <c r="SST10" s="514"/>
      <c r="SSU10" s="515"/>
      <c r="SSV10" s="515"/>
      <c r="SSW10" s="515"/>
      <c r="SSX10" s="515"/>
      <c r="SSY10" s="515"/>
      <c r="SSZ10" s="515"/>
      <c r="STA10" s="515"/>
      <c r="STB10" s="515"/>
      <c r="STC10" s="515"/>
      <c r="STD10" s="413"/>
      <c r="STE10" s="413"/>
      <c r="STF10" s="413"/>
      <c r="STG10" s="413"/>
      <c r="STH10" s="413"/>
      <c r="STI10" s="413"/>
      <c r="STJ10" s="413"/>
      <c r="STK10" s="413"/>
      <c r="STL10" s="413"/>
      <c r="STM10" s="413"/>
      <c r="STN10" s="413"/>
      <c r="STO10" s="514"/>
      <c r="STP10" s="515"/>
      <c r="STQ10" s="515"/>
      <c r="STR10" s="515"/>
      <c r="STS10" s="515"/>
      <c r="STT10" s="515"/>
      <c r="STU10" s="515"/>
      <c r="STV10" s="515"/>
      <c r="STW10" s="515"/>
      <c r="STX10" s="515"/>
      <c r="STY10" s="413"/>
      <c r="STZ10" s="413"/>
      <c r="SUA10" s="413"/>
      <c r="SUB10" s="413"/>
      <c r="SUC10" s="413"/>
      <c r="SUD10" s="413"/>
      <c r="SUE10" s="413"/>
      <c r="SUF10" s="413"/>
      <c r="SUG10" s="413"/>
      <c r="SUH10" s="413"/>
      <c r="SUI10" s="413"/>
      <c r="SUJ10" s="514"/>
      <c r="SUK10" s="515"/>
      <c r="SUL10" s="515"/>
      <c r="SUM10" s="515"/>
      <c r="SUN10" s="515"/>
      <c r="SUO10" s="515"/>
      <c r="SUP10" s="515"/>
      <c r="SUQ10" s="515"/>
      <c r="SUR10" s="515"/>
      <c r="SUS10" s="515"/>
      <c r="SUT10" s="413"/>
      <c r="SUU10" s="413"/>
      <c r="SUV10" s="413"/>
      <c r="SUW10" s="413"/>
      <c r="SUX10" s="413"/>
      <c r="SUY10" s="413"/>
      <c r="SUZ10" s="413"/>
      <c r="SVA10" s="413"/>
      <c r="SVB10" s="413"/>
      <c r="SVC10" s="413"/>
      <c r="SVD10" s="413"/>
      <c r="SVE10" s="514"/>
      <c r="SVF10" s="515"/>
      <c r="SVG10" s="515"/>
      <c r="SVH10" s="515"/>
      <c r="SVI10" s="515"/>
      <c r="SVJ10" s="515"/>
      <c r="SVK10" s="515"/>
      <c r="SVL10" s="515"/>
      <c r="SVM10" s="515"/>
      <c r="SVN10" s="515"/>
      <c r="SVO10" s="413"/>
      <c r="SVP10" s="413"/>
      <c r="SVQ10" s="413"/>
      <c r="SVR10" s="413"/>
      <c r="SVS10" s="413"/>
      <c r="SVT10" s="413"/>
      <c r="SVU10" s="413"/>
      <c r="SVV10" s="413"/>
      <c r="SVW10" s="413"/>
      <c r="SVX10" s="413"/>
      <c r="SVY10" s="413"/>
      <c r="SVZ10" s="514"/>
      <c r="SWA10" s="515"/>
      <c r="SWB10" s="515"/>
      <c r="SWC10" s="515"/>
      <c r="SWD10" s="515"/>
      <c r="SWE10" s="515"/>
      <c r="SWF10" s="515"/>
      <c r="SWG10" s="515"/>
      <c r="SWH10" s="515"/>
      <c r="SWI10" s="515"/>
      <c r="SWJ10" s="413"/>
      <c r="SWK10" s="413"/>
      <c r="SWL10" s="413"/>
      <c r="SWM10" s="413"/>
      <c r="SWN10" s="413"/>
      <c r="SWO10" s="413"/>
      <c r="SWP10" s="413"/>
      <c r="SWQ10" s="413"/>
      <c r="SWR10" s="413"/>
      <c r="SWS10" s="413"/>
      <c r="SWT10" s="413"/>
      <c r="SWU10" s="514"/>
      <c r="SWV10" s="515"/>
      <c r="SWW10" s="515"/>
      <c r="SWX10" s="515"/>
      <c r="SWY10" s="515"/>
      <c r="SWZ10" s="515"/>
      <c r="SXA10" s="515"/>
      <c r="SXB10" s="515"/>
      <c r="SXC10" s="515"/>
      <c r="SXD10" s="515"/>
      <c r="SXE10" s="413"/>
      <c r="SXF10" s="413"/>
      <c r="SXG10" s="413"/>
      <c r="SXH10" s="413"/>
      <c r="SXI10" s="413"/>
      <c r="SXJ10" s="413"/>
      <c r="SXK10" s="413"/>
      <c r="SXL10" s="413"/>
      <c r="SXM10" s="413"/>
      <c r="SXN10" s="413"/>
      <c r="SXO10" s="413"/>
      <c r="SXP10" s="514"/>
      <c r="SXQ10" s="515"/>
      <c r="SXR10" s="515"/>
      <c r="SXS10" s="515"/>
      <c r="SXT10" s="515"/>
      <c r="SXU10" s="515"/>
      <c r="SXV10" s="515"/>
      <c r="SXW10" s="515"/>
      <c r="SXX10" s="515"/>
      <c r="SXY10" s="515"/>
      <c r="SXZ10" s="413"/>
      <c r="SYA10" s="413"/>
      <c r="SYB10" s="413"/>
      <c r="SYC10" s="413"/>
      <c r="SYD10" s="413"/>
      <c r="SYE10" s="413"/>
      <c r="SYF10" s="413"/>
      <c r="SYG10" s="413"/>
      <c r="SYH10" s="413"/>
      <c r="SYI10" s="413"/>
      <c r="SYJ10" s="413"/>
      <c r="SYK10" s="514"/>
      <c r="SYL10" s="515"/>
      <c r="SYM10" s="515"/>
      <c r="SYN10" s="515"/>
      <c r="SYO10" s="515"/>
      <c r="SYP10" s="515"/>
      <c r="SYQ10" s="515"/>
      <c r="SYR10" s="515"/>
      <c r="SYS10" s="515"/>
      <c r="SYT10" s="515"/>
      <c r="SYU10" s="413"/>
      <c r="SYV10" s="413"/>
      <c r="SYW10" s="413"/>
      <c r="SYX10" s="413"/>
      <c r="SYY10" s="413"/>
      <c r="SYZ10" s="413"/>
      <c r="SZA10" s="413"/>
      <c r="SZB10" s="413"/>
      <c r="SZC10" s="413"/>
      <c r="SZD10" s="413"/>
      <c r="SZE10" s="413"/>
      <c r="SZF10" s="514"/>
      <c r="SZG10" s="515"/>
      <c r="SZH10" s="515"/>
      <c r="SZI10" s="515"/>
      <c r="SZJ10" s="515"/>
      <c r="SZK10" s="515"/>
      <c r="SZL10" s="515"/>
      <c r="SZM10" s="515"/>
      <c r="SZN10" s="515"/>
      <c r="SZO10" s="515"/>
      <c r="SZP10" s="413"/>
      <c r="SZQ10" s="413"/>
      <c r="SZR10" s="413"/>
      <c r="SZS10" s="413"/>
      <c r="SZT10" s="413"/>
      <c r="SZU10" s="413"/>
      <c r="SZV10" s="413"/>
      <c r="SZW10" s="413"/>
      <c r="SZX10" s="413"/>
      <c r="SZY10" s="413"/>
      <c r="SZZ10" s="413"/>
      <c r="TAA10" s="514"/>
      <c r="TAB10" s="515"/>
      <c r="TAC10" s="515"/>
      <c r="TAD10" s="515"/>
      <c r="TAE10" s="515"/>
      <c r="TAF10" s="515"/>
      <c r="TAG10" s="515"/>
      <c r="TAH10" s="515"/>
      <c r="TAI10" s="515"/>
      <c r="TAJ10" s="515"/>
      <c r="TAK10" s="413"/>
      <c r="TAL10" s="413"/>
      <c r="TAM10" s="413"/>
      <c r="TAN10" s="413"/>
      <c r="TAO10" s="413"/>
      <c r="TAP10" s="413"/>
      <c r="TAQ10" s="413"/>
      <c r="TAR10" s="413"/>
      <c r="TAS10" s="413"/>
      <c r="TAT10" s="413"/>
      <c r="TAU10" s="413"/>
      <c r="TAV10" s="514"/>
      <c r="TAW10" s="515"/>
      <c r="TAX10" s="515"/>
      <c r="TAY10" s="515"/>
      <c r="TAZ10" s="515"/>
      <c r="TBA10" s="515"/>
      <c r="TBB10" s="515"/>
      <c r="TBC10" s="515"/>
      <c r="TBD10" s="515"/>
      <c r="TBE10" s="515"/>
      <c r="TBF10" s="413"/>
      <c r="TBG10" s="413"/>
      <c r="TBH10" s="413"/>
      <c r="TBI10" s="413"/>
      <c r="TBJ10" s="413"/>
      <c r="TBK10" s="413"/>
      <c r="TBL10" s="413"/>
      <c r="TBM10" s="413"/>
      <c r="TBN10" s="413"/>
      <c r="TBO10" s="413"/>
      <c r="TBP10" s="413"/>
      <c r="TBQ10" s="514"/>
      <c r="TBR10" s="515"/>
      <c r="TBS10" s="515"/>
      <c r="TBT10" s="515"/>
      <c r="TBU10" s="515"/>
      <c r="TBV10" s="515"/>
      <c r="TBW10" s="515"/>
      <c r="TBX10" s="515"/>
      <c r="TBY10" s="515"/>
      <c r="TBZ10" s="515"/>
      <c r="TCA10" s="413"/>
      <c r="TCB10" s="413"/>
      <c r="TCC10" s="413"/>
      <c r="TCD10" s="413"/>
      <c r="TCE10" s="413"/>
      <c r="TCF10" s="413"/>
      <c r="TCG10" s="413"/>
      <c r="TCH10" s="413"/>
      <c r="TCI10" s="413"/>
      <c r="TCJ10" s="413"/>
      <c r="TCK10" s="413"/>
      <c r="TCL10" s="514"/>
      <c r="TCM10" s="515"/>
      <c r="TCN10" s="515"/>
      <c r="TCO10" s="515"/>
      <c r="TCP10" s="515"/>
      <c r="TCQ10" s="515"/>
      <c r="TCR10" s="515"/>
      <c r="TCS10" s="515"/>
      <c r="TCT10" s="515"/>
      <c r="TCU10" s="515"/>
      <c r="TCV10" s="413"/>
      <c r="TCW10" s="413"/>
      <c r="TCX10" s="413"/>
      <c r="TCY10" s="413"/>
      <c r="TCZ10" s="413"/>
      <c r="TDA10" s="413"/>
      <c r="TDB10" s="413"/>
      <c r="TDC10" s="413"/>
      <c r="TDD10" s="413"/>
      <c r="TDE10" s="413"/>
      <c r="TDF10" s="413"/>
      <c r="TDG10" s="514"/>
      <c r="TDH10" s="515"/>
      <c r="TDI10" s="515"/>
      <c r="TDJ10" s="515"/>
      <c r="TDK10" s="515"/>
      <c r="TDL10" s="515"/>
      <c r="TDM10" s="515"/>
      <c r="TDN10" s="515"/>
      <c r="TDO10" s="515"/>
      <c r="TDP10" s="515"/>
      <c r="TDQ10" s="413"/>
      <c r="TDR10" s="413"/>
      <c r="TDS10" s="413"/>
      <c r="TDT10" s="413"/>
      <c r="TDU10" s="413"/>
      <c r="TDV10" s="413"/>
      <c r="TDW10" s="413"/>
      <c r="TDX10" s="413"/>
      <c r="TDY10" s="413"/>
      <c r="TDZ10" s="413"/>
      <c r="TEA10" s="413"/>
      <c r="TEB10" s="514"/>
      <c r="TEC10" s="515"/>
      <c r="TED10" s="515"/>
      <c r="TEE10" s="515"/>
      <c r="TEF10" s="515"/>
      <c r="TEG10" s="515"/>
      <c r="TEH10" s="515"/>
      <c r="TEI10" s="515"/>
      <c r="TEJ10" s="515"/>
      <c r="TEK10" s="515"/>
      <c r="TEL10" s="413"/>
      <c r="TEM10" s="413"/>
      <c r="TEN10" s="413"/>
      <c r="TEO10" s="413"/>
      <c r="TEP10" s="413"/>
      <c r="TEQ10" s="413"/>
      <c r="TER10" s="413"/>
      <c r="TES10" s="413"/>
      <c r="TET10" s="413"/>
      <c r="TEU10" s="413"/>
      <c r="TEV10" s="413"/>
      <c r="TEW10" s="514"/>
      <c r="TEX10" s="515"/>
      <c r="TEY10" s="515"/>
      <c r="TEZ10" s="515"/>
      <c r="TFA10" s="515"/>
      <c r="TFB10" s="515"/>
      <c r="TFC10" s="515"/>
      <c r="TFD10" s="515"/>
      <c r="TFE10" s="515"/>
      <c r="TFF10" s="515"/>
      <c r="TFG10" s="413"/>
      <c r="TFH10" s="413"/>
      <c r="TFI10" s="413"/>
      <c r="TFJ10" s="413"/>
      <c r="TFK10" s="413"/>
      <c r="TFL10" s="413"/>
      <c r="TFM10" s="413"/>
      <c r="TFN10" s="413"/>
      <c r="TFO10" s="413"/>
      <c r="TFP10" s="413"/>
      <c r="TFQ10" s="413"/>
      <c r="TFR10" s="514"/>
      <c r="TFS10" s="515"/>
      <c r="TFT10" s="515"/>
      <c r="TFU10" s="515"/>
      <c r="TFV10" s="515"/>
      <c r="TFW10" s="515"/>
      <c r="TFX10" s="515"/>
      <c r="TFY10" s="515"/>
      <c r="TFZ10" s="515"/>
      <c r="TGA10" s="515"/>
      <c r="TGB10" s="413"/>
      <c r="TGC10" s="413"/>
      <c r="TGD10" s="413"/>
      <c r="TGE10" s="413"/>
      <c r="TGF10" s="413"/>
      <c r="TGG10" s="413"/>
      <c r="TGH10" s="413"/>
      <c r="TGI10" s="413"/>
      <c r="TGJ10" s="413"/>
      <c r="TGK10" s="413"/>
      <c r="TGL10" s="413"/>
      <c r="TGM10" s="514"/>
      <c r="TGN10" s="515"/>
      <c r="TGO10" s="515"/>
      <c r="TGP10" s="515"/>
      <c r="TGQ10" s="515"/>
      <c r="TGR10" s="515"/>
      <c r="TGS10" s="515"/>
      <c r="TGT10" s="515"/>
      <c r="TGU10" s="515"/>
      <c r="TGV10" s="515"/>
      <c r="TGW10" s="413"/>
      <c r="TGX10" s="413"/>
      <c r="TGY10" s="413"/>
      <c r="TGZ10" s="413"/>
      <c r="THA10" s="413"/>
      <c r="THB10" s="413"/>
      <c r="THC10" s="413"/>
      <c r="THD10" s="413"/>
      <c r="THE10" s="413"/>
      <c r="THF10" s="413"/>
      <c r="THG10" s="413"/>
      <c r="THH10" s="514"/>
      <c r="THI10" s="515"/>
      <c r="THJ10" s="515"/>
      <c r="THK10" s="515"/>
      <c r="THL10" s="515"/>
      <c r="THM10" s="515"/>
      <c r="THN10" s="515"/>
      <c r="THO10" s="515"/>
      <c r="THP10" s="515"/>
      <c r="THQ10" s="515"/>
      <c r="THR10" s="413"/>
      <c r="THS10" s="413"/>
      <c r="THT10" s="413"/>
      <c r="THU10" s="413"/>
      <c r="THV10" s="413"/>
      <c r="THW10" s="413"/>
      <c r="THX10" s="413"/>
      <c r="THY10" s="413"/>
      <c r="THZ10" s="413"/>
      <c r="TIA10" s="413"/>
      <c r="TIB10" s="413"/>
      <c r="TIC10" s="514"/>
      <c r="TID10" s="515"/>
      <c r="TIE10" s="515"/>
      <c r="TIF10" s="515"/>
      <c r="TIG10" s="515"/>
      <c r="TIH10" s="515"/>
      <c r="TII10" s="515"/>
      <c r="TIJ10" s="515"/>
      <c r="TIK10" s="515"/>
      <c r="TIL10" s="515"/>
      <c r="TIM10" s="413"/>
      <c r="TIN10" s="413"/>
      <c r="TIO10" s="413"/>
      <c r="TIP10" s="413"/>
      <c r="TIQ10" s="413"/>
      <c r="TIR10" s="413"/>
      <c r="TIS10" s="413"/>
      <c r="TIT10" s="413"/>
      <c r="TIU10" s="413"/>
      <c r="TIV10" s="413"/>
      <c r="TIW10" s="413"/>
      <c r="TIX10" s="514"/>
      <c r="TIY10" s="515"/>
      <c r="TIZ10" s="515"/>
      <c r="TJA10" s="515"/>
      <c r="TJB10" s="515"/>
      <c r="TJC10" s="515"/>
      <c r="TJD10" s="515"/>
      <c r="TJE10" s="515"/>
      <c r="TJF10" s="515"/>
      <c r="TJG10" s="515"/>
      <c r="TJH10" s="413"/>
      <c r="TJI10" s="413"/>
      <c r="TJJ10" s="413"/>
      <c r="TJK10" s="413"/>
      <c r="TJL10" s="413"/>
      <c r="TJM10" s="413"/>
      <c r="TJN10" s="413"/>
      <c r="TJO10" s="413"/>
      <c r="TJP10" s="413"/>
      <c r="TJQ10" s="413"/>
      <c r="TJR10" s="413"/>
      <c r="TJS10" s="514"/>
      <c r="TJT10" s="515"/>
      <c r="TJU10" s="515"/>
      <c r="TJV10" s="515"/>
      <c r="TJW10" s="515"/>
      <c r="TJX10" s="515"/>
      <c r="TJY10" s="515"/>
      <c r="TJZ10" s="515"/>
      <c r="TKA10" s="515"/>
      <c r="TKB10" s="515"/>
      <c r="TKC10" s="413"/>
      <c r="TKD10" s="413"/>
      <c r="TKE10" s="413"/>
      <c r="TKF10" s="413"/>
      <c r="TKG10" s="413"/>
      <c r="TKH10" s="413"/>
      <c r="TKI10" s="413"/>
      <c r="TKJ10" s="413"/>
      <c r="TKK10" s="413"/>
      <c r="TKL10" s="413"/>
      <c r="TKM10" s="413"/>
      <c r="TKN10" s="514"/>
      <c r="TKO10" s="515"/>
      <c r="TKP10" s="515"/>
      <c r="TKQ10" s="515"/>
      <c r="TKR10" s="515"/>
      <c r="TKS10" s="515"/>
      <c r="TKT10" s="515"/>
      <c r="TKU10" s="515"/>
      <c r="TKV10" s="515"/>
      <c r="TKW10" s="515"/>
      <c r="TKX10" s="413"/>
      <c r="TKY10" s="413"/>
      <c r="TKZ10" s="413"/>
      <c r="TLA10" s="413"/>
      <c r="TLB10" s="413"/>
      <c r="TLC10" s="413"/>
      <c r="TLD10" s="413"/>
      <c r="TLE10" s="413"/>
      <c r="TLF10" s="413"/>
      <c r="TLG10" s="413"/>
      <c r="TLH10" s="413"/>
      <c r="TLI10" s="514"/>
      <c r="TLJ10" s="515"/>
      <c r="TLK10" s="515"/>
      <c r="TLL10" s="515"/>
      <c r="TLM10" s="515"/>
      <c r="TLN10" s="515"/>
      <c r="TLO10" s="515"/>
      <c r="TLP10" s="515"/>
      <c r="TLQ10" s="515"/>
      <c r="TLR10" s="515"/>
      <c r="TLS10" s="413"/>
      <c r="TLT10" s="413"/>
      <c r="TLU10" s="413"/>
      <c r="TLV10" s="413"/>
      <c r="TLW10" s="413"/>
      <c r="TLX10" s="413"/>
      <c r="TLY10" s="413"/>
      <c r="TLZ10" s="413"/>
      <c r="TMA10" s="413"/>
      <c r="TMB10" s="413"/>
      <c r="TMC10" s="413"/>
      <c r="TMD10" s="514"/>
      <c r="TME10" s="515"/>
      <c r="TMF10" s="515"/>
      <c r="TMG10" s="515"/>
      <c r="TMH10" s="515"/>
      <c r="TMI10" s="515"/>
      <c r="TMJ10" s="515"/>
      <c r="TMK10" s="515"/>
      <c r="TML10" s="515"/>
      <c r="TMM10" s="515"/>
      <c r="TMN10" s="413"/>
      <c r="TMO10" s="413"/>
      <c r="TMP10" s="413"/>
      <c r="TMQ10" s="413"/>
      <c r="TMR10" s="413"/>
      <c r="TMS10" s="413"/>
      <c r="TMT10" s="413"/>
      <c r="TMU10" s="413"/>
      <c r="TMV10" s="413"/>
      <c r="TMW10" s="413"/>
      <c r="TMX10" s="413"/>
      <c r="TMY10" s="514"/>
      <c r="TMZ10" s="515"/>
      <c r="TNA10" s="515"/>
      <c r="TNB10" s="515"/>
      <c r="TNC10" s="515"/>
      <c r="TND10" s="515"/>
      <c r="TNE10" s="515"/>
      <c r="TNF10" s="515"/>
      <c r="TNG10" s="515"/>
      <c r="TNH10" s="515"/>
      <c r="TNI10" s="413"/>
      <c r="TNJ10" s="413"/>
      <c r="TNK10" s="413"/>
      <c r="TNL10" s="413"/>
      <c r="TNM10" s="413"/>
      <c r="TNN10" s="413"/>
      <c r="TNO10" s="413"/>
      <c r="TNP10" s="413"/>
      <c r="TNQ10" s="413"/>
      <c r="TNR10" s="413"/>
      <c r="TNS10" s="413"/>
      <c r="TNT10" s="514"/>
      <c r="TNU10" s="515"/>
      <c r="TNV10" s="515"/>
      <c r="TNW10" s="515"/>
      <c r="TNX10" s="515"/>
      <c r="TNY10" s="515"/>
      <c r="TNZ10" s="515"/>
      <c r="TOA10" s="515"/>
      <c r="TOB10" s="515"/>
      <c r="TOC10" s="515"/>
      <c r="TOD10" s="413"/>
      <c r="TOE10" s="413"/>
      <c r="TOF10" s="413"/>
      <c r="TOG10" s="413"/>
      <c r="TOH10" s="413"/>
      <c r="TOI10" s="413"/>
      <c r="TOJ10" s="413"/>
      <c r="TOK10" s="413"/>
      <c r="TOL10" s="413"/>
      <c r="TOM10" s="413"/>
      <c r="TON10" s="413"/>
      <c r="TOO10" s="514"/>
      <c r="TOP10" s="515"/>
      <c r="TOQ10" s="515"/>
      <c r="TOR10" s="515"/>
      <c r="TOS10" s="515"/>
      <c r="TOT10" s="515"/>
      <c r="TOU10" s="515"/>
      <c r="TOV10" s="515"/>
      <c r="TOW10" s="515"/>
      <c r="TOX10" s="515"/>
      <c r="TOY10" s="413"/>
      <c r="TOZ10" s="413"/>
      <c r="TPA10" s="413"/>
      <c r="TPB10" s="413"/>
      <c r="TPC10" s="413"/>
      <c r="TPD10" s="413"/>
      <c r="TPE10" s="413"/>
      <c r="TPF10" s="413"/>
      <c r="TPG10" s="413"/>
      <c r="TPH10" s="413"/>
      <c r="TPI10" s="413"/>
      <c r="TPJ10" s="514"/>
      <c r="TPK10" s="515"/>
      <c r="TPL10" s="515"/>
      <c r="TPM10" s="515"/>
      <c r="TPN10" s="515"/>
      <c r="TPO10" s="515"/>
      <c r="TPP10" s="515"/>
      <c r="TPQ10" s="515"/>
      <c r="TPR10" s="515"/>
      <c r="TPS10" s="515"/>
      <c r="TPT10" s="413"/>
      <c r="TPU10" s="413"/>
      <c r="TPV10" s="413"/>
      <c r="TPW10" s="413"/>
      <c r="TPX10" s="413"/>
      <c r="TPY10" s="413"/>
      <c r="TPZ10" s="413"/>
      <c r="TQA10" s="413"/>
      <c r="TQB10" s="413"/>
      <c r="TQC10" s="413"/>
      <c r="TQD10" s="413"/>
      <c r="TQE10" s="514"/>
      <c r="TQF10" s="515"/>
      <c r="TQG10" s="515"/>
      <c r="TQH10" s="515"/>
      <c r="TQI10" s="515"/>
      <c r="TQJ10" s="515"/>
      <c r="TQK10" s="515"/>
      <c r="TQL10" s="515"/>
      <c r="TQM10" s="515"/>
      <c r="TQN10" s="515"/>
      <c r="TQO10" s="413"/>
      <c r="TQP10" s="413"/>
      <c r="TQQ10" s="413"/>
      <c r="TQR10" s="413"/>
      <c r="TQS10" s="413"/>
      <c r="TQT10" s="413"/>
      <c r="TQU10" s="413"/>
      <c r="TQV10" s="413"/>
      <c r="TQW10" s="413"/>
      <c r="TQX10" s="413"/>
      <c r="TQY10" s="413"/>
      <c r="TQZ10" s="514"/>
      <c r="TRA10" s="515"/>
      <c r="TRB10" s="515"/>
      <c r="TRC10" s="515"/>
      <c r="TRD10" s="515"/>
      <c r="TRE10" s="515"/>
      <c r="TRF10" s="515"/>
      <c r="TRG10" s="515"/>
      <c r="TRH10" s="515"/>
      <c r="TRI10" s="515"/>
      <c r="TRJ10" s="413"/>
      <c r="TRK10" s="413"/>
      <c r="TRL10" s="413"/>
      <c r="TRM10" s="413"/>
      <c r="TRN10" s="413"/>
      <c r="TRO10" s="413"/>
      <c r="TRP10" s="413"/>
      <c r="TRQ10" s="413"/>
      <c r="TRR10" s="413"/>
      <c r="TRS10" s="413"/>
      <c r="TRT10" s="413"/>
      <c r="TRU10" s="514"/>
      <c r="TRV10" s="515"/>
      <c r="TRW10" s="515"/>
      <c r="TRX10" s="515"/>
      <c r="TRY10" s="515"/>
      <c r="TRZ10" s="515"/>
      <c r="TSA10" s="515"/>
      <c r="TSB10" s="515"/>
      <c r="TSC10" s="515"/>
      <c r="TSD10" s="515"/>
      <c r="TSE10" s="413"/>
      <c r="TSF10" s="413"/>
      <c r="TSG10" s="413"/>
      <c r="TSH10" s="413"/>
      <c r="TSI10" s="413"/>
      <c r="TSJ10" s="413"/>
      <c r="TSK10" s="413"/>
      <c r="TSL10" s="413"/>
      <c r="TSM10" s="413"/>
      <c r="TSN10" s="413"/>
      <c r="TSO10" s="413"/>
      <c r="TSP10" s="514"/>
      <c r="TSQ10" s="515"/>
      <c r="TSR10" s="515"/>
      <c r="TSS10" s="515"/>
      <c r="TST10" s="515"/>
      <c r="TSU10" s="515"/>
      <c r="TSV10" s="515"/>
      <c r="TSW10" s="515"/>
      <c r="TSX10" s="515"/>
      <c r="TSY10" s="515"/>
      <c r="TSZ10" s="413"/>
      <c r="TTA10" s="413"/>
      <c r="TTB10" s="413"/>
      <c r="TTC10" s="413"/>
      <c r="TTD10" s="413"/>
      <c r="TTE10" s="413"/>
      <c r="TTF10" s="413"/>
      <c r="TTG10" s="413"/>
      <c r="TTH10" s="413"/>
      <c r="TTI10" s="413"/>
      <c r="TTJ10" s="413"/>
      <c r="TTK10" s="514"/>
      <c r="TTL10" s="515"/>
      <c r="TTM10" s="515"/>
      <c r="TTN10" s="515"/>
      <c r="TTO10" s="515"/>
      <c r="TTP10" s="515"/>
      <c r="TTQ10" s="515"/>
      <c r="TTR10" s="515"/>
      <c r="TTS10" s="515"/>
      <c r="TTT10" s="515"/>
      <c r="TTU10" s="413"/>
      <c r="TTV10" s="413"/>
      <c r="TTW10" s="413"/>
      <c r="TTX10" s="413"/>
      <c r="TTY10" s="413"/>
      <c r="TTZ10" s="413"/>
      <c r="TUA10" s="413"/>
      <c r="TUB10" s="413"/>
      <c r="TUC10" s="413"/>
      <c r="TUD10" s="413"/>
      <c r="TUE10" s="413"/>
      <c r="TUF10" s="514"/>
      <c r="TUG10" s="515"/>
      <c r="TUH10" s="515"/>
      <c r="TUI10" s="515"/>
      <c r="TUJ10" s="515"/>
      <c r="TUK10" s="515"/>
      <c r="TUL10" s="515"/>
      <c r="TUM10" s="515"/>
      <c r="TUN10" s="515"/>
      <c r="TUO10" s="515"/>
      <c r="TUP10" s="413"/>
      <c r="TUQ10" s="413"/>
      <c r="TUR10" s="413"/>
      <c r="TUS10" s="413"/>
      <c r="TUT10" s="413"/>
      <c r="TUU10" s="413"/>
      <c r="TUV10" s="413"/>
      <c r="TUW10" s="413"/>
      <c r="TUX10" s="413"/>
      <c r="TUY10" s="413"/>
      <c r="TUZ10" s="413"/>
      <c r="TVA10" s="514"/>
      <c r="TVB10" s="515"/>
      <c r="TVC10" s="515"/>
      <c r="TVD10" s="515"/>
      <c r="TVE10" s="515"/>
      <c r="TVF10" s="515"/>
      <c r="TVG10" s="515"/>
      <c r="TVH10" s="515"/>
      <c r="TVI10" s="515"/>
      <c r="TVJ10" s="515"/>
      <c r="TVK10" s="413"/>
      <c r="TVL10" s="413"/>
      <c r="TVM10" s="413"/>
      <c r="TVN10" s="413"/>
      <c r="TVO10" s="413"/>
      <c r="TVP10" s="413"/>
      <c r="TVQ10" s="413"/>
      <c r="TVR10" s="413"/>
      <c r="TVS10" s="413"/>
      <c r="TVT10" s="413"/>
      <c r="TVU10" s="413"/>
      <c r="TVV10" s="514"/>
      <c r="TVW10" s="515"/>
      <c r="TVX10" s="515"/>
      <c r="TVY10" s="515"/>
      <c r="TVZ10" s="515"/>
      <c r="TWA10" s="515"/>
      <c r="TWB10" s="515"/>
      <c r="TWC10" s="515"/>
      <c r="TWD10" s="515"/>
      <c r="TWE10" s="515"/>
      <c r="TWF10" s="413"/>
      <c r="TWG10" s="413"/>
      <c r="TWH10" s="413"/>
      <c r="TWI10" s="413"/>
      <c r="TWJ10" s="413"/>
      <c r="TWK10" s="413"/>
      <c r="TWL10" s="413"/>
      <c r="TWM10" s="413"/>
      <c r="TWN10" s="413"/>
      <c r="TWO10" s="413"/>
      <c r="TWP10" s="413"/>
      <c r="TWQ10" s="514"/>
      <c r="TWR10" s="515"/>
      <c r="TWS10" s="515"/>
      <c r="TWT10" s="515"/>
      <c r="TWU10" s="515"/>
      <c r="TWV10" s="515"/>
      <c r="TWW10" s="515"/>
      <c r="TWX10" s="515"/>
      <c r="TWY10" s="515"/>
      <c r="TWZ10" s="515"/>
      <c r="TXA10" s="413"/>
      <c r="TXB10" s="413"/>
      <c r="TXC10" s="413"/>
      <c r="TXD10" s="413"/>
      <c r="TXE10" s="413"/>
      <c r="TXF10" s="413"/>
      <c r="TXG10" s="413"/>
      <c r="TXH10" s="413"/>
      <c r="TXI10" s="413"/>
      <c r="TXJ10" s="413"/>
      <c r="TXK10" s="413"/>
      <c r="TXL10" s="514"/>
      <c r="TXM10" s="515"/>
      <c r="TXN10" s="515"/>
      <c r="TXO10" s="515"/>
      <c r="TXP10" s="515"/>
      <c r="TXQ10" s="515"/>
      <c r="TXR10" s="515"/>
      <c r="TXS10" s="515"/>
      <c r="TXT10" s="515"/>
      <c r="TXU10" s="515"/>
      <c r="TXV10" s="413"/>
      <c r="TXW10" s="413"/>
      <c r="TXX10" s="413"/>
      <c r="TXY10" s="413"/>
      <c r="TXZ10" s="413"/>
      <c r="TYA10" s="413"/>
      <c r="TYB10" s="413"/>
      <c r="TYC10" s="413"/>
      <c r="TYD10" s="413"/>
      <c r="TYE10" s="413"/>
      <c r="TYF10" s="413"/>
      <c r="TYG10" s="514"/>
      <c r="TYH10" s="515"/>
      <c r="TYI10" s="515"/>
      <c r="TYJ10" s="515"/>
      <c r="TYK10" s="515"/>
      <c r="TYL10" s="515"/>
      <c r="TYM10" s="515"/>
      <c r="TYN10" s="515"/>
      <c r="TYO10" s="515"/>
      <c r="TYP10" s="515"/>
      <c r="TYQ10" s="413"/>
      <c r="TYR10" s="413"/>
      <c r="TYS10" s="413"/>
      <c r="TYT10" s="413"/>
      <c r="TYU10" s="413"/>
      <c r="TYV10" s="413"/>
      <c r="TYW10" s="413"/>
      <c r="TYX10" s="413"/>
      <c r="TYY10" s="413"/>
      <c r="TYZ10" s="413"/>
      <c r="TZA10" s="413"/>
      <c r="TZB10" s="514"/>
      <c r="TZC10" s="515"/>
      <c r="TZD10" s="515"/>
      <c r="TZE10" s="515"/>
      <c r="TZF10" s="515"/>
      <c r="TZG10" s="515"/>
      <c r="TZH10" s="515"/>
      <c r="TZI10" s="515"/>
      <c r="TZJ10" s="515"/>
      <c r="TZK10" s="515"/>
      <c r="TZL10" s="413"/>
      <c r="TZM10" s="413"/>
      <c r="TZN10" s="413"/>
      <c r="TZO10" s="413"/>
      <c r="TZP10" s="413"/>
      <c r="TZQ10" s="413"/>
      <c r="TZR10" s="413"/>
      <c r="TZS10" s="413"/>
      <c r="TZT10" s="413"/>
      <c r="TZU10" s="413"/>
      <c r="TZV10" s="413"/>
      <c r="TZW10" s="514"/>
      <c r="TZX10" s="515"/>
      <c r="TZY10" s="515"/>
      <c r="TZZ10" s="515"/>
      <c r="UAA10" s="515"/>
      <c r="UAB10" s="515"/>
      <c r="UAC10" s="515"/>
      <c r="UAD10" s="515"/>
      <c r="UAE10" s="515"/>
      <c r="UAF10" s="515"/>
      <c r="UAG10" s="413"/>
      <c r="UAH10" s="413"/>
      <c r="UAI10" s="413"/>
      <c r="UAJ10" s="413"/>
      <c r="UAK10" s="413"/>
      <c r="UAL10" s="413"/>
      <c r="UAM10" s="413"/>
      <c r="UAN10" s="413"/>
      <c r="UAO10" s="413"/>
      <c r="UAP10" s="413"/>
      <c r="UAQ10" s="413"/>
      <c r="UAR10" s="514"/>
      <c r="UAS10" s="515"/>
      <c r="UAT10" s="515"/>
      <c r="UAU10" s="515"/>
      <c r="UAV10" s="515"/>
      <c r="UAW10" s="515"/>
      <c r="UAX10" s="515"/>
      <c r="UAY10" s="515"/>
      <c r="UAZ10" s="515"/>
      <c r="UBA10" s="515"/>
      <c r="UBB10" s="413"/>
      <c r="UBC10" s="413"/>
      <c r="UBD10" s="413"/>
      <c r="UBE10" s="413"/>
      <c r="UBF10" s="413"/>
      <c r="UBG10" s="413"/>
      <c r="UBH10" s="413"/>
      <c r="UBI10" s="413"/>
      <c r="UBJ10" s="413"/>
      <c r="UBK10" s="413"/>
      <c r="UBL10" s="413"/>
      <c r="UBM10" s="514"/>
      <c r="UBN10" s="515"/>
      <c r="UBO10" s="515"/>
      <c r="UBP10" s="515"/>
      <c r="UBQ10" s="515"/>
      <c r="UBR10" s="515"/>
      <c r="UBS10" s="515"/>
      <c r="UBT10" s="515"/>
      <c r="UBU10" s="515"/>
      <c r="UBV10" s="515"/>
      <c r="UBW10" s="413"/>
      <c r="UBX10" s="413"/>
      <c r="UBY10" s="413"/>
      <c r="UBZ10" s="413"/>
      <c r="UCA10" s="413"/>
      <c r="UCB10" s="413"/>
      <c r="UCC10" s="413"/>
      <c r="UCD10" s="413"/>
      <c r="UCE10" s="413"/>
      <c r="UCF10" s="413"/>
      <c r="UCG10" s="413"/>
      <c r="UCH10" s="514"/>
      <c r="UCI10" s="515"/>
      <c r="UCJ10" s="515"/>
      <c r="UCK10" s="515"/>
      <c r="UCL10" s="515"/>
      <c r="UCM10" s="515"/>
      <c r="UCN10" s="515"/>
      <c r="UCO10" s="515"/>
      <c r="UCP10" s="515"/>
      <c r="UCQ10" s="515"/>
      <c r="UCR10" s="413"/>
      <c r="UCS10" s="413"/>
      <c r="UCT10" s="413"/>
      <c r="UCU10" s="413"/>
      <c r="UCV10" s="413"/>
      <c r="UCW10" s="413"/>
      <c r="UCX10" s="413"/>
      <c r="UCY10" s="413"/>
      <c r="UCZ10" s="413"/>
      <c r="UDA10" s="413"/>
      <c r="UDB10" s="413"/>
      <c r="UDC10" s="514"/>
      <c r="UDD10" s="515"/>
      <c r="UDE10" s="515"/>
      <c r="UDF10" s="515"/>
      <c r="UDG10" s="515"/>
      <c r="UDH10" s="515"/>
      <c r="UDI10" s="515"/>
      <c r="UDJ10" s="515"/>
      <c r="UDK10" s="515"/>
      <c r="UDL10" s="515"/>
      <c r="UDM10" s="413"/>
      <c r="UDN10" s="413"/>
      <c r="UDO10" s="413"/>
      <c r="UDP10" s="413"/>
      <c r="UDQ10" s="413"/>
      <c r="UDR10" s="413"/>
      <c r="UDS10" s="413"/>
      <c r="UDT10" s="413"/>
      <c r="UDU10" s="413"/>
      <c r="UDV10" s="413"/>
      <c r="UDW10" s="413"/>
      <c r="UDX10" s="514"/>
      <c r="UDY10" s="515"/>
      <c r="UDZ10" s="515"/>
      <c r="UEA10" s="515"/>
      <c r="UEB10" s="515"/>
      <c r="UEC10" s="515"/>
      <c r="UED10" s="515"/>
      <c r="UEE10" s="515"/>
      <c r="UEF10" s="515"/>
      <c r="UEG10" s="515"/>
      <c r="UEH10" s="413"/>
      <c r="UEI10" s="413"/>
      <c r="UEJ10" s="413"/>
      <c r="UEK10" s="413"/>
      <c r="UEL10" s="413"/>
      <c r="UEM10" s="413"/>
      <c r="UEN10" s="413"/>
      <c r="UEO10" s="413"/>
      <c r="UEP10" s="413"/>
      <c r="UEQ10" s="413"/>
      <c r="UER10" s="413"/>
      <c r="UES10" s="514"/>
      <c r="UET10" s="515"/>
      <c r="UEU10" s="515"/>
      <c r="UEV10" s="515"/>
      <c r="UEW10" s="515"/>
      <c r="UEX10" s="515"/>
      <c r="UEY10" s="515"/>
      <c r="UEZ10" s="515"/>
      <c r="UFA10" s="515"/>
      <c r="UFB10" s="515"/>
      <c r="UFC10" s="413"/>
      <c r="UFD10" s="413"/>
      <c r="UFE10" s="413"/>
      <c r="UFF10" s="413"/>
      <c r="UFG10" s="413"/>
      <c r="UFH10" s="413"/>
      <c r="UFI10" s="413"/>
      <c r="UFJ10" s="413"/>
      <c r="UFK10" s="413"/>
      <c r="UFL10" s="413"/>
      <c r="UFM10" s="413"/>
      <c r="UFN10" s="514"/>
      <c r="UFO10" s="515"/>
      <c r="UFP10" s="515"/>
      <c r="UFQ10" s="515"/>
      <c r="UFR10" s="515"/>
      <c r="UFS10" s="515"/>
      <c r="UFT10" s="515"/>
      <c r="UFU10" s="515"/>
      <c r="UFV10" s="515"/>
      <c r="UFW10" s="515"/>
      <c r="UFX10" s="413"/>
      <c r="UFY10" s="413"/>
      <c r="UFZ10" s="413"/>
      <c r="UGA10" s="413"/>
      <c r="UGB10" s="413"/>
      <c r="UGC10" s="413"/>
      <c r="UGD10" s="413"/>
      <c r="UGE10" s="413"/>
      <c r="UGF10" s="413"/>
      <c r="UGG10" s="413"/>
      <c r="UGH10" s="413"/>
      <c r="UGI10" s="514"/>
      <c r="UGJ10" s="515"/>
      <c r="UGK10" s="515"/>
      <c r="UGL10" s="515"/>
      <c r="UGM10" s="515"/>
      <c r="UGN10" s="515"/>
      <c r="UGO10" s="515"/>
      <c r="UGP10" s="515"/>
      <c r="UGQ10" s="515"/>
      <c r="UGR10" s="515"/>
      <c r="UGS10" s="413"/>
      <c r="UGT10" s="413"/>
      <c r="UGU10" s="413"/>
      <c r="UGV10" s="413"/>
      <c r="UGW10" s="413"/>
      <c r="UGX10" s="413"/>
      <c r="UGY10" s="413"/>
      <c r="UGZ10" s="413"/>
      <c r="UHA10" s="413"/>
      <c r="UHB10" s="413"/>
      <c r="UHC10" s="413"/>
      <c r="UHD10" s="514"/>
      <c r="UHE10" s="515"/>
      <c r="UHF10" s="515"/>
      <c r="UHG10" s="515"/>
      <c r="UHH10" s="515"/>
      <c r="UHI10" s="515"/>
      <c r="UHJ10" s="515"/>
      <c r="UHK10" s="515"/>
      <c r="UHL10" s="515"/>
      <c r="UHM10" s="515"/>
      <c r="UHN10" s="413"/>
      <c r="UHO10" s="413"/>
      <c r="UHP10" s="413"/>
      <c r="UHQ10" s="413"/>
      <c r="UHR10" s="413"/>
      <c r="UHS10" s="413"/>
      <c r="UHT10" s="413"/>
      <c r="UHU10" s="413"/>
      <c r="UHV10" s="413"/>
      <c r="UHW10" s="413"/>
      <c r="UHX10" s="413"/>
      <c r="UHY10" s="514"/>
      <c r="UHZ10" s="515"/>
      <c r="UIA10" s="515"/>
      <c r="UIB10" s="515"/>
      <c r="UIC10" s="515"/>
      <c r="UID10" s="515"/>
      <c r="UIE10" s="515"/>
      <c r="UIF10" s="515"/>
      <c r="UIG10" s="515"/>
      <c r="UIH10" s="515"/>
      <c r="UII10" s="413"/>
      <c r="UIJ10" s="413"/>
      <c r="UIK10" s="413"/>
      <c r="UIL10" s="413"/>
      <c r="UIM10" s="413"/>
      <c r="UIN10" s="413"/>
      <c r="UIO10" s="413"/>
      <c r="UIP10" s="413"/>
      <c r="UIQ10" s="413"/>
      <c r="UIR10" s="413"/>
      <c r="UIS10" s="413"/>
      <c r="UIT10" s="514"/>
      <c r="UIU10" s="515"/>
      <c r="UIV10" s="515"/>
      <c r="UIW10" s="515"/>
      <c r="UIX10" s="515"/>
      <c r="UIY10" s="515"/>
      <c r="UIZ10" s="515"/>
      <c r="UJA10" s="515"/>
      <c r="UJB10" s="515"/>
      <c r="UJC10" s="515"/>
      <c r="UJD10" s="413"/>
      <c r="UJE10" s="413"/>
      <c r="UJF10" s="413"/>
      <c r="UJG10" s="413"/>
      <c r="UJH10" s="413"/>
      <c r="UJI10" s="413"/>
      <c r="UJJ10" s="413"/>
      <c r="UJK10" s="413"/>
      <c r="UJL10" s="413"/>
      <c r="UJM10" s="413"/>
      <c r="UJN10" s="413"/>
      <c r="UJO10" s="514"/>
      <c r="UJP10" s="515"/>
      <c r="UJQ10" s="515"/>
      <c r="UJR10" s="515"/>
      <c r="UJS10" s="515"/>
      <c r="UJT10" s="515"/>
      <c r="UJU10" s="515"/>
      <c r="UJV10" s="515"/>
      <c r="UJW10" s="515"/>
      <c r="UJX10" s="515"/>
      <c r="UJY10" s="413"/>
      <c r="UJZ10" s="413"/>
      <c r="UKA10" s="413"/>
      <c r="UKB10" s="413"/>
      <c r="UKC10" s="413"/>
      <c r="UKD10" s="413"/>
      <c r="UKE10" s="413"/>
      <c r="UKF10" s="413"/>
      <c r="UKG10" s="413"/>
      <c r="UKH10" s="413"/>
      <c r="UKI10" s="413"/>
      <c r="UKJ10" s="514"/>
      <c r="UKK10" s="515"/>
      <c r="UKL10" s="515"/>
      <c r="UKM10" s="515"/>
      <c r="UKN10" s="515"/>
      <c r="UKO10" s="515"/>
      <c r="UKP10" s="515"/>
      <c r="UKQ10" s="515"/>
      <c r="UKR10" s="515"/>
      <c r="UKS10" s="515"/>
      <c r="UKT10" s="413"/>
      <c r="UKU10" s="413"/>
      <c r="UKV10" s="413"/>
      <c r="UKW10" s="413"/>
      <c r="UKX10" s="413"/>
      <c r="UKY10" s="413"/>
      <c r="UKZ10" s="413"/>
      <c r="ULA10" s="413"/>
      <c r="ULB10" s="413"/>
      <c r="ULC10" s="413"/>
      <c r="ULD10" s="413"/>
      <c r="ULE10" s="514"/>
      <c r="ULF10" s="515"/>
      <c r="ULG10" s="515"/>
      <c r="ULH10" s="515"/>
      <c r="ULI10" s="515"/>
      <c r="ULJ10" s="515"/>
      <c r="ULK10" s="515"/>
      <c r="ULL10" s="515"/>
      <c r="ULM10" s="515"/>
      <c r="ULN10" s="515"/>
      <c r="ULO10" s="413"/>
      <c r="ULP10" s="413"/>
      <c r="ULQ10" s="413"/>
      <c r="ULR10" s="413"/>
      <c r="ULS10" s="413"/>
      <c r="ULT10" s="413"/>
      <c r="ULU10" s="413"/>
      <c r="ULV10" s="413"/>
      <c r="ULW10" s="413"/>
      <c r="ULX10" s="413"/>
      <c r="ULY10" s="413"/>
      <c r="ULZ10" s="514"/>
      <c r="UMA10" s="515"/>
      <c r="UMB10" s="515"/>
      <c r="UMC10" s="515"/>
      <c r="UMD10" s="515"/>
      <c r="UME10" s="515"/>
      <c r="UMF10" s="515"/>
      <c r="UMG10" s="515"/>
      <c r="UMH10" s="515"/>
      <c r="UMI10" s="515"/>
      <c r="UMJ10" s="413"/>
      <c r="UMK10" s="413"/>
      <c r="UML10" s="413"/>
      <c r="UMM10" s="413"/>
      <c r="UMN10" s="413"/>
      <c r="UMO10" s="413"/>
      <c r="UMP10" s="413"/>
      <c r="UMQ10" s="413"/>
      <c r="UMR10" s="413"/>
      <c r="UMS10" s="413"/>
      <c r="UMT10" s="413"/>
      <c r="UMU10" s="514"/>
      <c r="UMV10" s="515"/>
      <c r="UMW10" s="515"/>
      <c r="UMX10" s="515"/>
      <c r="UMY10" s="515"/>
      <c r="UMZ10" s="515"/>
      <c r="UNA10" s="515"/>
      <c r="UNB10" s="515"/>
      <c r="UNC10" s="515"/>
      <c r="UND10" s="515"/>
      <c r="UNE10" s="413"/>
      <c r="UNF10" s="413"/>
      <c r="UNG10" s="413"/>
      <c r="UNH10" s="413"/>
      <c r="UNI10" s="413"/>
      <c r="UNJ10" s="413"/>
      <c r="UNK10" s="413"/>
      <c r="UNL10" s="413"/>
      <c r="UNM10" s="413"/>
      <c r="UNN10" s="413"/>
      <c r="UNO10" s="413"/>
      <c r="UNP10" s="514"/>
      <c r="UNQ10" s="515"/>
      <c r="UNR10" s="515"/>
      <c r="UNS10" s="515"/>
      <c r="UNT10" s="515"/>
      <c r="UNU10" s="515"/>
      <c r="UNV10" s="515"/>
      <c r="UNW10" s="515"/>
      <c r="UNX10" s="515"/>
      <c r="UNY10" s="515"/>
      <c r="UNZ10" s="413"/>
      <c r="UOA10" s="413"/>
      <c r="UOB10" s="413"/>
      <c r="UOC10" s="413"/>
      <c r="UOD10" s="413"/>
      <c r="UOE10" s="413"/>
      <c r="UOF10" s="413"/>
      <c r="UOG10" s="413"/>
      <c r="UOH10" s="413"/>
      <c r="UOI10" s="413"/>
      <c r="UOJ10" s="413"/>
      <c r="UOK10" s="514"/>
      <c r="UOL10" s="515"/>
      <c r="UOM10" s="515"/>
      <c r="UON10" s="515"/>
      <c r="UOO10" s="515"/>
      <c r="UOP10" s="515"/>
      <c r="UOQ10" s="515"/>
      <c r="UOR10" s="515"/>
      <c r="UOS10" s="515"/>
      <c r="UOT10" s="515"/>
      <c r="UOU10" s="413"/>
      <c r="UOV10" s="413"/>
      <c r="UOW10" s="413"/>
      <c r="UOX10" s="413"/>
      <c r="UOY10" s="413"/>
      <c r="UOZ10" s="413"/>
      <c r="UPA10" s="413"/>
      <c r="UPB10" s="413"/>
      <c r="UPC10" s="413"/>
      <c r="UPD10" s="413"/>
      <c r="UPE10" s="413"/>
      <c r="UPF10" s="514"/>
      <c r="UPG10" s="515"/>
      <c r="UPH10" s="515"/>
      <c r="UPI10" s="515"/>
      <c r="UPJ10" s="515"/>
      <c r="UPK10" s="515"/>
      <c r="UPL10" s="515"/>
      <c r="UPM10" s="515"/>
      <c r="UPN10" s="515"/>
      <c r="UPO10" s="515"/>
      <c r="UPP10" s="413"/>
      <c r="UPQ10" s="413"/>
      <c r="UPR10" s="413"/>
      <c r="UPS10" s="413"/>
      <c r="UPT10" s="413"/>
      <c r="UPU10" s="413"/>
      <c r="UPV10" s="413"/>
      <c r="UPW10" s="413"/>
      <c r="UPX10" s="413"/>
      <c r="UPY10" s="413"/>
      <c r="UPZ10" s="413"/>
      <c r="UQA10" s="514"/>
      <c r="UQB10" s="515"/>
      <c r="UQC10" s="515"/>
      <c r="UQD10" s="515"/>
      <c r="UQE10" s="515"/>
      <c r="UQF10" s="515"/>
      <c r="UQG10" s="515"/>
      <c r="UQH10" s="515"/>
      <c r="UQI10" s="515"/>
      <c r="UQJ10" s="515"/>
      <c r="UQK10" s="413"/>
      <c r="UQL10" s="413"/>
      <c r="UQM10" s="413"/>
      <c r="UQN10" s="413"/>
      <c r="UQO10" s="413"/>
      <c r="UQP10" s="413"/>
      <c r="UQQ10" s="413"/>
      <c r="UQR10" s="413"/>
      <c r="UQS10" s="413"/>
      <c r="UQT10" s="413"/>
      <c r="UQU10" s="413"/>
      <c r="UQV10" s="514"/>
      <c r="UQW10" s="515"/>
      <c r="UQX10" s="515"/>
      <c r="UQY10" s="515"/>
      <c r="UQZ10" s="515"/>
      <c r="URA10" s="515"/>
      <c r="URB10" s="515"/>
      <c r="URC10" s="515"/>
      <c r="URD10" s="515"/>
      <c r="URE10" s="515"/>
      <c r="URF10" s="413"/>
      <c r="URG10" s="413"/>
      <c r="URH10" s="413"/>
      <c r="URI10" s="413"/>
      <c r="URJ10" s="413"/>
      <c r="URK10" s="413"/>
      <c r="URL10" s="413"/>
      <c r="URM10" s="413"/>
      <c r="URN10" s="413"/>
      <c r="URO10" s="413"/>
      <c r="URP10" s="413"/>
      <c r="URQ10" s="514"/>
      <c r="URR10" s="515"/>
      <c r="URS10" s="515"/>
      <c r="URT10" s="515"/>
      <c r="URU10" s="515"/>
      <c r="URV10" s="515"/>
      <c r="URW10" s="515"/>
      <c r="URX10" s="515"/>
      <c r="URY10" s="515"/>
      <c r="URZ10" s="515"/>
      <c r="USA10" s="413"/>
      <c r="USB10" s="413"/>
      <c r="USC10" s="413"/>
      <c r="USD10" s="413"/>
      <c r="USE10" s="413"/>
      <c r="USF10" s="413"/>
      <c r="USG10" s="413"/>
      <c r="USH10" s="413"/>
      <c r="USI10" s="413"/>
      <c r="USJ10" s="413"/>
      <c r="USK10" s="413"/>
      <c r="USL10" s="514"/>
      <c r="USM10" s="515"/>
      <c r="USN10" s="515"/>
      <c r="USO10" s="515"/>
      <c r="USP10" s="515"/>
      <c r="USQ10" s="515"/>
      <c r="USR10" s="515"/>
      <c r="USS10" s="515"/>
      <c r="UST10" s="515"/>
      <c r="USU10" s="515"/>
      <c r="USV10" s="413"/>
      <c r="USW10" s="413"/>
      <c r="USX10" s="413"/>
      <c r="USY10" s="413"/>
      <c r="USZ10" s="413"/>
      <c r="UTA10" s="413"/>
      <c r="UTB10" s="413"/>
      <c r="UTC10" s="413"/>
      <c r="UTD10" s="413"/>
      <c r="UTE10" s="413"/>
      <c r="UTF10" s="413"/>
      <c r="UTG10" s="514"/>
      <c r="UTH10" s="515"/>
      <c r="UTI10" s="515"/>
      <c r="UTJ10" s="515"/>
      <c r="UTK10" s="515"/>
      <c r="UTL10" s="515"/>
      <c r="UTM10" s="515"/>
      <c r="UTN10" s="515"/>
      <c r="UTO10" s="515"/>
      <c r="UTP10" s="515"/>
      <c r="UTQ10" s="413"/>
      <c r="UTR10" s="413"/>
      <c r="UTS10" s="413"/>
      <c r="UTT10" s="413"/>
      <c r="UTU10" s="413"/>
      <c r="UTV10" s="413"/>
      <c r="UTW10" s="413"/>
      <c r="UTX10" s="413"/>
      <c r="UTY10" s="413"/>
      <c r="UTZ10" s="413"/>
      <c r="UUA10" s="413"/>
      <c r="UUB10" s="514"/>
      <c r="UUC10" s="515"/>
      <c r="UUD10" s="515"/>
      <c r="UUE10" s="515"/>
      <c r="UUF10" s="515"/>
      <c r="UUG10" s="515"/>
      <c r="UUH10" s="515"/>
      <c r="UUI10" s="515"/>
      <c r="UUJ10" s="515"/>
      <c r="UUK10" s="515"/>
      <c r="UUL10" s="413"/>
      <c r="UUM10" s="413"/>
      <c r="UUN10" s="413"/>
      <c r="UUO10" s="413"/>
      <c r="UUP10" s="413"/>
      <c r="UUQ10" s="413"/>
      <c r="UUR10" s="413"/>
      <c r="UUS10" s="413"/>
      <c r="UUT10" s="413"/>
      <c r="UUU10" s="413"/>
      <c r="UUV10" s="413"/>
      <c r="UUW10" s="514"/>
      <c r="UUX10" s="515"/>
      <c r="UUY10" s="515"/>
      <c r="UUZ10" s="515"/>
      <c r="UVA10" s="515"/>
      <c r="UVB10" s="515"/>
      <c r="UVC10" s="515"/>
      <c r="UVD10" s="515"/>
      <c r="UVE10" s="515"/>
      <c r="UVF10" s="515"/>
      <c r="UVG10" s="413"/>
      <c r="UVH10" s="413"/>
      <c r="UVI10" s="413"/>
      <c r="UVJ10" s="413"/>
      <c r="UVK10" s="413"/>
      <c r="UVL10" s="413"/>
      <c r="UVM10" s="413"/>
      <c r="UVN10" s="413"/>
      <c r="UVO10" s="413"/>
      <c r="UVP10" s="413"/>
      <c r="UVQ10" s="413"/>
      <c r="UVR10" s="514"/>
      <c r="UVS10" s="515"/>
      <c r="UVT10" s="515"/>
      <c r="UVU10" s="515"/>
      <c r="UVV10" s="515"/>
      <c r="UVW10" s="515"/>
      <c r="UVX10" s="515"/>
      <c r="UVY10" s="515"/>
      <c r="UVZ10" s="515"/>
      <c r="UWA10" s="515"/>
      <c r="UWB10" s="413"/>
      <c r="UWC10" s="413"/>
      <c r="UWD10" s="413"/>
      <c r="UWE10" s="413"/>
      <c r="UWF10" s="413"/>
      <c r="UWG10" s="413"/>
      <c r="UWH10" s="413"/>
      <c r="UWI10" s="413"/>
      <c r="UWJ10" s="413"/>
      <c r="UWK10" s="413"/>
      <c r="UWL10" s="413"/>
      <c r="UWM10" s="514"/>
      <c r="UWN10" s="515"/>
      <c r="UWO10" s="515"/>
      <c r="UWP10" s="515"/>
      <c r="UWQ10" s="515"/>
      <c r="UWR10" s="515"/>
      <c r="UWS10" s="515"/>
      <c r="UWT10" s="515"/>
      <c r="UWU10" s="515"/>
      <c r="UWV10" s="515"/>
      <c r="UWW10" s="413"/>
      <c r="UWX10" s="413"/>
      <c r="UWY10" s="413"/>
      <c r="UWZ10" s="413"/>
      <c r="UXA10" s="413"/>
      <c r="UXB10" s="413"/>
      <c r="UXC10" s="413"/>
      <c r="UXD10" s="413"/>
      <c r="UXE10" s="413"/>
      <c r="UXF10" s="413"/>
      <c r="UXG10" s="413"/>
      <c r="UXH10" s="514"/>
      <c r="UXI10" s="515"/>
      <c r="UXJ10" s="515"/>
      <c r="UXK10" s="515"/>
      <c r="UXL10" s="515"/>
      <c r="UXM10" s="515"/>
      <c r="UXN10" s="515"/>
      <c r="UXO10" s="515"/>
      <c r="UXP10" s="515"/>
      <c r="UXQ10" s="515"/>
      <c r="UXR10" s="413"/>
      <c r="UXS10" s="413"/>
      <c r="UXT10" s="413"/>
      <c r="UXU10" s="413"/>
      <c r="UXV10" s="413"/>
      <c r="UXW10" s="413"/>
      <c r="UXX10" s="413"/>
      <c r="UXY10" s="413"/>
      <c r="UXZ10" s="413"/>
      <c r="UYA10" s="413"/>
      <c r="UYB10" s="413"/>
      <c r="UYC10" s="514"/>
      <c r="UYD10" s="515"/>
      <c r="UYE10" s="515"/>
      <c r="UYF10" s="515"/>
      <c r="UYG10" s="515"/>
      <c r="UYH10" s="515"/>
      <c r="UYI10" s="515"/>
      <c r="UYJ10" s="515"/>
      <c r="UYK10" s="515"/>
      <c r="UYL10" s="515"/>
      <c r="UYM10" s="413"/>
      <c r="UYN10" s="413"/>
      <c r="UYO10" s="413"/>
      <c r="UYP10" s="413"/>
      <c r="UYQ10" s="413"/>
      <c r="UYR10" s="413"/>
      <c r="UYS10" s="413"/>
      <c r="UYT10" s="413"/>
      <c r="UYU10" s="413"/>
      <c r="UYV10" s="413"/>
      <c r="UYW10" s="413"/>
      <c r="UYX10" s="514"/>
      <c r="UYY10" s="515"/>
      <c r="UYZ10" s="515"/>
      <c r="UZA10" s="515"/>
      <c r="UZB10" s="515"/>
      <c r="UZC10" s="515"/>
      <c r="UZD10" s="515"/>
      <c r="UZE10" s="515"/>
      <c r="UZF10" s="515"/>
      <c r="UZG10" s="515"/>
      <c r="UZH10" s="413"/>
      <c r="UZI10" s="413"/>
      <c r="UZJ10" s="413"/>
      <c r="UZK10" s="413"/>
      <c r="UZL10" s="413"/>
      <c r="UZM10" s="413"/>
      <c r="UZN10" s="413"/>
      <c r="UZO10" s="413"/>
      <c r="UZP10" s="413"/>
      <c r="UZQ10" s="413"/>
      <c r="UZR10" s="413"/>
      <c r="UZS10" s="514"/>
      <c r="UZT10" s="515"/>
      <c r="UZU10" s="515"/>
      <c r="UZV10" s="515"/>
      <c r="UZW10" s="515"/>
      <c r="UZX10" s="515"/>
      <c r="UZY10" s="515"/>
      <c r="UZZ10" s="515"/>
      <c r="VAA10" s="515"/>
      <c r="VAB10" s="515"/>
      <c r="VAC10" s="413"/>
      <c r="VAD10" s="413"/>
      <c r="VAE10" s="413"/>
      <c r="VAF10" s="413"/>
      <c r="VAG10" s="413"/>
      <c r="VAH10" s="413"/>
      <c r="VAI10" s="413"/>
      <c r="VAJ10" s="413"/>
      <c r="VAK10" s="413"/>
      <c r="VAL10" s="413"/>
      <c r="VAM10" s="413"/>
      <c r="VAN10" s="514"/>
      <c r="VAO10" s="515"/>
      <c r="VAP10" s="515"/>
      <c r="VAQ10" s="515"/>
      <c r="VAR10" s="515"/>
      <c r="VAS10" s="515"/>
      <c r="VAT10" s="515"/>
      <c r="VAU10" s="515"/>
      <c r="VAV10" s="515"/>
      <c r="VAW10" s="515"/>
      <c r="VAX10" s="413"/>
      <c r="VAY10" s="413"/>
      <c r="VAZ10" s="413"/>
      <c r="VBA10" s="413"/>
      <c r="VBB10" s="413"/>
      <c r="VBC10" s="413"/>
      <c r="VBD10" s="413"/>
      <c r="VBE10" s="413"/>
      <c r="VBF10" s="413"/>
      <c r="VBG10" s="413"/>
      <c r="VBH10" s="413"/>
      <c r="VBI10" s="514"/>
      <c r="VBJ10" s="515"/>
      <c r="VBK10" s="515"/>
      <c r="VBL10" s="515"/>
      <c r="VBM10" s="515"/>
      <c r="VBN10" s="515"/>
      <c r="VBO10" s="515"/>
      <c r="VBP10" s="515"/>
      <c r="VBQ10" s="515"/>
      <c r="VBR10" s="515"/>
      <c r="VBS10" s="413"/>
      <c r="VBT10" s="413"/>
      <c r="VBU10" s="413"/>
      <c r="VBV10" s="413"/>
      <c r="VBW10" s="413"/>
      <c r="VBX10" s="413"/>
      <c r="VBY10" s="413"/>
      <c r="VBZ10" s="413"/>
      <c r="VCA10" s="413"/>
      <c r="VCB10" s="413"/>
      <c r="VCC10" s="413"/>
      <c r="VCD10" s="514"/>
      <c r="VCE10" s="515"/>
      <c r="VCF10" s="515"/>
      <c r="VCG10" s="515"/>
      <c r="VCH10" s="515"/>
      <c r="VCI10" s="515"/>
      <c r="VCJ10" s="515"/>
      <c r="VCK10" s="515"/>
      <c r="VCL10" s="515"/>
      <c r="VCM10" s="515"/>
      <c r="VCN10" s="413"/>
      <c r="VCO10" s="413"/>
      <c r="VCP10" s="413"/>
      <c r="VCQ10" s="413"/>
      <c r="VCR10" s="413"/>
      <c r="VCS10" s="413"/>
      <c r="VCT10" s="413"/>
      <c r="VCU10" s="413"/>
      <c r="VCV10" s="413"/>
      <c r="VCW10" s="413"/>
      <c r="VCX10" s="413"/>
      <c r="VCY10" s="514"/>
      <c r="VCZ10" s="515"/>
      <c r="VDA10" s="515"/>
      <c r="VDB10" s="515"/>
      <c r="VDC10" s="515"/>
      <c r="VDD10" s="515"/>
      <c r="VDE10" s="515"/>
      <c r="VDF10" s="515"/>
      <c r="VDG10" s="515"/>
      <c r="VDH10" s="515"/>
      <c r="VDI10" s="413"/>
      <c r="VDJ10" s="413"/>
      <c r="VDK10" s="413"/>
      <c r="VDL10" s="413"/>
      <c r="VDM10" s="413"/>
      <c r="VDN10" s="413"/>
      <c r="VDO10" s="413"/>
      <c r="VDP10" s="413"/>
      <c r="VDQ10" s="413"/>
      <c r="VDR10" s="413"/>
      <c r="VDS10" s="413"/>
      <c r="VDT10" s="514"/>
      <c r="VDU10" s="515"/>
      <c r="VDV10" s="515"/>
      <c r="VDW10" s="515"/>
      <c r="VDX10" s="515"/>
      <c r="VDY10" s="515"/>
      <c r="VDZ10" s="515"/>
      <c r="VEA10" s="515"/>
      <c r="VEB10" s="515"/>
      <c r="VEC10" s="515"/>
      <c r="VED10" s="413"/>
      <c r="VEE10" s="413"/>
      <c r="VEF10" s="413"/>
      <c r="VEG10" s="413"/>
      <c r="VEH10" s="413"/>
      <c r="VEI10" s="413"/>
      <c r="VEJ10" s="413"/>
      <c r="VEK10" s="413"/>
      <c r="VEL10" s="413"/>
      <c r="VEM10" s="413"/>
      <c r="VEN10" s="413"/>
      <c r="VEO10" s="514"/>
      <c r="VEP10" s="515"/>
      <c r="VEQ10" s="515"/>
      <c r="VER10" s="515"/>
      <c r="VES10" s="515"/>
      <c r="VET10" s="515"/>
      <c r="VEU10" s="515"/>
      <c r="VEV10" s="515"/>
      <c r="VEW10" s="515"/>
      <c r="VEX10" s="515"/>
      <c r="VEY10" s="413"/>
      <c r="VEZ10" s="413"/>
      <c r="VFA10" s="413"/>
      <c r="VFB10" s="413"/>
      <c r="VFC10" s="413"/>
      <c r="VFD10" s="413"/>
      <c r="VFE10" s="413"/>
      <c r="VFF10" s="413"/>
      <c r="VFG10" s="413"/>
      <c r="VFH10" s="413"/>
      <c r="VFI10" s="413"/>
      <c r="VFJ10" s="514"/>
      <c r="VFK10" s="515"/>
      <c r="VFL10" s="515"/>
      <c r="VFM10" s="515"/>
      <c r="VFN10" s="515"/>
      <c r="VFO10" s="515"/>
      <c r="VFP10" s="515"/>
      <c r="VFQ10" s="515"/>
      <c r="VFR10" s="515"/>
      <c r="VFS10" s="515"/>
      <c r="VFT10" s="413"/>
      <c r="VFU10" s="413"/>
      <c r="VFV10" s="413"/>
      <c r="VFW10" s="413"/>
      <c r="VFX10" s="413"/>
      <c r="VFY10" s="413"/>
      <c r="VFZ10" s="413"/>
      <c r="VGA10" s="413"/>
      <c r="VGB10" s="413"/>
      <c r="VGC10" s="413"/>
      <c r="VGD10" s="413"/>
      <c r="VGE10" s="514"/>
      <c r="VGF10" s="515"/>
      <c r="VGG10" s="515"/>
      <c r="VGH10" s="515"/>
      <c r="VGI10" s="515"/>
      <c r="VGJ10" s="515"/>
      <c r="VGK10" s="515"/>
      <c r="VGL10" s="515"/>
      <c r="VGM10" s="515"/>
      <c r="VGN10" s="515"/>
      <c r="VGO10" s="413"/>
      <c r="VGP10" s="413"/>
      <c r="VGQ10" s="413"/>
      <c r="VGR10" s="413"/>
      <c r="VGS10" s="413"/>
      <c r="VGT10" s="413"/>
      <c r="VGU10" s="413"/>
      <c r="VGV10" s="413"/>
      <c r="VGW10" s="413"/>
      <c r="VGX10" s="413"/>
      <c r="VGY10" s="413"/>
      <c r="VGZ10" s="514"/>
      <c r="VHA10" s="515"/>
      <c r="VHB10" s="515"/>
      <c r="VHC10" s="515"/>
      <c r="VHD10" s="515"/>
      <c r="VHE10" s="515"/>
      <c r="VHF10" s="515"/>
      <c r="VHG10" s="515"/>
      <c r="VHH10" s="515"/>
      <c r="VHI10" s="515"/>
      <c r="VHJ10" s="413"/>
      <c r="VHK10" s="413"/>
      <c r="VHL10" s="413"/>
      <c r="VHM10" s="413"/>
      <c r="VHN10" s="413"/>
      <c r="VHO10" s="413"/>
      <c r="VHP10" s="413"/>
      <c r="VHQ10" s="413"/>
      <c r="VHR10" s="413"/>
      <c r="VHS10" s="413"/>
      <c r="VHT10" s="413"/>
      <c r="VHU10" s="514"/>
      <c r="VHV10" s="515"/>
      <c r="VHW10" s="515"/>
      <c r="VHX10" s="515"/>
      <c r="VHY10" s="515"/>
      <c r="VHZ10" s="515"/>
      <c r="VIA10" s="515"/>
      <c r="VIB10" s="515"/>
      <c r="VIC10" s="515"/>
      <c r="VID10" s="515"/>
      <c r="VIE10" s="413"/>
      <c r="VIF10" s="413"/>
      <c r="VIG10" s="413"/>
      <c r="VIH10" s="413"/>
      <c r="VII10" s="413"/>
      <c r="VIJ10" s="413"/>
      <c r="VIK10" s="413"/>
      <c r="VIL10" s="413"/>
      <c r="VIM10" s="413"/>
      <c r="VIN10" s="413"/>
      <c r="VIO10" s="413"/>
      <c r="VIP10" s="514"/>
      <c r="VIQ10" s="515"/>
      <c r="VIR10" s="515"/>
      <c r="VIS10" s="515"/>
      <c r="VIT10" s="515"/>
      <c r="VIU10" s="515"/>
      <c r="VIV10" s="515"/>
      <c r="VIW10" s="515"/>
      <c r="VIX10" s="515"/>
      <c r="VIY10" s="515"/>
      <c r="VIZ10" s="413"/>
      <c r="VJA10" s="413"/>
      <c r="VJB10" s="413"/>
      <c r="VJC10" s="413"/>
      <c r="VJD10" s="413"/>
      <c r="VJE10" s="413"/>
      <c r="VJF10" s="413"/>
      <c r="VJG10" s="413"/>
      <c r="VJH10" s="413"/>
      <c r="VJI10" s="413"/>
      <c r="VJJ10" s="413"/>
      <c r="VJK10" s="514"/>
      <c r="VJL10" s="515"/>
      <c r="VJM10" s="515"/>
      <c r="VJN10" s="515"/>
      <c r="VJO10" s="515"/>
      <c r="VJP10" s="515"/>
      <c r="VJQ10" s="515"/>
      <c r="VJR10" s="515"/>
      <c r="VJS10" s="515"/>
      <c r="VJT10" s="515"/>
      <c r="VJU10" s="413"/>
      <c r="VJV10" s="413"/>
      <c r="VJW10" s="413"/>
      <c r="VJX10" s="413"/>
      <c r="VJY10" s="413"/>
      <c r="VJZ10" s="413"/>
      <c r="VKA10" s="413"/>
      <c r="VKB10" s="413"/>
      <c r="VKC10" s="413"/>
      <c r="VKD10" s="413"/>
      <c r="VKE10" s="413"/>
      <c r="VKF10" s="514"/>
      <c r="VKG10" s="515"/>
      <c r="VKH10" s="515"/>
      <c r="VKI10" s="515"/>
      <c r="VKJ10" s="515"/>
      <c r="VKK10" s="515"/>
      <c r="VKL10" s="515"/>
      <c r="VKM10" s="515"/>
      <c r="VKN10" s="515"/>
      <c r="VKO10" s="515"/>
      <c r="VKP10" s="413"/>
      <c r="VKQ10" s="413"/>
      <c r="VKR10" s="413"/>
      <c r="VKS10" s="413"/>
      <c r="VKT10" s="413"/>
      <c r="VKU10" s="413"/>
      <c r="VKV10" s="413"/>
      <c r="VKW10" s="413"/>
      <c r="VKX10" s="413"/>
      <c r="VKY10" s="413"/>
      <c r="VKZ10" s="413"/>
      <c r="VLA10" s="514"/>
      <c r="VLB10" s="515"/>
      <c r="VLC10" s="515"/>
      <c r="VLD10" s="515"/>
      <c r="VLE10" s="515"/>
      <c r="VLF10" s="515"/>
      <c r="VLG10" s="515"/>
      <c r="VLH10" s="515"/>
      <c r="VLI10" s="515"/>
      <c r="VLJ10" s="515"/>
      <c r="VLK10" s="413"/>
      <c r="VLL10" s="413"/>
      <c r="VLM10" s="413"/>
      <c r="VLN10" s="413"/>
      <c r="VLO10" s="413"/>
      <c r="VLP10" s="413"/>
      <c r="VLQ10" s="413"/>
      <c r="VLR10" s="413"/>
      <c r="VLS10" s="413"/>
      <c r="VLT10" s="413"/>
      <c r="VLU10" s="413"/>
      <c r="VLV10" s="514"/>
      <c r="VLW10" s="515"/>
      <c r="VLX10" s="515"/>
      <c r="VLY10" s="515"/>
      <c r="VLZ10" s="515"/>
      <c r="VMA10" s="515"/>
      <c r="VMB10" s="515"/>
      <c r="VMC10" s="515"/>
      <c r="VMD10" s="515"/>
      <c r="VME10" s="515"/>
      <c r="VMF10" s="413"/>
      <c r="VMG10" s="413"/>
      <c r="VMH10" s="413"/>
      <c r="VMI10" s="413"/>
      <c r="VMJ10" s="413"/>
      <c r="VMK10" s="413"/>
      <c r="VML10" s="413"/>
      <c r="VMM10" s="413"/>
      <c r="VMN10" s="413"/>
      <c r="VMO10" s="413"/>
      <c r="VMP10" s="413"/>
      <c r="VMQ10" s="514"/>
      <c r="VMR10" s="515"/>
      <c r="VMS10" s="515"/>
      <c r="VMT10" s="515"/>
      <c r="VMU10" s="515"/>
      <c r="VMV10" s="515"/>
      <c r="VMW10" s="515"/>
      <c r="VMX10" s="515"/>
      <c r="VMY10" s="515"/>
      <c r="VMZ10" s="515"/>
      <c r="VNA10" s="413"/>
      <c r="VNB10" s="413"/>
      <c r="VNC10" s="413"/>
      <c r="VND10" s="413"/>
      <c r="VNE10" s="413"/>
      <c r="VNF10" s="413"/>
      <c r="VNG10" s="413"/>
      <c r="VNH10" s="413"/>
      <c r="VNI10" s="413"/>
      <c r="VNJ10" s="413"/>
      <c r="VNK10" s="413"/>
      <c r="VNL10" s="514"/>
      <c r="VNM10" s="515"/>
      <c r="VNN10" s="515"/>
      <c r="VNO10" s="515"/>
      <c r="VNP10" s="515"/>
      <c r="VNQ10" s="515"/>
      <c r="VNR10" s="515"/>
      <c r="VNS10" s="515"/>
      <c r="VNT10" s="515"/>
      <c r="VNU10" s="515"/>
      <c r="VNV10" s="413"/>
      <c r="VNW10" s="413"/>
      <c r="VNX10" s="413"/>
      <c r="VNY10" s="413"/>
      <c r="VNZ10" s="413"/>
      <c r="VOA10" s="413"/>
      <c r="VOB10" s="413"/>
      <c r="VOC10" s="413"/>
      <c r="VOD10" s="413"/>
      <c r="VOE10" s="413"/>
      <c r="VOF10" s="413"/>
      <c r="VOG10" s="514"/>
      <c r="VOH10" s="515"/>
      <c r="VOI10" s="515"/>
      <c r="VOJ10" s="515"/>
      <c r="VOK10" s="515"/>
      <c r="VOL10" s="515"/>
      <c r="VOM10" s="515"/>
      <c r="VON10" s="515"/>
      <c r="VOO10" s="515"/>
      <c r="VOP10" s="515"/>
      <c r="VOQ10" s="413"/>
      <c r="VOR10" s="413"/>
      <c r="VOS10" s="413"/>
      <c r="VOT10" s="413"/>
      <c r="VOU10" s="413"/>
      <c r="VOV10" s="413"/>
      <c r="VOW10" s="413"/>
      <c r="VOX10" s="413"/>
      <c r="VOY10" s="413"/>
      <c r="VOZ10" s="413"/>
      <c r="VPA10" s="413"/>
      <c r="VPB10" s="514"/>
      <c r="VPC10" s="515"/>
      <c r="VPD10" s="515"/>
      <c r="VPE10" s="515"/>
      <c r="VPF10" s="515"/>
      <c r="VPG10" s="515"/>
      <c r="VPH10" s="515"/>
      <c r="VPI10" s="515"/>
      <c r="VPJ10" s="515"/>
      <c r="VPK10" s="515"/>
      <c r="VPL10" s="413"/>
      <c r="VPM10" s="413"/>
      <c r="VPN10" s="413"/>
      <c r="VPO10" s="413"/>
      <c r="VPP10" s="413"/>
      <c r="VPQ10" s="413"/>
      <c r="VPR10" s="413"/>
      <c r="VPS10" s="413"/>
      <c r="VPT10" s="413"/>
      <c r="VPU10" s="413"/>
      <c r="VPV10" s="413"/>
      <c r="VPW10" s="514"/>
      <c r="VPX10" s="515"/>
      <c r="VPY10" s="515"/>
      <c r="VPZ10" s="515"/>
      <c r="VQA10" s="515"/>
      <c r="VQB10" s="515"/>
      <c r="VQC10" s="515"/>
      <c r="VQD10" s="515"/>
      <c r="VQE10" s="515"/>
      <c r="VQF10" s="515"/>
      <c r="VQG10" s="413"/>
      <c r="VQH10" s="413"/>
      <c r="VQI10" s="413"/>
      <c r="VQJ10" s="413"/>
      <c r="VQK10" s="413"/>
      <c r="VQL10" s="413"/>
      <c r="VQM10" s="413"/>
      <c r="VQN10" s="413"/>
      <c r="VQO10" s="413"/>
      <c r="VQP10" s="413"/>
      <c r="VQQ10" s="413"/>
      <c r="VQR10" s="514"/>
      <c r="VQS10" s="515"/>
      <c r="VQT10" s="515"/>
      <c r="VQU10" s="515"/>
      <c r="VQV10" s="515"/>
      <c r="VQW10" s="515"/>
      <c r="VQX10" s="515"/>
      <c r="VQY10" s="515"/>
      <c r="VQZ10" s="515"/>
      <c r="VRA10" s="515"/>
      <c r="VRB10" s="413"/>
      <c r="VRC10" s="413"/>
      <c r="VRD10" s="413"/>
      <c r="VRE10" s="413"/>
      <c r="VRF10" s="413"/>
      <c r="VRG10" s="413"/>
      <c r="VRH10" s="413"/>
      <c r="VRI10" s="413"/>
      <c r="VRJ10" s="413"/>
      <c r="VRK10" s="413"/>
      <c r="VRL10" s="413"/>
      <c r="VRM10" s="514"/>
      <c r="VRN10" s="515"/>
      <c r="VRO10" s="515"/>
      <c r="VRP10" s="515"/>
      <c r="VRQ10" s="515"/>
      <c r="VRR10" s="515"/>
      <c r="VRS10" s="515"/>
      <c r="VRT10" s="515"/>
      <c r="VRU10" s="515"/>
      <c r="VRV10" s="515"/>
      <c r="VRW10" s="413"/>
      <c r="VRX10" s="413"/>
      <c r="VRY10" s="413"/>
      <c r="VRZ10" s="413"/>
      <c r="VSA10" s="413"/>
      <c r="VSB10" s="413"/>
      <c r="VSC10" s="413"/>
      <c r="VSD10" s="413"/>
      <c r="VSE10" s="413"/>
      <c r="VSF10" s="413"/>
      <c r="VSG10" s="413"/>
      <c r="VSH10" s="514"/>
      <c r="VSI10" s="515"/>
      <c r="VSJ10" s="515"/>
      <c r="VSK10" s="515"/>
      <c r="VSL10" s="515"/>
      <c r="VSM10" s="515"/>
      <c r="VSN10" s="515"/>
      <c r="VSO10" s="515"/>
      <c r="VSP10" s="515"/>
      <c r="VSQ10" s="515"/>
      <c r="VSR10" s="413"/>
      <c r="VSS10" s="413"/>
      <c r="VST10" s="413"/>
      <c r="VSU10" s="413"/>
      <c r="VSV10" s="413"/>
      <c r="VSW10" s="413"/>
      <c r="VSX10" s="413"/>
      <c r="VSY10" s="413"/>
      <c r="VSZ10" s="413"/>
      <c r="VTA10" s="413"/>
      <c r="VTB10" s="413"/>
      <c r="VTC10" s="514"/>
      <c r="VTD10" s="515"/>
      <c r="VTE10" s="515"/>
      <c r="VTF10" s="515"/>
      <c r="VTG10" s="515"/>
      <c r="VTH10" s="515"/>
      <c r="VTI10" s="515"/>
      <c r="VTJ10" s="515"/>
      <c r="VTK10" s="515"/>
      <c r="VTL10" s="515"/>
      <c r="VTM10" s="413"/>
      <c r="VTN10" s="413"/>
      <c r="VTO10" s="413"/>
      <c r="VTP10" s="413"/>
      <c r="VTQ10" s="413"/>
      <c r="VTR10" s="413"/>
      <c r="VTS10" s="413"/>
      <c r="VTT10" s="413"/>
      <c r="VTU10" s="413"/>
      <c r="VTV10" s="413"/>
      <c r="VTW10" s="413"/>
      <c r="VTX10" s="514"/>
      <c r="VTY10" s="515"/>
      <c r="VTZ10" s="515"/>
      <c r="VUA10" s="515"/>
      <c r="VUB10" s="515"/>
      <c r="VUC10" s="515"/>
      <c r="VUD10" s="515"/>
      <c r="VUE10" s="515"/>
      <c r="VUF10" s="515"/>
      <c r="VUG10" s="515"/>
      <c r="VUH10" s="413"/>
      <c r="VUI10" s="413"/>
      <c r="VUJ10" s="413"/>
      <c r="VUK10" s="413"/>
      <c r="VUL10" s="413"/>
      <c r="VUM10" s="413"/>
      <c r="VUN10" s="413"/>
      <c r="VUO10" s="413"/>
      <c r="VUP10" s="413"/>
      <c r="VUQ10" s="413"/>
      <c r="VUR10" s="413"/>
      <c r="VUS10" s="514"/>
      <c r="VUT10" s="515"/>
      <c r="VUU10" s="515"/>
      <c r="VUV10" s="515"/>
      <c r="VUW10" s="515"/>
      <c r="VUX10" s="515"/>
      <c r="VUY10" s="515"/>
      <c r="VUZ10" s="515"/>
      <c r="VVA10" s="515"/>
      <c r="VVB10" s="515"/>
      <c r="VVC10" s="413"/>
      <c r="VVD10" s="413"/>
      <c r="VVE10" s="413"/>
      <c r="VVF10" s="413"/>
      <c r="VVG10" s="413"/>
      <c r="VVH10" s="413"/>
      <c r="VVI10" s="413"/>
      <c r="VVJ10" s="413"/>
      <c r="VVK10" s="413"/>
      <c r="VVL10" s="413"/>
      <c r="VVM10" s="413"/>
      <c r="VVN10" s="514"/>
      <c r="VVO10" s="515"/>
      <c r="VVP10" s="515"/>
      <c r="VVQ10" s="515"/>
      <c r="VVR10" s="515"/>
      <c r="VVS10" s="515"/>
      <c r="VVT10" s="515"/>
      <c r="VVU10" s="515"/>
      <c r="VVV10" s="515"/>
      <c r="VVW10" s="515"/>
      <c r="VVX10" s="413"/>
      <c r="VVY10" s="413"/>
      <c r="VVZ10" s="413"/>
      <c r="VWA10" s="413"/>
      <c r="VWB10" s="413"/>
      <c r="VWC10" s="413"/>
      <c r="VWD10" s="413"/>
      <c r="VWE10" s="413"/>
      <c r="VWF10" s="413"/>
      <c r="VWG10" s="413"/>
      <c r="VWH10" s="413"/>
      <c r="VWI10" s="514"/>
      <c r="VWJ10" s="515"/>
      <c r="VWK10" s="515"/>
      <c r="VWL10" s="515"/>
      <c r="VWM10" s="515"/>
      <c r="VWN10" s="515"/>
      <c r="VWO10" s="515"/>
      <c r="VWP10" s="515"/>
      <c r="VWQ10" s="515"/>
      <c r="VWR10" s="515"/>
      <c r="VWS10" s="413"/>
      <c r="VWT10" s="413"/>
      <c r="VWU10" s="413"/>
      <c r="VWV10" s="413"/>
      <c r="VWW10" s="413"/>
      <c r="VWX10" s="413"/>
      <c r="VWY10" s="413"/>
      <c r="VWZ10" s="413"/>
      <c r="VXA10" s="413"/>
      <c r="VXB10" s="413"/>
      <c r="VXC10" s="413"/>
      <c r="VXD10" s="514"/>
      <c r="VXE10" s="515"/>
      <c r="VXF10" s="515"/>
      <c r="VXG10" s="515"/>
      <c r="VXH10" s="515"/>
      <c r="VXI10" s="515"/>
      <c r="VXJ10" s="515"/>
      <c r="VXK10" s="515"/>
      <c r="VXL10" s="515"/>
      <c r="VXM10" s="515"/>
      <c r="VXN10" s="413"/>
      <c r="VXO10" s="413"/>
      <c r="VXP10" s="413"/>
      <c r="VXQ10" s="413"/>
      <c r="VXR10" s="413"/>
      <c r="VXS10" s="413"/>
      <c r="VXT10" s="413"/>
      <c r="VXU10" s="413"/>
      <c r="VXV10" s="413"/>
      <c r="VXW10" s="413"/>
      <c r="VXX10" s="413"/>
      <c r="VXY10" s="514"/>
      <c r="VXZ10" s="515"/>
      <c r="VYA10" s="515"/>
      <c r="VYB10" s="515"/>
      <c r="VYC10" s="515"/>
      <c r="VYD10" s="515"/>
      <c r="VYE10" s="515"/>
      <c r="VYF10" s="515"/>
      <c r="VYG10" s="515"/>
      <c r="VYH10" s="515"/>
      <c r="VYI10" s="413"/>
      <c r="VYJ10" s="413"/>
      <c r="VYK10" s="413"/>
      <c r="VYL10" s="413"/>
      <c r="VYM10" s="413"/>
      <c r="VYN10" s="413"/>
      <c r="VYO10" s="413"/>
      <c r="VYP10" s="413"/>
      <c r="VYQ10" s="413"/>
      <c r="VYR10" s="413"/>
      <c r="VYS10" s="413"/>
      <c r="VYT10" s="514"/>
      <c r="VYU10" s="515"/>
      <c r="VYV10" s="515"/>
      <c r="VYW10" s="515"/>
      <c r="VYX10" s="515"/>
      <c r="VYY10" s="515"/>
      <c r="VYZ10" s="515"/>
      <c r="VZA10" s="515"/>
      <c r="VZB10" s="515"/>
      <c r="VZC10" s="515"/>
      <c r="VZD10" s="413"/>
      <c r="VZE10" s="413"/>
      <c r="VZF10" s="413"/>
      <c r="VZG10" s="413"/>
      <c r="VZH10" s="413"/>
      <c r="VZI10" s="413"/>
      <c r="VZJ10" s="413"/>
      <c r="VZK10" s="413"/>
      <c r="VZL10" s="413"/>
      <c r="VZM10" s="413"/>
      <c r="VZN10" s="413"/>
      <c r="VZO10" s="514"/>
      <c r="VZP10" s="515"/>
      <c r="VZQ10" s="515"/>
      <c r="VZR10" s="515"/>
      <c r="VZS10" s="515"/>
      <c r="VZT10" s="515"/>
      <c r="VZU10" s="515"/>
      <c r="VZV10" s="515"/>
      <c r="VZW10" s="515"/>
      <c r="VZX10" s="515"/>
      <c r="VZY10" s="413"/>
      <c r="VZZ10" s="413"/>
      <c r="WAA10" s="413"/>
      <c r="WAB10" s="413"/>
      <c r="WAC10" s="413"/>
      <c r="WAD10" s="413"/>
      <c r="WAE10" s="413"/>
      <c r="WAF10" s="413"/>
      <c r="WAG10" s="413"/>
      <c r="WAH10" s="413"/>
      <c r="WAI10" s="413"/>
      <c r="WAJ10" s="514"/>
      <c r="WAK10" s="515"/>
      <c r="WAL10" s="515"/>
      <c r="WAM10" s="515"/>
      <c r="WAN10" s="515"/>
      <c r="WAO10" s="515"/>
      <c r="WAP10" s="515"/>
      <c r="WAQ10" s="515"/>
      <c r="WAR10" s="515"/>
      <c r="WAS10" s="515"/>
      <c r="WAT10" s="413"/>
      <c r="WAU10" s="413"/>
      <c r="WAV10" s="413"/>
      <c r="WAW10" s="413"/>
      <c r="WAX10" s="413"/>
      <c r="WAY10" s="413"/>
      <c r="WAZ10" s="413"/>
      <c r="WBA10" s="413"/>
      <c r="WBB10" s="413"/>
      <c r="WBC10" s="413"/>
      <c r="WBD10" s="413"/>
      <c r="WBE10" s="514"/>
      <c r="WBF10" s="515"/>
      <c r="WBG10" s="515"/>
      <c r="WBH10" s="515"/>
      <c r="WBI10" s="515"/>
      <c r="WBJ10" s="515"/>
      <c r="WBK10" s="515"/>
      <c r="WBL10" s="515"/>
      <c r="WBM10" s="515"/>
      <c r="WBN10" s="515"/>
      <c r="WBO10" s="413"/>
      <c r="WBP10" s="413"/>
      <c r="WBQ10" s="413"/>
      <c r="WBR10" s="413"/>
      <c r="WBS10" s="413"/>
      <c r="WBT10" s="413"/>
      <c r="WBU10" s="413"/>
      <c r="WBV10" s="413"/>
      <c r="WBW10" s="413"/>
      <c r="WBX10" s="413"/>
      <c r="WBY10" s="413"/>
      <c r="WBZ10" s="514"/>
      <c r="WCA10" s="515"/>
      <c r="WCB10" s="515"/>
      <c r="WCC10" s="515"/>
      <c r="WCD10" s="515"/>
      <c r="WCE10" s="515"/>
      <c r="WCF10" s="515"/>
      <c r="WCG10" s="515"/>
      <c r="WCH10" s="515"/>
      <c r="WCI10" s="515"/>
      <c r="WCJ10" s="413"/>
      <c r="WCK10" s="413"/>
      <c r="WCL10" s="413"/>
      <c r="WCM10" s="413"/>
      <c r="WCN10" s="413"/>
      <c r="WCO10" s="413"/>
      <c r="WCP10" s="413"/>
      <c r="WCQ10" s="413"/>
      <c r="WCR10" s="413"/>
      <c r="WCS10" s="413"/>
      <c r="WCT10" s="413"/>
      <c r="WCU10" s="514"/>
      <c r="WCV10" s="515"/>
      <c r="WCW10" s="515"/>
      <c r="WCX10" s="515"/>
      <c r="WCY10" s="515"/>
      <c r="WCZ10" s="515"/>
      <c r="WDA10" s="515"/>
      <c r="WDB10" s="515"/>
      <c r="WDC10" s="515"/>
      <c r="WDD10" s="515"/>
      <c r="WDE10" s="413"/>
      <c r="WDF10" s="413"/>
      <c r="WDG10" s="413"/>
      <c r="WDH10" s="413"/>
      <c r="WDI10" s="413"/>
      <c r="WDJ10" s="413"/>
      <c r="WDK10" s="413"/>
      <c r="WDL10" s="413"/>
      <c r="WDM10" s="413"/>
      <c r="WDN10" s="413"/>
      <c r="WDO10" s="413"/>
      <c r="WDP10" s="514"/>
      <c r="WDQ10" s="515"/>
      <c r="WDR10" s="515"/>
      <c r="WDS10" s="515"/>
      <c r="WDT10" s="515"/>
      <c r="WDU10" s="515"/>
      <c r="WDV10" s="515"/>
      <c r="WDW10" s="515"/>
      <c r="WDX10" s="515"/>
      <c r="WDY10" s="515"/>
      <c r="WDZ10" s="413"/>
      <c r="WEA10" s="413"/>
      <c r="WEB10" s="413"/>
      <c r="WEC10" s="413"/>
      <c r="WED10" s="413"/>
      <c r="WEE10" s="413"/>
      <c r="WEF10" s="413"/>
      <c r="WEG10" s="413"/>
      <c r="WEH10" s="413"/>
      <c r="WEI10" s="413"/>
      <c r="WEJ10" s="413"/>
      <c r="WEK10" s="514"/>
      <c r="WEL10" s="515"/>
      <c r="WEM10" s="515"/>
      <c r="WEN10" s="515"/>
      <c r="WEO10" s="515"/>
      <c r="WEP10" s="515"/>
      <c r="WEQ10" s="515"/>
      <c r="WER10" s="515"/>
      <c r="WES10" s="515"/>
      <c r="WET10" s="515"/>
      <c r="WEU10" s="413"/>
      <c r="WEV10" s="413"/>
      <c r="WEW10" s="413"/>
      <c r="WEX10" s="413"/>
      <c r="WEY10" s="413"/>
      <c r="WEZ10" s="413"/>
      <c r="WFA10" s="413"/>
      <c r="WFB10" s="413"/>
      <c r="WFC10" s="413"/>
      <c r="WFD10" s="413"/>
      <c r="WFE10" s="413"/>
      <c r="WFF10" s="514"/>
      <c r="WFG10" s="515"/>
      <c r="WFH10" s="515"/>
      <c r="WFI10" s="515"/>
      <c r="WFJ10" s="515"/>
      <c r="WFK10" s="515"/>
      <c r="WFL10" s="515"/>
      <c r="WFM10" s="515"/>
      <c r="WFN10" s="515"/>
      <c r="WFO10" s="515"/>
      <c r="WFP10" s="413"/>
      <c r="WFQ10" s="413"/>
      <c r="WFR10" s="413"/>
      <c r="WFS10" s="413"/>
      <c r="WFT10" s="413"/>
      <c r="WFU10" s="413"/>
      <c r="WFV10" s="413"/>
      <c r="WFW10" s="413"/>
      <c r="WFX10" s="413"/>
      <c r="WFY10" s="413"/>
      <c r="WFZ10" s="413"/>
      <c r="WGA10" s="514"/>
      <c r="WGB10" s="515"/>
      <c r="WGC10" s="515"/>
      <c r="WGD10" s="515"/>
      <c r="WGE10" s="515"/>
      <c r="WGF10" s="515"/>
      <c r="WGG10" s="515"/>
      <c r="WGH10" s="515"/>
      <c r="WGI10" s="515"/>
      <c r="WGJ10" s="515"/>
      <c r="WGK10" s="413"/>
      <c r="WGL10" s="413"/>
      <c r="WGM10" s="413"/>
      <c r="WGN10" s="413"/>
      <c r="WGO10" s="413"/>
      <c r="WGP10" s="413"/>
      <c r="WGQ10" s="413"/>
      <c r="WGR10" s="413"/>
      <c r="WGS10" s="413"/>
      <c r="WGT10" s="413"/>
      <c r="WGU10" s="413"/>
      <c r="WGV10" s="514"/>
      <c r="WGW10" s="515"/>
      <c r="WGX10" s="515"/>
      <c r="WGY10" s="515"/>
      <c r="WGZ10" s="515"/>
      <c r="WHA10" s="515"/>
      <c r="WHB10" s="515"/>
      <c r="WHC10" s="515"/>
      <c r="WHD10" s="515"/>
      <c r="WHE10" s="515"/>
      <c r="WHF10" s="413"/>
      <c r="WHG10" s="413"/>
      <c r="WHH10" s="413"/>
      <c r="WHI10" s="413"/>
      <c r="WHJ10" s="413"/>
      <c r="WHK10" s="413"/>
      <c r="WHL10" s="413"/>
      <c r="WHM10" s="413"/>
      <c r="WHN10" s="413"/>
      <c r="WHO10" s="413"/>
      <c r="WHP10" s="413"/>
      <c r="WHQ10" s="514"/>
      <c r="WHR10" s="515"/>
      <c r="WHS10" s="515"/>
      <c r="WHT10" s="515"/>
      <c r="WHU10" s="515"/>
      <c r="WHV10" s="515"/>
      <c r="WHW10" s="515"/>
      <c r="WHX10" s="515"/>
      <c r="WHY10" s="515"/>
      <c r="WHZ10" s="515"/>
      <c r="WIA10" s="413"/>
      <c r="WIB10" s="413"/>
      <c r="WIC10" s="413"/>
      <c r="WID10" s="413"/>
      <c r="WIE10" s="413"/>
      <c r="WIF10" s="413"/>
      <c r="WIG10" s="413"/>
      <c r="WIH10" s="413"/>
      <c r="WII10" s="413"/>
      <c r="WIJ10" s="413"/>
      <c r="WIK10" s="413"/>
      <c r="WIL10" s="514"/>
      <c r="WIM10" s="515"/>
      <c r="WIN10" s="515"/>
      <c r="WIO10" s="515"/>
      <c r="WIP10" s="515"/>
      <c r="WIQ10" s="515"/>
      <c r="WIR10" s="515"/>
      <c r="WIS10" s="515"/>
      <c r="WIT10" s="515"/>
      <c r="WIU10" s="515"/>
      <c r="WIV10" s="413"/>
      <c r="WIW10" s="413"/>
      <c r="WIX10" s="413"/>
      <c r="WIY10" s="413"/>
      <c r="WIZ10" s="413"/>
      <c r="WJA10" s="413"/>
      <c r="WJB10" s="413"/>
      <c r="WJC10" s="413"/>
      <c r="WJD10" s="413"/>
      <c r="WJE10" s="413"/>
      <c r="WJF10" s="413"/>
      <c r="WJG10" s="514"/>
      <c r="WJH10" s="515"/>
      <c r="WJI10" s="515"/>
      <c r="WJJ10" s="515"/>
      <c r="WJK10" s="515"/>
      <c r="WJL10" s="515"/>
      <c r="WJM10" s="515"/>
      <c r="WJN10" s="515"/>
      <c r="WJO10" s="515"/>
      <c r="WJP10" s="515"/>
      <c r="WJQ10" s="413"/>
      <c r="WJR10" s="413"/>
      <c r="WJS10" s="413"/>
      <c r="WJT10" s="413"/>
      <c r="WJU10" s="413"/>
      <c r="WJV10" s="413"/>
      <c r="WJW10" s="413"/>
      <c r="WJX10" s="413"/>
      <c r="WJY10" s="413"/>
      <c r="WJZ10" s="413"/>
      <c r="WKA10" s="413"/>
      <c r="WKB10" s="514"/>
      <c r="WKC10" s="515"/>
      <c r="WKD10" s="515"/>
      <c r="WKE10" s="515"/>
      <c r="WKF10" s="515"/>
      <c r="WKG10" s="515"/>
      <c r="WKH10" s="515"/>
      <c r="WKI10" s="515"/>
      <c r="WKJ10" s="515"/>
      <c r="WKK10" s="515"/>
      <c r="WKL10" s="413"/>
      <c r="WKM10" s="413"/>
      <c r="WKN10" s="413"/>
      <c r="WKO10" s="413"/>
      <c r="WKP10" s="413"/>
      <c r="WKQ10" s="413"/>
      <c r="WKR10" s="413"/>
      <c r="WKS10" s="413"/>
      <c r="WKT10" s="413"/>
      <c r="WKU10" s="413"/>
      <c r="WKV10" s="413"/>
      <c r="WKW10" s="514"/>
      <c r="WKX10" s="515"/>
      <c r="WKY10" s="515"/>
      <c r="WKZ10" s="515"/>
      <c r="WLA10" s="515"/>
      <c r="WLB10" s="515"/>
      <c r="WLC10" s="515"/>
      <c r="WLD10" s="515"/>
      <c r="WLE10" s="515"/>
      <c r="WLF10" s="515"/>
      <c r="WLG10" s="413"/>
      <c r="WLH10" s="413"/>
      <c r="WLI10" s="413"/>
      <c r="WLJ10" s="413"/>
      <c r="WLK10" s="413"/>
      <c r="WLL10" s="413"/>
      <c r="WLM10" s="413"/>
      <c r="WLN10" s="413"/>
      <c r="WLO10" s="413"/>
      <c r="WLP10" s="413"/>
      <c r="WLQ10" s="413"/>
      <c r="WLR10" s="514"/>
      <c r="WLS10" s="515"/>
      <c r="WLT10" s="515"/>
      <c r="WLU10" s="515"/>
      <c r="WLV10" s="515"/>
      <c r="WLW10" s="515"/>
      <c r="WLX10" s="515"/>
      <c r="WLY10" s="515"/>
      <c r="WLZ10" s="515"/>
      <c r="WMA10" s="515"/>
      <c r="WMB10" s="413"/>
      <c r="WMC10" s="413"/>
      <c r="WMD10" s="413"/>
      <c r="WME10" s="413"/>
      <c r="WMF10" s="413"/>
      <c r="WMG10" s="413"/>
      <c r="WMH10" s="413"/>
      <c r="WMI10" s="413"/>
      <c r="WMJ10" s="413"/>
      <c r="WMK10" s="413"/>
      <c r="WML10" s="413"/>
      <c r="WMM10" s="514"/>
      <c r="WMN10" s="515"/>
      <c r="WMO10" s="515"/>
      <c r="WMP10" s="515"/>
      <c r="WMQ10" s="515"/>
      <c r="WMR10" s="515"/>
      <c r="WMS10" s="515"/>
      <c r="WMT10" s="515"/>
      <c r="WMU10" s="515"/>
      <c r="WMV10" s="515"/>
      <c r="WMW10" s="413"/>
      <c r="WMX10" s="413"/>
      <c r="WMY10" s="413"/>
      <c r="WMZ10" s="413"/>
      <c r="WNA10" s="413"/>
      <c r="WNB10" s="413"/>
      <c r="WNC10" s="413"/>
      <c r="WND10" s="413"/>
      <c r="WNE10" s="413"/>
      <c r="WNF10" s="413"/>
      <c r="WNG10" s="413"/>
      <c r="WNH10" s="514"/>
      <c r="WNI10" s="515"/>
      <c r="WNJ10" s="515"/>
      <c r="WNK10" s="515"/>
      <c r="WNL10" s="515"/>
      <c r="WNM10" s="515"/>
      <c r="WNN10" s="515"/>
      <c r="WNO10" s="515"/>
      <c r="WNP10" s="515"/>
      <c r="WNQ10" s="515"/>
      <c r="WNR10" s="413"/>
      <c r="WNS10" s="413"/>
      <c r="WNT10" s="413"/>
      <c r="WNU10" s="413"/>
      <c r="WNV10" s="413"/>
      <c r="WNW10" s="413"/>
      <c r="WNX10" s="413"/>
      <c r="WNY10" s="413"/>
      <c r="WNZ10" s="413"/>
      <c r="WOA10" s="413"/>
      <c r="WOB10" s="413"/>
      <c r="WOC10" s="514"/>
      <c r="WOD10" s="515"/>
      <c r="WOE10" s="515"/>
      <c r="WOF10" s="515"/>
      <c r="WOG10" s="515"/>
      <c r="WOH10" s="515"/>
      <c r="WOI10" s="515"/>
      <c r="WOJ10" s="515"/>
      <c r="WOK10" s="515"/>
      <c r="WOL10" s="515"/>
      <c r="WOM10" s="413"/>
      <c r="WON10" s="413"/>
      <c r="WOO10" s="413"/>
      <c r="WOP10" s="413"/>
      <c r="WOQ10" s="413"/>
      <c r="WOR10" s="413"/>
      <c r="WOS10" s="413"/>
      <c r="WOT10" s="413"/>
      <c r="WOU10" s="413"/>
      <c r="WOV10" s="413"/>
      <c r="WOW10" s="413"/>
      <c r="WOX10" s="514"/>
      <c r="WOY10" s="515"/>
      <c r="WOZ10" s="515"/>
      <c r="WPA10" s="515"/>
      <c r="WPB10" s="515"/>
      <c r="WPC10" s="515"/>
      <c r="WPD10" s="515"/>
      <c r="WPE10" s="515"/>
      <c r="WPF10" s="515"/>
      <c r="WPG10" s="515"/>
      <c r="WPH10" s="413"/>
      <c r="WPI10" s="413"/>
      <c r="WPJ10" s="413"/>
      <c r="WPK10" s="413"/>
      <c r="WPL10" s="413"/>
      <c r="WPM10" s="413"/>
      <c r="WPN10" s="413"/>
      <c r="WPO10" s="413"/>
      <c r="WPP10" s="413"/>
      <c r="WPQ10" s="413"/>
      <c r="WPR10" s="413"/>
      <c r="WPS10" s="514"/>
      <c r="WPT10" s="515"/>
      <c r="WPU10" s="515"/>
      <c r="WPV10" s="515"/>
      <c r="WPW10" s="515"/>
      <c r="WPX10" s="515"/>
      <c r="WPY10" s="515"/>
      <c r="WPZ10" s="515"/>
      <c r="WQA10" s="515"/>
      <c r="WQB10" s="515"/>
      <c r="WQC10" s="413"/>
      <c r="WQD10" s="413"/>
      <c r="WQE10" s="413"/>
      <c r="WQF10" s="413"/>
      <c r="WQG10" s="413"/>
      <c r="WQH10" s="413"/>
      <c r="WQI10" s="413"/>
      <c r="WQJ10" s="413"/>
      <c r="WQK10" s="413"/>
      <c r="WQL10" s="413"/>
      <c r="WQM10" s="413"/>
      <c r="WQN10" s="514"/>
      <c r="WQO10" s="515"/>
      <c r="WQP10" s="515"/>
      <c r="WQQ10" s="515"/>
      <c r="WQR10" s="515"/>
      <c r="WQS10" s="515"/>
      <c r="WQT10" s="515"/>
      <c r="WQU10" s="515"/>
      <c r="WQV10" s="515"/>
      <c r="WQW10" s="515"/>
      <c r="WQX10" s="413"/>
      <c r="WQY10" s="413"/>
      <c r="WQZ10" s="413"/>
      <c r="WRA10" s="413"/>
      <c r="WRB10" s="413"/>
      <c r="WRC10" s="413"/>
      <c r="WRD10" s="413"/>
      <c r="WRE10" s="413"/>
      <c r="WRF10" s="413"/>
      <c r="WRG10" s="413"/>
      <c r="WRH10" s="413"/>
      <c r="WRI10" s="514"/>
      <c r="WRJ10" s="515"/>
      <c r="WRK10" s="515"/>
      <c r="WRL10" s="515"/>
      <c r="WRM10" s="515"/>
      <c r="WRN10" s="515"/>
      <c r="WRO10" s="515"/>
      <c r="WRP10" s="515"/>
      <c r="WRQ10" s="515"/>
      <c r="WRR10" s="515"/>
      <c r="WRS10" s="413"/>
      <c r="WRT10" s="413"/>
      <c r="WRU10" s="413"/>
      <c r="WRV10" s="413"/>
      <c r="WRW10" s="413"/>
      <c r="WRX10" s="413"/>
      <c r="WRY10" s="413"/>
      <c r="WRZ10" s="413"/>
      <c r="WSA10" s="413"/>
      <c r="WSB10" s="413"/>
      <c r="WSC10" s="413"/>
      <c r="WSD10" s="514"/>
      <c r="WSE10" s="515"/>
      <c r="WSF10" s="515"/>
      <c r="WSG10" s="515"/>
      <c r="WSH10" s="515"/>
      <c r="WSI10" s="515"/>
      <c r="WSJ10" s="515"/>
      <c r="WSK10" s="515"/>
      <c r="WSL10" s="515"/>
      <c r="WSM10" s="515"/>
      <c r="WSN10" s="413"/>
      <c r="WSO10" s="413"/>
      <c r="WSP10" s="413"/>
      <c r="WSQ10" s="413"/>
      <c r="WSR10" s="413"/>
      <c r="WSS10" s="413"/>
      <c r="WST10" s="413"/>
      <c r="WSU10" s="413"/>
      <c r="WSV10" s="413"/>
      <c r="WSW10" s="413"/>
      <c r="WSX10" s="413"/>
      <c r="WSY10" s="514"/>
      <c r="WSZ10" s="515"/>
      <c r="WTA10" s="515"/>
      <c r="WTB10" s="515"/>
      <c r="WTC10" s="515"/>
      <c r="WTD10" s="515"/>
      <c r="WTE10" s="515"/>
      <c r="WTF10" s="515"/>
      <c r="WTG10" s="515"/>
      <c r="WTH10" s="515"/>
      <c r="WTI10" s="413"/>
      <c r="WTJ10" s="413"/>
      <c r="WTK10" s="413"/>
      <c r="WTL10" s="413"/>
      <c r="WTM10" s="413"/>
      <c r="WTN10" s="413"/>
      <c r="WTO10" s="413"/>
      <c r="WTP10" s="413"/>
      <c r="WTQ10" s="413"/>
      <c r="WTR10" s="413"/>
      <c r="WTS10" s="413"/>
      <c r="WTT10" s="514"/>
      <c r="WTU10" s="515"/>
      <c r="WTV10" s="515"/>
      <c r="WTW10" s="515"/>
      <c r="WTX10" s="515"/>
      <c r="WTY10" s="515"/>
      <c r="WTZ10" s="515"/>
      <c r="WUA10" s="515"/>
      <c r="WUB10" s="515"/>
      <c r="WUC10" s="515"/>
      <c r="WUD10" s="413"/>
      <c r="WUE10" s="413"/>
      <c r="WUF10" s="413"/>
      <c r="WUG10" s="413"/>
      <c r="WUH10" s="413"/>
      <c r="WUI10" s="413"/>
      <c r="WUJ10" s="413"/>
      <c r="WUK10" s="413"/>
      <c r="WUL10" s="413"/>
      <c r="WUM10" s="413"/>
      <c r="WUN10" s="413"/>
      <c r="WUO10" s="514"/>
      <c r="WUP10" s="515"/>
      <c r="WUQ10" s="515"/>
      <c r="WUR10" s="515"/>
      <c r="WUS10" s="515"/>
      <c r="WUT10" s="515"/>
      <c r="WUU10" s="515"/>
      <c r="WUV10" s="515"/>
      <c r="WUW10" s="515"/>
      <c r="WUX10" s="515"/>
      <c r="WUY10" s="413"/>
      <c r="WUZ10" s="413"/>
      <c r="WVA10" s="413"/>
      <c r="WVB10" s="413"/>
      <c r="WVC10" s="413"/>
      <c r="WVD10" s="413"/>
      <c r="WVE10" s="413"/>
      <c r="WVF10" s="413"/>
      <c r="WVG10" s="413"/>
      <c r="WVH10" s="413"/>
      <c r="WVI10" s="413"/>
      <c r="WVJ10" s="514"/>
      <c r="WVK10" s="515"/>
      <c r="WVL10" s="515"/>
      <c r="WVM10" s="515"/>
      <c r="WVN10" s="515"/>
      <c r="WVO10" s="515"/>
      <c r="WVP10" s="515"/>
      <c r="WVQ10" s="515"/>
      <c r="WVR10" s="515"/>
      <c r="WVS10" s="515"/>
      <c r="WVT10" s="413"/>
      <c r="WVU10" s="413"/>
      <c r="WVV10" s="413"/>
      <c r="WVW10" s="413"/>
      <c r="WVX10" s="413"/>
      <c r="WVY10" s="413"/>
      <c r="WVZ10" s="413"/>
      <c r="WWA10" s="413"/>
      <c r="WWB10" s="413"/>
      <c r="WWC10" s="413"/>
      <c r="WWD10" s="413"/>
      <c r="WWE10" s="514"/>
      <c r="WWF10" s="515"/>
      <c r="WWG10" s="515"/>
      <c r="WWH10" s="515"/>
      <c r="WWI10" s="515"/>
      <c r="WWJ10" s="515"/>
      <c r="WWK10" s="515"/>
      <c r="WWL10" s="515"/>
      <c r="WWM10" s="515"/>
      <c r="WWN10" s="515"/>
      <c r="WWO10" s="413"/>
      <c r="WWP10" s="413"/>
      <c r="WWQ10" s="413"/>
      <c r="WWR10" s="413"/>
      <c r="WWS10" s="413"/>
      <c r="WWT10" s="413"/>
      <c r="WWU10" s="413"/>
      <c r="WWV10" s="413"/>
      <c r="WWW10" s="413"/>
      <c r="WWX10" s="413"/>
      <c r="WWY10" s="413"/>
      <c r="WWZ10" s="514"/>
      <c r="WXA10" s="515"/>
      <c r="WXB10" s="515"/>
      <c r="WXC10" s="515"/>
      <c r="WXD10" s="515"/>
      <c r="WXE10" s="515"/>
      <c r="WXF10" s="515"/>
      <c r="WXG10" s="515"/>
      <c r="WXH10" s="515"/>
      <c r="WXI10" s="515"/>
      <c r="WXJ10" s="413"/>
      <c r="WXK10" s="413"/>
      <c r="WXL10" s="413"/>
      <c r="WXM10" s="413"/>
      <c r="WXN10" s="413"/>
      <c r="WXO10" s="413"/>
      <c r="WXP10" s="413"/>
      <c r="WXQ10" s="413"/>
      <c r="WXR10" s="413"/>
      <c r="WXS10" s="413"/>
      <c r="WXT10" s="413"/>
      <c r="WXU10" s="514"/>
      <c r="WXV10" s="515"/>
      <c r="WXW10" s="515"/>
      <c r="WXX10" s="515"/>
      <c r="WXY10" s="515"/>
      <c r="WXZ10" s="515"/>
      <c r="WYA10" s="515"/>
      <c r="WYB10" s="515"/>
      <c r="WYC10" s="515"/>
      <c r="WYD10" s="515"/>
      <c r="WYE10" s="413"/>
      <c r="WYF10" s="413"/>
      <c r="WYG10" s="413"/>
      <c r="WYH10" s="413"/>
      <c r="WYI10" s="413"/>
      <c r="WYJ10" s="413"/>
      <c r="WYK10" s="413"/>
      <c r="WYL10" s="413"/>
      <c r="WYM10" s="413"/>
      <c r="WYN10" s="413"/>
      <c r="WYO10" s="413"/>
      <c r="WYP10" s="514"/>
      <c r="WYQ10" s="515"/>
      <c r="WYR10" s="515"/>
      <c r="WYS10" s="515"/>
      <c r="WYT10" s="515"/>
      <c r="WYU10" s="515"/>
      <c r="WYV10" s="515"/>
      <c r="WYW10" s="515"/>
      <c r="WYX10" s="515"/>
      <c r="WYY10" s="515"/>
      <c r="WYZ10" s="413"/>
      <c r="WZA10" s="413"/>
      <c r="WZB10" s="413"/>
      <c r="WZC10" s="413"/>
      <c r="WZD10" s="413"/>
      <c r="WZE10" s="413"/>
      <c r="WZF10" s="413"/>
      <c r="WZG10" s="413"/>
      <c r="WZH10" s="413"/>
      <c r="WZI10" s="413"/>
      <c r="WZJ10" s="413"/>
      <c r="WZK10" s="514"/>
      <c r="WZL10" s="515"/>
      <c r="WZM10" s="515"/>
      <c r="WZN10" s="515"/>
      <c r="WZO10" s="515"/>
      <c r="WZP10" s="515"/>
      <c r="WZQ10" s="515"/>
      <c r="WZR10" s="515"/>
      <c r="WZS10" s="515"/>
      <c r="WZT10" s="515"/>
      <c r="WZU10" s="413"/>
      <c r="WZV10" s="413"/>
      <c r="WZW10" s="413"/>
      <c r="WZX10" s="413"/>
      <c r="WZY10" s="413"/>
      <c r="WZZ10" s="413"/>
      <c r="XAA10" s="413"/>
      <c r="XAB10" s="413"/>
      <c r="XAC10" s="413"/>
      <c r="XAD10" s="413"/>
      <c r="XAE10" s="413"/>
      <c r="XAF10" s="514"/>
      <c r="XAG10" s="515"/>
      <c r="XAH10" s="515"/>
      <c r="XAI10" s="515"/>
      <c r="XAJ10" s="515"/>
      <c r="XAK10" s="515"/>
      <c r="XAL10" s="515"/>
      <c r="XAM10" s="515"/>
      <c r="XAN10" s="515"/>
      <c r="XAO10" s="515"/>
      <c r="XAP10" s="413"/>
      <c r="XAQ10" s="413"/>
      <c r="XAR10" s="413"/>
      <c r="XAS10" s="413"/>
      <c r="XAT10" s="413"/>
      <c r="XAU10" s="413"/>
      <c r="XAV10" s="413"/>
      <c r="XAW10" s="413"/>
      <c r="XAX10" s="413"/>
      <c r="XAY10" s="413"/>
      <c r="XAZ10" s="413"/>
      <c r="XBA10" s="514"/>
      <c r="XBB10" s="515"/>
      <c r="XBC10" s="515"/>
      <c r="XBD10" s="515"/>
      <c r="XBE10" s="515"/>
      <c r="XBF10" s="515"/>
      <c r="XBG10" s="515"/>
      <c r="XBH10" s="515"/>
      <c r="XBI10" s="515"/>
      <c r="XBJ10" s="515"/>
      <c r="XBK10" s="413"/>
      <c r="XBL10" s="413"/>
      <c r="XBM10" s="413"/>
      <c r="XBN10" s="413"/>
      <c r="XBO10" s="413"/>
      <c r="XBP10" s="413"/>
      <c r="XBQ10" s="413"/>
      <c r="XBR10" s="413"/>
      <c r="XBS10" s="413"/>
      <c r="XBT10" s="413"/>
      <c r="XBU10" s="413"/>
      <c r="XBV10" s="514"/>
      <c r="XBW10" s="515"/>
      <c r="XBX10" s="515"/>
      <c r="XBY10" s="515"/>
      <c r="XBZ10" s="515"/>
      <c r="XCA10" s="515"/>
      <c r="XCB10" s="515"/>
      <c r="XCC10" s="515"/>
      <c r="XCD10" s="515"/>
      <c r="XCE10" s="515"/>
      <c r="XCF10" s="413"/>
      <c r="XCG10" s="413"/>
      <c r="XCH10" s="413"/>
      <c r="XCI10" s="413"/>
      <c r="XCJ10" s="413"/>
      <c r="XCK10" s="413"/>
      <c r="XCL10" s="413"/>
      <c r="XCM10" s="413"/>
      <c r="XCN10" s="413"/>
      <c r="XCO10" s="413"/>
      <c r="XCP10" s="413"/>
      <c r="XCQ10" s="514"/>
      <c r="XCR10" s="515"/>
      <c r="XCS10" s="515"/>
      <c r="XCT10" s="515"/>
      <c r="XCU10" s="515"/>
      <c r="XCV10" s="515"/>
      <c r="XCW10" s="515"/>
      <c r="XCX10" s="515"/>
      <c r="XCY10" s="515"/>
      <c r="XCZ10" s="515"/>
      <c r="XDA10" s="413"/>
      <c r="XDB10" s="413"/>
      <c r="XDC10" s="413"/>
      <c r="XDD10" s="413"/>
      <c r="XDE10" s="413"/>
      <c r="XDF10" s="413"/>
      <c r="XDG10" s="413"/>
      <c r="XDH10" s="413"/>
      <c r="XDI10" s="413"/>
      <c r="XDJ10" s="413"/>
      <c r="XDK10" s="413"/>
      <c r="XDL10" s="514"/>
      <c r="XDM10" s="515"/>
      <c r="XDN10" s="515"/>
      <c r="XDO10" s="515"/>
      <c r="XDP10" s="515"/>
      <c r="XDQ10" s="515"/>
      <c r="XDR10" s="515"/>
      <c r="XDS10" s="515"/>
      <c r="XDT10" s="515"/>
      <c r="XDU10" s="515"/>
      <c r="XDV10" s="413"/>
      <c r="XDW10" s="413"/>
      <c r="XDX10" s="413"/>
      <c r="XDY10" s="413"/>
      <c r="XDZ10" s="413"/>
      <c r="XEA10" s="413"/>
      <c r="XEB10" s="413"/>
      <c r="XEC10" s="413"/>
      <c r="XED10" s="413"/>
      <c r="XEE10" s="413"/>
      <c r="XEF10" s="413"/>
      <c r="XEG10" s="514"/>
      <c r="XEH10" s="515"/>
      <c r="XEI10" s="515"/>
      <c r="XEJ10" s="515"/>
      <c r="XEK10" s="515"/>
      <c r="XEL10" s="515"/>
      <c r="XEM10" s="515"/>
      <c r="XEN10" s="515"/>
      <c r="XEO10" s="515"/>
      <c r="XEP10" s="515"/>
      <c r="XEQ10" s="413"/>
      <c r="XER10" s="413"/>
      <c r="XES10" s="413"/>
      <c r="XET10" s="413"/>
      <c r="XEU10" s="413"/>
      <c r="XEV10" s="413"/>
      <c r="XEW10" s="413"/>
      <c r="XEX10" s="413"/>
      <c r="XEY10" s="413"/>
      <c r="XEZ10" s="413"/>
      <c r="XFA10" s="413"/>
    </row>
    <row r="11" spans="1:16381">
      <c r="A11">
        <f>'Input data'!A101</f>
        <v>2001</v>
      </c>
      <c r="C11" s="419">
        <f>'4A SWD Case 1'!BG71</f>
        <v>772.59611182276069</v>
      </c>
      <c r="D11" s="3">
        <f>'4B Biological treatment '!T64</f>
        <v>0</v>
      </c>
      <c r="E11" s="178">
        <f>'4B Biological treatment '!U64</f>
        <v>8.2296919054987896</v>
      </c>
      <c r="F11" s="178">
        <f>'4B Biological treatment '!W64</f>
        <v>0.49378151432992734</v>
      </c>
      <c r="G11" s="3">
        <f>'4C2 Open-burning '!R71</f>
        <v>27.113189746525975</v>
      </c>
      <c r="H11" s="3">
        <f>'4C2 Open-burning '!Z71</f>
        <v>9.1227582692999984</v>
      </c>
      <c r="I11" s="3">
        <f>'4C2 Open-burning '!AH71</f>
        <v>0.12700419261223875</v>
      </c>
      <c r="J11" s="317">
        <f>'4D Wastewater treatment and dis'!AV108</f>
        <v>104.21284839843599</v>
      </c>
      <c r="K11" s="3">
        <f>'4D Wastewater treatment and dis'!AW108</f>
        <v>2.2644243904796704</v>
      </c>
      <c r="L11" s="419">
        <f t="shared" ref="L11:L27" si="8">C11*$B$3</f>
        <v>16224.518348277974</v>
      </c>
      <c r="M11" s="3">
        <f t="shared" si="0"/>
        <v>0</v>
      </c>
      <c r="N11" s="419">
        <f t="shared" ref="N11:N27" si="9">E11*$B$3+F11*$C$3</f>
        <v>325.89579945775205</v>
      </c>
      <c r="O11" s="518">
        <f t="shared" ref="O11:O27" si="10">G11+H11*$B$3+I11*$C$3</f>
        <v>258.06241311161995</v>
      </c>
      <c r="P11" s="419">
        <f t="shared" ref="P11:P27" si="11">J11*$B$3+K11*$C$3</f>
        <v>2890.4413774158538</v>
      </c>
      <c r="Q11" s="519">
        <f t="shared" ref="Q11:Q27" si="12">L11</f>
        <v>16224.518348277974</v>
      </c>
      <c r="R11" s="520">
        <f t="shared" ref="R11:R27" si="13">M11+N11</f>
        <v>325.89579945775205</v>
      </c>
      <c r="S11" s="518">
        <f t="shared" ref="S11:S27" si="14">O11</f>
        <v>258.06241311161995</v>
      </c>
      <c r="T11" s="519">
        <f t="shared" ref="T11:T27" si="15">P11</f>
        <v>2890.4413774158538</v>
      </c>
      <c r="U11" s="519">
        <f t="shared" ref="U11:U27" si="16">SUM(Q11:T11)</f>
        <v>19698.917938263199</v>
      </c>
      <c r="V11" s="3"/>
      <c r="W11" s="596">
        <f t="shared" ref="W11:W27" si="17">A11</f>
        <v>2001</v>
      </c>
      <c r="X11" s="1101">
        <f t="shared" ref="X11:X27" si="18">Q11</f>
        <v>16224.518348277974</v>
      </c>
      <c r="Y11" s="1102">
        <f t="shared" ref="Y11:Y27" si="19">R11</f>
        <v>325.89579945775205</v>
      </c>
      <c r="Z11" s="1102">
        <f t="shared" ref="Z11:Z27" si="20">S11</f>
        <v>258.06241311161995</v>
      </c>
      <c r="AA11" s="1102">
        <f t="shared" ref="AA11:AA27" si="21">T11</f>
        <v>2890.4413774158538</v>
      </c>
      <c r="AB11" s="1144">
        <f t="shared" ref="AB11:AB60" si="22">SUM(X11:AA11)</f>
        <v>19698.917938263199</v>
      </c>
      <c r="AC11" s="1102"/>
      <c r="AD11" s="1101">
        <f t="shared" ref="AD11:AD26" si="23">Q11</f>
        <v>16224.518348277974</v>
      </c>
      <c r="AE11" s="1102">
        <f t="shared" ref="AE11:AE27" si="24">R11</f>
        <v>325.89579945775205</v>
      </c>
      <c r="AF11" s="1102">
        <f t="shared" ref="AF11:AF27" si="25">S11</f>
        <v>258.06241311161995</v>
      </c>
      <c r="AG11" s="1102">
        <f t="shared" ref="AG11:AG27" si="26">T11</f>
        <v>2890.4413774158538</v>
      </c>
      <c r="AH11" s="1144">
        <f t="shared" ref="AH11:AH26" si="27">SUM(AD11:AG11)</f>
        <v>19698.917938263199</v>
      </c>
      <c r="AI11" s="1424"/>
      <c r="AJ11" s="1101">
        <f t="shared" ref="AJ11:AJ27" si="28">X11</f>
        <v>16224.518348277974</v>
      </c>
      <c r="AK11" s="1102">
        <f t="shared" ref="AK11:AK27" si="29">Y11</f>
        <v>325.89579945775205</v>
      </c>
      <c r="AL11" s="1102">
        <f t="shared" ref="AL11:AL27" si="30">Z11</f>
        <v>258.06241311161995</v>
      </c>
      <c r="AM11" s="1102">
        <f t="shared" ref="AM11:AM27" si="31">AA11</f>
        <v>2890.4413774158538</v>
      </c>
      <c r="AN11" s="1144">
        <f t="shared" ref="AN11:AN27" si="32">AB11</f>
        <v>19698.917938263199</v>
      </c>
      <c r="AO11" s="1421"/>
      <c r="AP11" s="1101">
        <f t="shared" ref="AP11:AP26" si="33">Q11</f>
        <v>16224.518348277974</v>
      </c>
      <c r="AQ11" s="1102">
        <f t="shared" ref="AQ11:AQ26" si="34">R11</f>
        <v>325.89579945775205</v>
      </c>
      <c r="AR11" s="1102">
        <f t="shared" ref="AR11:AR26" si="35">S11</f>
        <v>258.06241311161995</v>
      </c>
      <c r="AS11" s="1102">
        <f t="shared" ref="AS11:AS26" si="36">T11</f>
        <v>2890.4413774158538</v>
      </c>
      <c r="AT11" s="1144">
        <f t="shared" ref="AT11:AT60" si="37">SUM(AP11:AS11)</f>
        <v>19698.917938263199</v>
      </c>
      <c r="AU11" s="1416"/>
      <c r="AV11" s="1101">
        <f t="shared" ref="AV11:AV27" si="38">X11</f>
        <v>16224.518348277974</v>
      </c>
      <c r="AW11" s="1102">
        <f t="shared" ref="AW11:AW27" si="39">Y11</f>
        <v>325.89579945775205</v>
      </c>
      <c r="AX11" s="1102">
        <f t="shared" ref="AX11:AX27" si="40">Z11</f>
        <v>258.06241311161995</v>
      </c>
      <c r="AY11" s="1102">
        <f t="shared" ref="AY11:AY27" si="41">AA11</f>
        <v>2890.4413774158538</v>
      </c>
      <c r="AZ11" s="1144">
        <f t="shared" ref="AZ11:AZ27" si="42">AB11</f>
        <v>19698.917938263199</v>
      </c>
      <c r="BA11" s="1426"/>
      <c r="BB11" s="1101">
        <f t="shared" ref="BB11:BB27" si="43">Q11</f>
        <v>16224.518348277974</v>
      </c>
      <c r="BC11" s="1102">
        <f t="shared" ref="BC11:BC27" si="44">R11</f>
        <v>325.89579945775205</v>
      </c>
      <c r="BD11" s="1102">
        <f t="shared" ref="BD11:BD27" si="45">S11</f>
        <v>258.06241311161995</v>
      </c>
      <c r="BE11" s="1102">
        <f t="shared" ref="BE11:BE27" si="46">T11</f>
        <v>2890.4413774158538</v>
      </c>
      <c r="BF11" s="1144">
        <f t="shared" ref="BF11:BF60" si="47">SUM(BB11:BE11)</f>
        <v>19698.917938263199</v>
      </c>
      <c r="BG11" s="1429"/>
      <c r="BH11" s="596">
        <f t="shared" ref="BH11:BH60" si="48">W11</f>
        <v>2001</v>
      </c>
      <c r="BI11" s="1102">
        <f>'Baseline data (from input)'!AZ57</f>
        <v>82.379942645636703</v>
      </c>
      <c r="BJ11" s="576">
        <f>'Baseline data (from input)'!BA57</f>
        <v>0.14206598628027978</v>
      </c>
      <c r="BK11" s="1103"/>
      <c r="BL11" s="1101">
        <f t="shared" ref="BL11:BL26" si="49">BI11</f>
        <v>82.379942645636703</v>
      </c>
      <c r="BM11" s="576">
        <f t="shared" ref="BM11:BM26" si="50">BJ11</f>
        <v>0.14206598628027978</v>
      </c>
      <c r="BN11" s="1103"/>
      <c r="BO11" s="1102">
        <f t="shared" si="6"/>
        <v>82.379942645636703</v>
      </c>
      <c r="BP11" s="417">
        <f t="shared" si="6"/>
        <v>0.14206598628027978</v>
      </c>
      <c r="BQ11" s="1103"/>
      <c r="BR11" s="1101">
        <f>'Baseline data (from input)'!AZ57</f>
        <v>82.379942645636703</v>
      </c>
      <c r="BS11" s="417">
        <f>'Baseline data (from input)'!BA57</f>
        <v>0.14206598628027978</v>
      </c>
      <c r="BT11" s="1103"/>
      <c r="BU11" s="1102">
        <f t="shared" si="7"/>
        <v>82.379942645636703</v>
      </c>
      <c r="BV11" s="417">
        <f t="shared" si="7"/>
        <v>0.14206598628027978</v>
      </c>
      <c r="BW11" s="1103"/>
      <c r="BX11" s="1101">
        <f t="shared" ref="BX11:BX25" si="51">BU11</f>
        <v>82.379942645636703</v>
      </c>
      <c r="BY11" s="417">
        <f t="shared" ref="BY11:BY25" si="52">BV11</f>
        <v>0.14206598628027978</v>
      </c>
      <c r="BZ11" s="1103"/>
      <c r="CA11" s="596">
        <v>2001</v>
      </c>
      <c r="CB11" s="649">
        <v>0</v>
      </c>
      <c r="CC11" s="417">
        <v>0</v>
      </c>
      <c r="CD11" s="417">
        <v>0</v>
      </c>
      <c r="CE11" s="525">
        <v>0</v>
      </c>
      <c r="CF11" s="649">
        <v>0</v>
      </c>
      <c r="CG11" s="417">
        <v>0</v>
      </c>
      <c r="CH11" s="417">
        <v>0</v>
      </c>
      <c r="CI11" s="525">
        <v>0</v>
      </c>
      <c r="CJ11" s="649">
        <v>0</v>
      </c>
      <c r="CK11" s="417">
        <v>0</v>
      </c>
      <c r="CL11" s="417">
        <v>0</v>
      </c>
      <c r="CM11" s="525">
        <v>0</v>
      </c>
    </row>
    <row r="12" spans="1:16381">
      <c r="A12">
        <f>'Input data'!A102</f>
        <v>2002</v>
      </c>
      <c r="C12" s="419">
        <f>'4A SWD Case 1'!BG72</f>
        <v>796.50310790670676</v>
      </c>
      <c r="D12" s="3">
        <f>'4B Biological treatment '!T65</f>
        <v>0</v>
      </c>
      <c r="E12" s="178">
        <f>'4B Biological treatment '!U65</f>
        <v>8.444918976572664</v>
      </c>
      <c r="F12" s="178">
        <f>'4B Biological treatment '!W65</f>
        <v>0.50669513859435988</v>
      </c>
      <c r="G12" s="3">
        <f>'4C2 Open-burning '!R72</f>
        <v>27.489309034258905</v>
      </c>
      <c r="H12" s="3">
        <f>'4C2 Open-burning '!Z72</f>
        <v>9.2493108945899998</v>
      </c>
      <c r="I12" s="3">
        <f>'4C2 Open-burning '!AH72</f>
        <v>0.12876601875335264</v>
      </c>
      <c r="J12" s="317">
        <f>'4D Wastewater treatment and dis'!AV109</f>
        <v>105.6585087091068</v>
      </c>
      <c r="K12" s="3">
        <f>'4D Wastewater treatment and dis'!AW109</f>
        <v>2.2958369131977472</v>
      </c>
      <c r="L12" s="419">
        <f t="shared" si="8"/>
        <v>16726.565266040841</v>
      </c>
      <c r="M12" s="3">
        <f t="shared" si="0"/>
        <v>0</v>
      </c>
      <c r="N12" s="419">
        <f t="shared" si="9"/>
        <v>334.41879147227752</v>
      </c>
      <c r="O12" s="518">
        <f t="shared" si="10"/>
        <v>261.64230363418824</v>
      </c>
      <c r="P12" s="419">
        <f t="shared" si="11"/>
        <v>2930.5381259825444</v>
      </c>
      <c r="Q12" s="519">
        <f t="shared" si="12"/>
        <v>16726.565266040841</v>
      </c>
      <c r="R12" s="520">
        <f t="shared" si="13"/>
        <v>334.41879147227752</v>
      </c>
      <c r="S12" s="518">
        <f t="shared" si="14"/>
        <v>261.64230363418824</v>
      </c>
      <c r="T12" s="519">
        <f t="shared" si="15"/>
        <v>2930.5381259825444</v>
      </c>
      <c r="U12" s="519">
        <f t="shared" si="16"/>
        <v>20253.164487129852</v>
      </c>
      <c r="V12" s="3"/>
      <c r="W12" s="596">
        <f t="shared" si="17"/>
        <v>2002</v>
      </c>
      <c r="X12" s="1101">
        <f t="shared" si="18"/>
        <v>16726.565266040841</v>
      </c>
      <c r="Y12" s="1102">
        <f t="shared" si="19"/>
        <v>334.41879147227752</v>
      </c>
      <c r="Z12" s="1102">
        <f t="shared" si="20"/>
        <v>261.64230363418824</v>
      </c>
      <c r="AA12" s="1102">
        <f t="shared" si="21"/>
        <v>2930.5381259825444</v>
      </c>
      <c r="AB12" s="1144">
        <f t="shared" si="22"/>
        <v>20253.164487129852</v>
      </c>
      <c r="AC12" s="1102"/>
      <c r="AD12" s="1101">
        <f t="shared" si="23"/>
        <v>16726.565266040841</v>
      </c>
      <c r="AE12" s="1102">
        <f t="shared" si="24"/>
        <v>334.41879147227752</v>
      </c>
      <c r="AF12" s="1102">
        <f t="shared" si="25"/>
        <v>261.64230363418824</v>
      </c>
      <c r="AG12" s="1102">
        <f t="shared" si="26"/>
        <v>2930.5381259825444</v>
      </c>
      <c r="AH12" s="1144">
        <f t="shared" si="27"/>
        <v>20253.164487129852</v>
      </c>
      <c r="AI12" s="1424"/>
      <c r="AJ12" s="1101">
        <f t="shared" si="28"/>
        <v>16726.565266040841</v>
      </c>
      <c r="AK12" s="1102">
        <f t="shared" si="29"/>
        <v>334.41879147227752</v>
      </c>
      <c r="AL12" s="1102">
        <f t="shared" si="30"/>
        <v>261.64230363418824</v>
      </c>
      <c r="AM12" s="1102">
        <f t="shared" si="31"/>
        <v>2930.5381259825444</v>
      </c>
      <c r="AN12" s="1144">
        <f t="shared" si="32"/>
        <v>20253.164487129852</v>
      </c>
      <c r="AO12" s="1421"/>
      <c r="AP12" s="1101">
        <f t="shared" si="33"/>
        <v>16726.565266040841</v>
      </c>
      <c r="AQ12" s="1102">
        <f t="shared" si="34"/>
        <v>334.41879147227752</v>
      </c>
      <c r="AR12" s="1102">
        <f t="shared" si="35"/>
        <v>261.64230363418824</v>
      </c>
      <c r="AS12" s="1102">
        <f t="shared" si="36"/>
        <v>2930.5381259825444</v>
      </c>
      <c r="AT12" s="1144">
        <f t="shared" si="37"/>
        <v>20253.164487129852</v>
      </c>
      <c r="AU12" s="1416"/>
      <c r="AV12" s="1101">
        <f t="shared" si="38"/>
        <v>16726.565266040841</v>
      </c>
      <c r="AW12" s="1102">
        <f t="shared" si="39"/>
        <v>334.41879147227752</v>
      </c>
      <c r="AX12" s="1102">
        <f t="shared" si="40"/>
        <v>261.64230363418824</v>
      </c>
      <c r="AY12" s="1102">
        <f t="shared" si="41"/>
        <v>2930.5381259825444</v>
      </c>
      <c r="AZ12" s="1144">
        <f t="shared" si="42"/>
        <v>20253.164487129852</v>
      </c>
      <c r="BA12" s="1426"/>
      <c r="BB12" s="1101">
        <f t="shared" si="43"/>
        <v>16726.565266040841</v>
      </c>
      <c r="BC12" s="1102">
        <f t="shared" si="44"/>
        <v>334.41879147227752</v>
      </c>
      <c r="BD12" s="1102">
        <f t="shared" si="45"/>
        <v>261.64230363418824</v>
      </c>
      <c r="BE12" s="1102">
        <f t="shared" si="46"/>
        <v>2930.5381259825444</v>
      </c>
      <c r="BF12" s="1144">
        <f t="shared" si="47"/>
        <v>20253.164487129852</v>
      </c>
      <c r="BG12" s="1429"/>
      <c r="BH12" s="596">
        <f t="shared" si="48"/>
        <v>2002</v>
      </c>
      <c r="BI12" s="1102">
        <f>'Baseline data (from input)'!AZ58</f>
        <v>84.827106639576471</v>
      </c>
      <c r="BJ12" s="576">
        <f>'Baseline data (from input)'!BA58</f>
        <v>0.14165538117972976</v>
      </c>
      <c r="BK12" s="1103"/>
      <c r="BL12" s="1101">
        <f t="shared" si="49"/>
        <v>84.827106639576471</v>
      </c>
      <c r="BM12" s="576">
        <f t="shared" si="50"/>
        <v>0.14165538117972976</v>
      </c>
      <c r="BN12" s="1103"/>
      <c r="BO12" s="1102">
        <f t="shared" si="6"/>
        <v>84.827106639576471</v>
      </c>
      <c r="BP12" s="417">
        <f t="shared" si="6"/>
        <v>0.14165538117972976</v>
      </c>
      <c r="BQ12" s="1103"/>
      <c r="BR12" s="1101">
        <f>'Baseline data (from input)'!AZ58</f>
        <v>84.827106639576471</v>
      </c>
      <c r="BS12" s="417">
        <f>'Baseline data (from input)'!BA58</f>
        <v>0.14165538117972976</v>
      </c>
      <c r="BT12" s="1103"/>
      <c r="BU12" s="1102">
        <f t="shared" si="7"/>
        <v>84.827106639576471</v>
      </c>
      <c r="BV12" s="417">
        <f t="shared" si="7"/>
        <v>0.14165538117972976</v>
      </c>
      <c r="BW12" s="1103"/>
      <c r="BX12" s="1101">
        <f t="shared" si="51"/>
        <v>84.827106639576471</v>
      </c>
      <c r="BY12" s="417">
        <f t="shared" si="52"/>
        <v>0.14165538117972976</v>
      </c>
      <c r="BZ12" s="1103"/>
      <c r="CA12" s="596">
        <v>2002</v>
      </c>
      <c r="CB12" s="649">
        <v>0</v>
      </c>
      <c r="CC12" s="417">
        <v>0</v>
      </c>
      <c r="CD12" s="417">
        <v>0</v>
      </c>
      <c r="CE12" s="525">
        <v>0</v>
      </c>
      <c r="CF12" s="649">
        <v>0</v>
      </c>
      <c r="CG12" s="417">
        <v>0</v>
      </c>
      <c r="CH12" s="417">
        <v>0</v>
      </c>
      <c r="CI12" s="525">
        <v>0</v>
      </c>
      <c r="CJ12" s="649">
        <v>0</v>
      </c>
      <c r="CK12" s="417">
        <v>0</v>
      </c>
      <c r="CL12" s="417">
        <v>0</v>
      </c>
      <c r="CM12" s="525">
        <v>0</v>
      </c>
    </row>
    <row r="13" spans="1:16381">
      <c r="A13">
        <f>'Input data'!A103</f>
        <v>2003</v>
      </c>
      <c r="C13" s="419">
        <f>'4A SWD Case 1'!BG73</f>
        <v>820.81324685394145</v>
      </c>
      <c r="D13" s="3">
        <f>'4B Biological treatment '!T66</f>
        <v>0</v>
      </c>
      <c r="E13" s="178">
        <f>'4B Biological treatment '!U66</f>
        <v>8.6286505068055757</v>
      </c>
      <c r="F13" s="178">
        <f>'4B Biological treatment '!W66</f>
        <v>0.51771903040833456</v>
      </c>
      <c r="G13" s="3">
        <f>'4C2 Open-burning '!R73</f>
        <v>27.841279411061944</v>
      </c>
      <c r="H13" s="3">
        <f>'4C2 Open-burning '!Z73</f>
        <v>9.3677381506799993</v>
      </c>
      <c r="I13" s="3">
        <f>'4C2 Open-burning '!AH73</f>
        <v>0.13041472604110449</v>
      </c>
      <c r="J13" s="317">
        <f>'4D Wastewater treatment and dis'!AV110</f>
        <v>107.01134973819363</v>
      </c>
      <c r="K13" s="3">
        <f>'4D Wastewater treatment and dis'!AW110</f>
        <v>2.3252325805246157</v>
      </c>
      <c r="L13" s="419">
        <f t="shared" si="8"/>
        <v>17237.078183932772</v>
      </c>
      <c r="M13" s="3">
        <f t="shared" si="0"/>
        <v>0</v>
      </c>
      <c r="N13" s="419">
        <f t="shared" si="9"/>
        <v>341.69456006950077</v>
      </c>
      <c r="O13" s="518">
        <f t="shared" si="10"/>
        <v>264.99234564808432</v>
      </c>
      <c r="P13" s="419">
        <f t="shared" si="11"/>
        <v>2968.0604444646974</v>
      </c>
      <c r="Q13" s="519">
        <f t="shared" si="12"/>
        <v>17237.078183932772</v>
      </c>
      <c r="R13" s="520">
        <f t="shared" si="13"/>
        <v>341.69456006950077</v>
      </c>
      <c r="S13" s="518">
        <f t="shared" si="14"/>
        <v>264.99234564808432</v>
      </c>
      <c r="T13" s="519">
        <f t="shared" si="15"/>
        <v>2968.0604444646974</v>
      </c>
      <c r="U13" s="519">
        <f t="shared" si="16"/>
        <v>20811.825534115051</v>
      </c>
      <c r="V13" s="3"/>
      <c r="W13" s="596">
        <f t="shared" si="17"/>
        <v>2003</v>
      </c>
      <c r="X13" s="1101">
        <f t="shared" si="18"/>
        <v>17237.078183932772</v>
      </c>
      <c r="Y13" s="1102">
        <f t="shared" si="19"/>
        <v>341.69456006950077</v>
      </c>
      <c r="Z13" s="1102">
        <f t="shared" si="20"/>
        <v>264.99234564808432</v>
      </c>
      <c r="AA13" s="1102">
        <f t="shared" si="21"/>
        <v>2968.0604444646974</v>
      </c>
      <c r="AB13" s="1144">
        <f t="shared" si="22"/>
        <v>20811.825534115051</v>
      </c>
      <c r="AC13" s="1102"/>
      <c r="AD13" s="1101">
        <f t="shared" si="23"/>
        <v>17237.078183932772</v>
      </c>
      <c r="AE13" s="1102">
        <f t="shared" si="24"/>
        <v>341.69456006950077</v>
      </c>
      <c r="AF13" s="1102">
        <f t="shared" si="25"/>
        <v>264.99234564808432</v>
      </c>
      <c r="AG13" s="1102">
        <f t="shared" si="26"/>
        <v>2968.0604444646974</v>
      </c>
      <c r="AH13" s="1144">
        <f t="shared" si="27"/>
        <v>20811.825534115051</v>
      </c>
      <c r="AI13" s="1424"/>
      <c r="AJ13" s="1101">
        <f t="shared" si="28"/>
        <v>17237.078183932772</v>
      </c>
      <c r="AK13" s="1102">
        <f t="shared" si="29"/>
        <v>341.69456006950077</v>
      </c>
      <c r="AL13" s="1102">
        <f t="shared" si="30"/>
        <v>264.99234564808432</v>
      </c>
      <c r="AM13" s="1102">
        <f t="shared" si="31"/>
        <v>2968.0604444646974</v>
      </c>
      <c r="AN13" s="1144">
        <f t="shared" si="32"/>
        <v>20811.825534115051</v>
      </c>
      <c r="AO13" s="1421"/>
      <c r="AP13" s="1101">
        <f t="shared" si="33"/>
        <v>17237.078183932772</v>
      </c>
      <c r="AQ13" s="1102">
        <f t="shared" si="34"/>
        <v>341.69456006950077</v>
      </c>
      <c r="AR13" s="1102">
        <f t="shared" si="35"/>
        <v>264.99234564808432</v>
      </c>
      <c r="AS13" s="1102">
        <f t="shared" si="36"/>
        <v>2968.0604444646974</v>
      </c>
      <c r="AT13" s="1144">
        <f t="shared" si="37"/>
        <v>20811.825534115051</v>
      </c>
      <c r="AU13" s="1416"/>
      <c r="AV13" s="1101">
        <f t="shared" si="38"/>
        <v>17237.078183932772</v>
      </c>
      <c r="AW13" s="1102">
        <f t="shared" si="39"/>
        <v>341.69456006950077</v>
      </c>
      <c r="AX13" s="1102">
        <f t="shared" si="40"/>
        <v>264.99234564808432</v>
      </c>
      <c r="AY13" s="1102">
        <f t="shared" si="41"/>
        <v>2968.0604444646974</v>
      </c>
      <c r="AZ13" s="1144">
        <f t="shared" si="42"/>
        <v>20811.825534115051</v>
      </c>
      <c r="BA13" s="1426"/>
      <c r="BB13" s="1101">
        <f t="shared" si="43"/>
        <v>17237.078183932772</v>
      </c>
      <c r="BC13" s="1102">
        <f t="shared" si="44"/>
        <v>341.69456006950077</v>
      </c>
      <c r="BD13" s="1102">
        <f t="shared" si="45"/>
        <v>264.99234564808432</v>
      </c>
      <c r="BE13" s="1102">
        <f t="shared" si="46"/>
        <v>2968.0604444646974</v>
      </c>
      <c r="BF13" s="1144">
        <f t="shared" si="47"/>
        <v>20811.825534115051</v>
      </c>
      <c r="BG13" s="1429"/>
      <c r="BH13" s="596">
        <f t="shared" si="48"/>
        <v>2003</v>
      </c>
      <c r="BI13" s="1102">
        <f>'Baseline data (from input)'!AZ59</f>
        <v>86.889003657342229</v>
      </c>
      <c r="BJ13" s="576">
        <f>'Baseline data (from input)'!BA59</f>
        <v>0.14846079430677495</v>
      </c>
      <c r="BK13" s="1103"/>
      <c r="BL13" s="1101">
        <f t="shared" si="49"/>
        <v>86.889003657342229</v>
      </c>
      <c r="BM13" s="576">
        <f t="shared" si="50"/>
        <v>0.14846079430677495</v>
      </c>
      <c r="BN13" s="1103"/>
      <c r="BO13" s="1102">
        <f t="shared" si="6"/>
        <v>86.889003657342229</v>
      </c>
      <c r="BP13" s="417">
        <f t="shared" si="6"/>
        <v>0.14846079430677495</v>
      </c>
      <c r="BQ13" s="1103"/>
      <c r="BR13" s="1101">
        <f>'Baseline data (from input)'!AZ59</f>
        <v>86.889003657342229</v>
      </c>
      <c r="BS13" s="417">
        <f>'Baseline data (from input)'!BA59</f>
        <v>0.14846079430677495</v>
      </c>
      <c r="BT13" s="1103"/>
      <c r="BU13" s="1102">
        <f t="shared" si="7"/>
        <v>86.889003657342229</v>
      </c>
      <c r="BV13" s="417">
        <f t="shared" si="7"/>
        <v>0.14846079430677495</v>
      </c>
      <c r="BW13" s="1103"/>
      <c r="BX13" s="1101">
        <f t="shared" si="51"/>
        <v>86.889003657342229</v>
      </c>
      <c r="BY13" s="417">
        <f t="shared" si="52"/>
        <v>0.14846079430677495</v>
      </c>
      <c r="BZ13" s="1103"/>
      <c r="CA13" s="596">
        <v>2003</v>
      </c>
      <c r="CB13" s="649">
        <v>0</v>
      </c>
      <c r="CC13" s="417">
        <v>0</v>
      </c>
      <c r="CD13" s="417">
        <v>0</v>
      </c>
      <c r="CE13" s="525">
        <v>0</v>
      </c>
      <c r="CF13" s="649">
        <v>0</v>
      </c>
      <c r="CG13" s="417">
        <v>0</v>
      </c>
      <c r="CH13" s="417">
        <v>0</v>
      </c>
      <c r="CI13" s="525">
        <v>0</v>
      </c>
      <c r="CJ13" s="649">
        <v>0</v>
      </c>
      <c r="CK13" s="417">
        <v>0</v>
      </c>
      <c r="CL13" s="417">
        <v>0</v>
      </c>
      <c r="CM13" s="525">
        <v>0</v>
      </c>
    </row>
    <row r="14" spans="1:16381">
      <c r="A14">
        <f>'Input data'!A104</f>
        <v>2004</v>
      </c>
      <c r="C14" s="419">
        <f>'4A SWD Case 1'!BG74</f>
        <v>842.11804623372825</v>
      </c>
      <c r="D14" s="3">
        <f>'4B Biological treatment '!T67</f>
        <v>0</v>
      </c>
      <c r="E14" s="178">
        <f>'4B Biological treatment '!U67</f>
        <v>8.888284316139849</v>
      </c>
      <c r="F14" s="178">
        <f>'4B Biological treatment '!W67</f>
        <v>0.53329705896839097</v>
      </c>
      <c r="G14" s="3">
        <f>'4C2 Open-burning '!R74</f>
        <v>28.172723213574585</v>
      </c>
      <c r="H14" s="3">
        <f>'4C2 Open-burning '!Z74</f>
        <v>9.4792588429499975</v>
      </c>
      <c r="I14" s="3">
        <f>'4C2 Open-burning '!AH74</f>
        <v>0.13196728230349858</v>
      </c>
      <c r="J14" s="317">
        <f>'4D Wastewater treatment and dis'!AV111</f>
        <v>108.28529437793402</v>
      </c>
      <c r="K14" s="3">
        <f>'4D Wastewater treatment and dis'!AW111</f>
        <v>2.3529139207689562</v>
      </c>
      <c r="L14" s="419">
        <f t="shared" si="8"/>
        <v>17684.478970908294</v>
      </c>
      <c r="M14" s="3">
        <f t="shared" si="0"/>
        <v>0</v>
      </c>
      <c r="N14" s="419">
        <f t="shared" si="9"/>
        <v>351.97605891913804</v>
      </c>
      <c r="O14" s="518">
        <f t="shared" si="10"/>
        <v>268.1470164296091</v>
      </c>
      <c r="P14" s="419">
        <f t="shared" si="11"/>
        <v>3003.3944973749908</v>
      </c>
      <c r="Q14" s="519">
        <f t="shared" si="12"/>
        <v>17684.478970908294</v>
      </c>
      <c r="R14" s="520">
        <f t="shared" si="13"/>
        <v>351.97605891913804</v>
      </c>
      <c r="S14" s="518">
        <f t="shared" si="14"/>
        <v>268.1470164296091</v>
      </c>
      <c r="T14" s="519">
        <f t="shared" si="15"/>
        <v>3003.3944973749908</v>
      </c>
      <c r="U14" s="519">
        <f t="shared" si="16"/>
        <v>21307.996543632031</v>
      </c>
      <c r="V14" s="3"/>
      <c r="W14" s="596">
        <f t="shared" si="17"/>
        <v>2004</v>
      </c>
      <c r="X14" s="1101">
        <f t="shared" si="18"/>
        <v>17684.478970908294</v>
      </c>
      <c r="Y14" s="1102">
        <f t="shared" si="19"/>
        <v>351.97605891913804</v>
      </c>
      <c r="Z14" s="1102">
        <f t="shared" si="20"/>
        <v>268.1470164296091</v>
      </c>
      <c r="AA14" s="1102">
        <f t="shared" si="21"/>
        <v>3003.3944973749908</v>
      </c>
      <c r="AB14" s="1144">
        <f t="shared" si="22"/>
        <v>21307.996543632031</v>
      </c>
      <c r="AC14" s="1102"/>
      <c r="AD14" s="1101">
        <f t="shared" si="23"/>
        <v>17684.478970908294</v>
      </c>
      <c r="AE14" s="1102">
        <f t="shared" si="24"/>
        <v>351.97605891913804</v>
      </c>
      <c r="AF14" s="1102">
        <f t="shared" si="25"/>
        <v>268.1470164296091</v>
      </c>
      <c r="AG14" s="1102">
        <f t="shared" si="26"/>
        <v>3003.3944973749908</v>
      </c>
      <c r="AH14" s="1144">
        <f t="shared" si="27"/>
        <v>21307.996543632031</v>
      </c>
      <c r="AI14" s="1424"/>
      <c r="AJ14" s="1101">
        <f t="shared" si="28"/>
        <v>17684.478970908294</v>
      </c>
      <c r="AK14" s="1102">
        <f t="shared" si="29"/>
        <v>351.97605891913804</v>
      </c>
      <c r="AL14" s="1102">
        <f t="shared" si="30"/>
        <v>268.1470164296091</v>
      </c>
      <c r="AM14" s="1102">
        <f t="shared" si="31"/>
        <v>3003.3944973749908</v>
      </c>
      <c r="AN14" s="1144">
        <f t="shared" si="32"/>
        <v>21307.996543632031</v>
      </c>
      <c r="AO14" s="1421"/>
      <c r="AP14" s="1101">
        <f t="shared" si="33"/>
        <v>17684.478970908294</v>
      </c>
      <c r="AQ14" s="1102">
        <f t="shared" si="34"/>
        <v>351.97605891913804</v>
      </c>
      <c r="AR14" s="1102">
        <f t="shared" si="35"/>
        <v>268.1470164296091</v>
      </c>
      <c r="AS14" s="1102">
        <f t="shared" si="36"/>
        <v>3003.3944973749908</v>
      </c>
      <c r="AT14" s="1144">
        <f t="shared" si="37"/>
        <v>21307.996543632031</v>
      </c>
      <c r="AU14" s="1416"/>
      <c r="AV14" s="1101">
        <f t="shared" si="38"/>
        <v>17684.478970908294</v>
      </c>
      <c r="AW14" s="1102">
        <f t="shared" si="39"/>
        <v>351.97605891913804</v>
      </c>
      <c r="AX14" s="1102">
        <f t="shared" si="40"/>
        <v>268.1470164296091</v>
      </c>
      <c r="AY14" s="1102">
        <f t="shared" si="41"/>
        <v>3003.3944973749908</v>
      </c>
      <c r="AZ14" s="1144">
        <f t="shared" si="42"/>
        <v>21307.996543632031</v>
      </c>
      <c r="BA14" s="1426"/>
      <c r="BB14" s="1101">
        <f t="shared" si="43"/>
        <v>17684.478970908294</v>
      </c>
      <c r="BC14" s="1102">
        <f t="shared" si="44"/>
        <v>351.97605891913804</v>
      </c>
      <c r="BD14" s="1102">
        <f t="shared" si="45"/>
        <v>268.1470164296091</v>
      </c>
      <c r="BE14" s="1102">
        <f t="shared" si="46"/>
        <v>3003.3944973749908</v>
      </c>
      <c r="BF14" s="1144">
        <f t="shared" si="47"/>
        <v>21307.996543632031</v>
      </c>
      <c r="BG14" s="1429"/>
      <c r="BH14" s="596">
        <f t="shared" si="48"/>
        <v>2004</v>
      </c>
      <c r="BI14" s="1102">
        <f>'Baseline data (from input)'!AZ60</f>
        <v>89.948580432548766</v>
      </c>
      <c r="BJ14" s="576">
        <f>'Baseline data (from input)'!BA60</f>
        <v>0.15511790699963962</v>
      </c>
      <c r="BK14" s="1103"/>
      <c r="BL14" s="1101">
        <f t="shared" si="49"/>
        <v>89.948580432548766</v>
      </c>
      <c r="BM14" s="576">
        <f t="shared" si="50"/>
        <v>0.15511790699963962</v>
      </c>
      <c r="BN14" s="1103"/>
      <c r="BO14" s="1102">
        <f t="shared" si="6"/>
        <v>89.948580432548766</v>
      </c>
      <c r="BP14" s="417">
        <f t="shared" si="6"/>
        <v>0.15511790699963962</v>
      </c>
      <c r="BQ14" s="1103"/>
      <c r="BR14" s="1101">
        <f>'Baseline data (from input)'!AZ60</f>
        <v>89.948580432548766</v>
      </c>
      <c r="BS14" s="417">
        <f>'Baseline data (from input)'!BA60</f>
        <v>0.15511790699963962</v>
      </c>
      <c r="BT14" s="1103"/>
      <c r="BU14" s="1102">
        <f t="shared" si="7"/>
        <v>89.948580432548766</v>
      </c>
      <c r="BV14" s="417">
        <f t="shared" si="7"/>
        <v>0.15511790699963962</v>
      </c>
      <c r="BW14" s="1103"/>
      <c r="BX14" s="1101">
        <f t="shared" si="51"/>
        <v>89.948580432548766</v>
      </c>
      <c r="BY14" s="417">
        <f t="shared" si="52"/>
        <v>0.15511790699963962</v>
      </c>
      <c r="BZ14" s="1103"/>
      <c r="CA14" s="596">
        <v>2004</v>
      </c>
      <c r="CB14" s="649">
        <v>0</v>
      </c>
      <c r="CC14" s="417">
        <v>0</v>
      </c>
      <c r="CD14" s="417">
        <v>0</v>
      </c>
      <c r="CE14" s="525">
        <v>0</v>
      </c>
      <c r="CF14" s="649">
        <v>0</v>
      </c>
      <c r="CG14" s="417">
        <v>0</v>
      </c>
      <c r="CH14" s="417">
        <v>0</v>
      </c>
      <c r="CI14" s="525">
        <v>0</v>
      </c>
      <c r="CJ14" s="649">
        <v>0</v>
      </c>
      <c r="CK14" s="417">
        <v>0</v>
      </c>
      <c r="CL14" s="417">
        <v>0</v>
      </c>
      <c r="CM14" s="525">
        <v>0</v>
      </c>
    </row>
    <row r="15" spans="1:16381">
      <c r="A15">
        <f>'Input data'!A105</f>
        <v>2005</v>
      </c>
      <c r="C15" s="419">
        <f>'4A SWD Case 1'!BG75</f>
        <v>860.88789690947181</v>
      </c>
      <c r="D15" s="3">
        <f>'4B Biological treatment '!T68</f>
        <v>0</v>
      </c>
      <c r="E15" s="178">
        <f>'4B Biological treatment '!U68</f>
        <v>9.1914532394110786</v>
      </c>
      <c r="F15" s="178">
        <f>'4B Biological treatment '!W68</f>
        <v>0.55148719436466476</v>
      </c>
      <c r="G15" s="3">
        <f>'4C2 Open-burning '!R75</f>
        <v>28.494507451715279</v>
      </c>
      <c r="H15" s="3">
        <f>'4C2 Open-burning '!Z75</f>
        <v>9.5875293875400001</v>
      </c>
      <c r="I15" s="3">
        <f>'4C2 Open-burning '!AH75</f>
        <v>0.13347459102454787</v>
      </c>
      <c r="J15" s="317">
        <f>'4D Wastewater treatment and dis'!AV112</f>
        <v>109.52211130504081</v>
      </c>
      <c r="K15" s="3">
        <f>'4D Wastewater treatment and dis'!AW112</f>
        <v>2.3797885188568135</v>
      </c>
      <c r="L15" s="419">
        <f t="shared" si="8"/>
        <v>18078.645835098909</v>
      </c>
      <c r="M15" s="3">
        <f t="shared" si="0"/>
        <v>0</v>
      </c>
      <c r="N15" s="419">
        <f t="shared" si="9"/>
        <v>363.98154828067868</v>
      </c>
      <c r="O15" s="518">
        <f t="shared" si="10"/>
        <v>271.20974780766511</v>
      </c>
      <c r="P15" s="419">
        <f t="shared" si="11"/>
        <v>3037.6987782514689</v>
      </c>
      <c r="Q15" s="519">
        <f t="shared" si="12"/>
        <v>18078.645835098909</v>
      </c>
      <c r="R15" s="520">
        <f t="shared" si="13"/>
        <v>363.98154828067868</v>
      </c>
      <c r="S15" s="518">
        <f t="shared" si="14"/>
        <v>271.20974780766511</v>
      </c>
      <c r="T15" s="519">
        <f t="shared" si="15"/>
        <v>3037.6987782514689</v>
      </c>
      <c r="U15" s="519">
        <f t="shared" si="16"/>
        <v>21751.53590943872</v>
      </c>
      <c r="V15" s="3"/>
      <c r="W15" s="596">
        <f t="shared" si="17"/>
        <v>2005</v>
      </c>
      <c r="X15" s="1101">
        <f t="shared" si="18"/>
        <v>18078.645835098909</v>
      </c>
      <c r="Y15" s="1102">
        <f t="shared" si="19"/>
        <v>363.98154828067868</v>
      </c>
      <c r="Z15" s="1102">
        <f t="shared" si="20"/>
        <v>271.20974780766511</v>
      </c>
      <c r="AA15" s="1102">
        <f t="shared" si="21"/>
        <v>3037.6987782514689</v>
      </c>
      <c r="AB15" s="1144">
        <f t="shared" si="22"/>
        <v>21751.53590943872</v>
      </c>
      <c r="AC15" s="1102"/>
      <c r="AD15" s="1101">
        <f t="shared" si="23"/>
        <v>18078.645835098909</v>
      </c>
      <c r="AE15" s="1102">
        <f t="shared" si="24"/>
        <v>363.98154828067868</v>
      </c>
      <c r="AF15" s="1102">
        <f t="shared" si="25"/>
        <v>271.20974780766511</v>
      </c>
      <c r="AG15" s="1102">
        <f t="shared" si="26"/>
        <v>3037.6987782514689</v>
      </c>
      <c r="AH15" s="1144">
        <f t="shared" si="27"/>
        <v>21751.53590943872</v>
      </c>
      <c r="AI15" s="1424"/>
      <c r="AJ15" s="1101">
        <f t="shared" si="28"/>
        <v>18078.645835098909</v>
      </c>
      <c r="AK15" s="1102">
        <f t="shared" si="29"/>
        <v>363.98154828067868</v>
      </c>
      <c r="AL15" s="1102">
        <f t="shared" si="30"/>
        <v>271.20974780766511</v>
      </c>
      <c r="AM15" s="1102">
        <f t="shared" si="31"/>
        <v>3037.6987782514689</v>
      </c>
      <c r="AN15" s="1144">
        <f t="shared" si="32"/>
        <v>21751.53590943872</v>
      </c>
      <c r="AO15" s="1421"/>
      <c r="AP15" s="1101">
        <f t="shared" si="33"/>
        <v>18078.645835098909</v>
      </c>
      <c r="AQ15" s="1102">
        <f t="shared" si="34"/>
        <v>363.98154828067868</v>
      </c>
      <c r="AR15" s="1102">
        <f t="shared" si="35"/>
        <v>271.20974780766511</v>
      </c>
      <c r="AS15" s="1102">
        <f t="shared" si="36"/>
        <v>3037.6987782514689</v>
      </c>
      <c r="AT15" s="1144">
        <f t="shared" si="37"/>
        <v>21751.53590943872</v>
      </c>
      <c r="AU15" s="1416"/>
      <c r="AV15" s="1101">
        <f t="shared" si="38"/>
        <v>18078.645835098909</v>
      </c>
      <c r="AW15" s="1102">
        <f t="shared" si="39"/>
        <v>363.98154828067868</v>
      </c>
      <c r="AX15" s="1102">
        <f t="shared" si="40"/>
        <v>271.20974780766511</v>
      </c>
      <c r="AY15" s="1102">
        <f t="shared" si="41"/>
        <v>3037.6987782514689</v>
      </c>
      <c r="AZ15" s="1144">
        <f t="shared" si="42"/>
        <v>21751.53590943872</v>
      </c>
      <c r="BA15" s="1426"/>
      <c r="BB15" s="1101">
        <f t="shared" si="43"/>
        <v>18078.645835098909</v>
      </c>
      <c r="BC15" s="1102">
        <f t="shared" si="44"/>
        <v>363.98154828067868</v>
      </c>
      <c r="BD15" s="1102">
        <f t="shared" si="45"/>
        <v>271.20974780766511</v>
      </c>
      <c r="BE15" s="1102">
        <f t="shared" si="46"/>
        <v>3037.6987782514689</v>
      </c>
      <c r="BF15" s="1144">
        <f t="shared" si="47"/>
        <v>21751.53590943872</v>
      </c>
      <c r="BG15" s="1429"/>
      <c r="BH15" s="596">
        <f t="shared" si="48"/>
        <v>2005</v>
      </c>
      <c r="BI15" s="1102">
        <f>'Baseline data (from input)'!AZ61</f>
        <v>93.578535957258509</v>
      </c>
      <c r="BJ15" s="576">
        <f>'Baseline data (from input)'!BA61</f>
        <v>0.16183945877552502</v>
      </c>
      <c r="BK15" s="1103"/>
      <c r="BL15" s="1101">
        <f t="shared" si="49"/>
        <v>93.578535957258509</v>
      </c>
      <c r="BM15" s="576">
        <f t="shared" si="50"/>
        <v>0.16183945877552502</v>
      </c>
      <c r="BN15" s="1103"/>
      <c r="BO15" s="1102">
        <f t="shared" si="6"/>
        <v>93.578535957258509</v>
      </c>
      <c r="BP15" s="417">
        <f t="shared" si="6"/>
        <v>0.16183945877552502</v>
      </c>
      <c r="BQ15" s="1103"/>
      <c r="BR15" s="1101">
        <f>'Baseline data (from input)'!AZ61</f>
        <v>93.578535957258509</v>
      </c>
      <c r="BS15" s="417">
        <f>'Baseline data (from input)'!BA61</f>
        <v>0.16183945877552502</v>
      </c>
      <c r="BT15" s="1103"/>
      <c r="BU15" s="1102">
        <f t="shared" si="7"/>
        <v>93.578535957258509</v>
      </c>
      <c r="BV15" s="417">
        <f t="shared" si="7"/>
        <v>0.16183945877552502</v>
      </c>
      <c r="BW15" s="1103"/>
      <c r="BX15" s="1101">
        <f t="shared" si="51"/>
        <v>93.578535957258509</v>
      </c>
      <c r="BY15" s="417">
        <f t="shared" si="52"/>
        <v>0.16183945877552502</v>
      </c>
      <c r="BZ15" s="1103"/>
      <c r="CA15" s="596">
        <v>2005</v>
      </c>
      <c r="CB15" s="649">
        <v>0</v>
      </c>
      <c r="CC15" s="417">
        <v>0</v>
      </c>
      <c r="CD15" s="417">
        <v>0</v>
      </c>
      <c r="CE15" s="525">
        <v>0</v>
      </c>
      <c r="CF15" s="649">
        <v>0</v>
      </c>
      <c r="CG15" s="417">
        <v>0</v>
      </c>
      <c r="CH15" s="417">
        <v>0</v>
      </c>
      <c r="CI15" s="525">
        <v>0</v>
      </c>
      <c r="CJ15" s="649">
        <v>0</v>
      </c>
      <c r="CK15" s="417">
        <v>0</v>
      </c>
      <c r="CL15" s="417">
        <v>0</v>
      </c>
      <c r="CM15" s="525">
        <v>0</v>
      </c>
    </row>
    <row r="16" spans="1:16381">
      <c r="A16">
        <f>'Input data'!A106</f>
        <v>2006</v>
      </c>
      <c r="C16" s="419">
        <f>'4A SWD Case 1'!BG76</f>
        <v>877.2580477650713</v>
      </c>
      <c r="D16" s="3">
        <f>'4B Biological treatment '!T69</f>
        <v>0</v>
      </c>
      <c r="E16" s="178">
        <f>'4B Biological treatment '!U69</f>
        <v>9.5249779788100835</v>
      </c>
      <c r="F16" s="178">
        <f>'4B Biological treatment '!W69</f>
        <v>0.57149867872860494</v>
      </c>
      <c r="G16" s="3">
        <f>'4C2 Open-burning '!R76</f>
        <v>28.816291689855966</v>
      </c>
      <c r="H16" s="3">
        <f>'4C2 Open-burning '!Z76</f>
        <v>9.695799932129999</v>
      </c>
      <c r="I16" s="3">
        <f>'4C2 Open-burning '!AH76</f>
        <v>0.13498189974559716</v>
      </c>
      <c r="J16" s="317">
        <f>'4D Wastewater treatment and dis'!AV113</f>
        <v>110.75892823214762</v>
      </c>
      <c r="K16" s="3">
        <f>'4D Wastewater treatment and dis'!AW113</f>
        <v>2.4066631169446708</v>
      </c>
      <c r="L16" s="419">
        <f t="shared" si="8"/>
        <v>18422.419003066498</v>
      </c>
      <c r="M16" s="3">
        <f t="shared" si="0"/>
        <v>0</v>
      </c>
      <c r="N16" s="419">
        <f t="shared" si="9"/>
        <v>377.18912796087932</v>
      </c>
      <c r="O16" s="518">
        <f t="shared" si="10"/>
        <v>274.27247918572107</v>
      </c>
      <c r="P16" s="419">
        <f t="shared" si="11"/>
        <v>3072.0030591279478</v>
      </c>
      <c r="Q16" s="519">
        <f t="shared" si="12"/>
        <v>18422.419003066498</v>
      </c>
      <c r="R16" s="520">
        <f t="shared" si="13"/>
        <v>377.18912796087932</v>
      </c>
      <c r="S16" s="518">
        <f t="shared" si="14"/>
        <v>274.27247918572107</v>
      </c>
      <c r="T16" s="519">
        <f t="shared" si="15"/>
        <v>3072.0030591279478</v>
      </c>
      <c r="U16" s="519">
        <f t="shared" si="16"/>
        <v>22145.883669341045</v>
      </c>
      <c r="V16" s="3"/>
      <c r="W16" s="596">
        <f t="shared" si="17"/>
        <v>2006</v>
      </c>
      <c r="X16" s="1101">
        <f t="shared" si="18"/>
        <v>18422.419003066498</v>
      </c>
      <c r="Y16" s="1102">
        <f t="shared" si="19"/>
        <v>377.18912796087932</v>
      </c>
      <c r="Z16" s="1102">
        <f t="shared" si="20"/>
        <v>274.27247918572107</v>
      </c>
      <c r="AA16" s="1102">
        <f t="shared" si="21"/>
        <v>3072.0030591279478</v>
      </c>
      <c r="AB16" s="1144">
        <f t="shared" si="22"/>
        <v>22145.883669341045</v>
      </c>
      <c r="AC16" s="1102"/>
      <c r="AD16" s="1101">
        <f t="shared" si="23"/>
        <v>18422.419003066498</v>
      </c>
      <c r="AE16" s="1102">
        <f t="shared" si="24"/>
        <v>377.18912796087932</v>
      </c>
      <c r="AF16" s="1102">
        <f t="shared" si="25"/>
        <v>274.27247918572107</v>
      </c>
      <c r="AG16" s="1102">
        <f t="shared" si="26"/>
        <v>3072.0030591279478</v>
      </c>
      <c r="AH16" s="1144">
        <f t="shared" si="27"/>
        <v>22145.883669341045</v>
      </c>
      <c r="AI16" s="1424"/>
      <c r="AJ16" s="1101">
        <f t="shared" si="28"/>
        <v>18422.419003066498</v>
      </c>
      <c r="AK16" s="1102">
        <f t="shared" si="29"/>
        <v>377.18912796087932</v>
      </c>
      <c r="AL16" s="1102">
        <f t="shared" si="30"/>
        <v>274.27247918572107</v>
      </c>
      <c r="AM16" s="1102">
        <f t="shared" si="31"/>
        <v>3072.0030591279478</v>
      </c>
      <c r="AN16" s="1144">
        <f t="shared" si="32"/>
        <v>22145.883669341045</v>
      </c>
      <c r="AO16" s="1421"/>
      <c r="AP16" s="1101">
        <f t="shared" si="33"/>
        <v>18422.419003066498</v>
      </c>
      <c r="AQ16" s="1102">
        <f t="shared" si="34"/>
        <v>377.18912796087932</v>
      </c>
      <c r="AR16" s="1102">
        <f t="shared" si="35"/>
        <v>274.27247918572107</v>
      </c>
      <c r="AS16" s="1102">
        <f t="shared" si="36"/>
        <v>3072.0030591279478</v>
      </c>
      <c r="AT16" s="1144">
        <f t="shared" si="37"/>
        <v>22145.883669341045</v>
      </c>
      <c r="AU16" s="1416"/>
      <c r="AV16" s="1101">
        <f t="shared" si="38"/>
        <v>18422.419003066498</v>
      </c>
      <c r="AW16" s="1102">
        <f t="shared" si="39"/>
        <v>377.18912796087932</v>
      </c>
      <c r="AX16" s="1102">
        <f t="shared" si="40"/>
        <v>274.27247918572107</v>
      </c>
      <c r="AY16" s="1102">
        <f t="shared" si="41"/>
        <v>3072.0030591279478</v>
      </c>
      <c r="AZ16" s="1144">
        <f t="shared" si="42"/>
        <v>22145.883669341045</v>
      </c>
      <c r="BA16" s="1426"/>
      <c r="BB16" s="1101">
        <f t="shared" si="43"/>
        <v>18422.419003066498</v>
      </c>
      <c r="BC16" s="1102">
        <f t="shared" si="44"/>
        <v>377.18912796087932</v>
      </c>
      <c r="BD16" s="1102">
        <f t="shared" si="45"/>
        <v>274.27247918572107</v>
      </c>
      <c r="BE16" s="1102">
        <f t="shared" si="46"/>
        <v>3072.0030591279478</v>
      </c>
      <c r="BF16" s="1144">
        <f t="shared" si="47"/>
        <v>22145.883669341045</v>
      </c>
      <c r="BG16" s="1429"/>
      <c r="BH16" s="596">
        <f t="shared" si="48"/>
        <v>2006</v>
      </c>
      <c r="BI16" s="1102">
        <f>'Baseline data (from input)'!AZ62</f>
        <v>97.600279208289834</v>
      </c>
      <c r="BJ16" s="576">
        <f>'Baseline data (from input)'!BA62</f>
        <v>0.16870960212290304</v>
      </c>
      <c r="BK16" s="1103"/>
      <c r="BL16" s="1101">
        <f t="shared" si="49"/>
        <v>97.600279208289834</v>
      </c>
      <c r="BM16" s="576">
        <f t="shared" si="50"/>
        <v>0.16870960212290304</v>
      </c>
      <c r="BN16" s="1103"/>
      <c r="BO16" s="1102">
        <f t="shared" si="6"/>
        <v>97.600279208289834</v>
      </c>
      <c r="BP16" s="417">
        <f t="shared" si="6"/>
        <v>0.16870960212290304</v>
      </c>
      <c r="BQ16" s="1103"/>
      <c r="BR16" s="1101">
        <f>'Baseline data (from input)'!AZ62</f>
        <v>97.600279208289834</v>
      </c>
      <c r="BS16" s="417">
        <f>'Baseline data (from input)'!BA62</f>
        <v>0.16870960212290304</v>
      </c>
      <c r="BT16" s="1103"/>
      <c r="BU16" s="1102">
        <f t="shared" si="7"/>
        <v>97.600279208289834</v>
      </c>
      <c r="BV16" s="417">
        <f t="shared" si="7"/>
        <v>0.16870960212290304</v>
      </c>
      <c r="BW16" s="1103"/>
      <c r="BX16" s="1101">
        <f t="shared" si="51"/>
        <v>97.600279208289834</v>
      </c>
      <c r="BY16" s="417">
        <f t="shared" si="52"/>
        <v>0.16870960212290304</v>
      </c>
      <c r="BZ16" s="1103"/>
      <c r="CA16" s="596">
        <v>2006</v>
      </c>
      <c r="CB16" s="649">
        <v>0</v>
      </c>
      <c r="CC16" s="417">
        <v>0</v>
      </c>
      <c r="CD16" s="417">
        <v>0</v>
      </c>
      <c r="CE16" s="525">
        <v>0</v>
      </c>
      <c r="CF16" s="649">
        <v>0</v>
      </c>
      <c r="CG16" s="417">
        <v>0</v>
      </c>
      <c r="CH16" s="417">
        <v>0</v>
      </c>
      <c r="CI16" s="525">
        <v>0</v>
      </c>
      <c r="CJ16" s="649">
        <v>0</v>
      </c>
      <c r="CK16" s="417">
        <v>0</v>
      </c>
      <c r="CL16" s="417">
        <v>0</v>
      </c>
      <c r="CM16" s="525">
        <v>0</v>
      </c>
    </row>
    <row r="17" spans="1:91">
      <c r="A17">
        <f>'Input data'!A107</f>
        <v>2007</v>
      </c>
      <c r="C17" s="419">
        <f>'4A SWD Case 1'!BG77</f>
        <v>891.22465160572233</v>
      </c>
      <c r="D17" s="3">
        <f>'4B Biological treatment '!T70</f>
        <v>0</v>
      </c>
      <c r="E17" s="178">
        <f>'4B Biological treatment '!U70</f>
        <v>9.8608309355157147</v>
      </c>
      <c r="F17" s="178">
        <f>'4B Biological treatment '!W70</f>
        <v>0.59164985613094279</v>
      </c>
      <c r="G17" s="3">
        <f>'4C2 Open-burning '!R77</f>
        <v>29.133849868583923</v>
      </c>
      <c r="H17" s="3">
        <f>'4C2 Open-burning '!Z77</f>
        <v>9.8026485371099987</v>
      </c>
      <c r="I17" s="3">
        <f>'4C2 Open-burning '!AH77</f>
        <v>0.13646941266730805</v>
      </c>
      <c r="J17" s="317">
        <f>'4D Wastewater treatment and dis'!AV114</f>
        <v>111.97950178497722</v>
      </c>
      <c r="K17" s="3">
        <f>'4D Wastewater treatment and dis'!AW114</f>
        <v>2.4331847653390661</v>
      </c>
      <c r="L17" s="419">
        <f t="shared" si="8"/>
        <v>18715.71768372017</v>
      </c>
      <c r="M17" s="3">
        <f t="shared" si="0"/>
        <v>0</v>
      </c>
      <c r="N17" s="419">
        <f t="shared" si="9"/>
        <v>390.48890504642225</v>
      </c>
      <c r="O17" s="518">
        <f t="shared" si="10"/>
        <v>277.29498707475938</v>
      </c>
      <c r="P17" s="419">
        <f t="shared" si="11"/>
        <v>3105.8568147396318</v>
      </c>
      <c r="Q17" s="519">
        <f t="shared" si="12"/>
        <v>18715.71768372017</v>
      </c>
      <c r="R17" s="520">
        <f t="shared" si="13"/>
        <v>390.48890504642225</v>
      </c>
      <c r="S17" s="518">
        <f t="shared" si="14"/>
        <v>277.29498707475938</v>
      </c>
      <c r="T17" s="519">
        <f t="shared" si="15"/>
        <v>3105.8568147396318</v>
      </c>
      <c r="U17" s="519">
        <f t="shared" si="16"/>
        <v>22489.358390580983</v>
      </c>
      <c r="V17" s="3"/>
      <c r="W17" s="596">
        <f t="shared" si="17"/>
        <v>2007</v>
      </c>
      <c r="X17" s="1101">
        <f t="shared" si="18"/>
        <v>18715.71768372017</v>
      </c>
      <c r="Y17" s="1102">
        <f t="shared" si="19"/>
        <v>390.48890504642225</v>
      </c>
      <c r="Z17" s="1102">
        <f t="shared" si="20"/>
        <v>277.29498707475938</v>
      </c>
      <c r="AA17" s="1102">
        <f t="shared" si="21"/>
        <v>3105.8568147396318</v>
      </c>
      <c r="AB17" s="1144">
        <f t="shared" si="22"/>
        <v>22489.358390580983</v>
      </c>
      <c r="AC17" s="1102"/>
      <c r="AD17" s="1101">
        <f t="shared" si="23"/>
        <v>18715.71768372017</v>
      </c>
      <c r="AE17" s="1102">
        <f t="shared" si="24"/>
        <v>390.48890504642225</v>
      </c>
      <c r="AF17" s="1102">
        <f t="shared" si="25"/>
        <v>277.29498707475938</v>
      </c>
      <c r="AG17" s="1102">
        <f t="shared" si="26"/>
        <v>3105.8568147396318</v>
      </c>
      <c r="AH17" s="1144">
        <f t="shared" si="27"/>
        <v>22489.358390580983</v>
      </c>
      <c r="AI17" s="1424"/>
      <c r="AJ17" s="1101">
        <f t="shared" si="28"/>
        <v>18715.71768372017</v>
      </c>
      <c r="AK17" s="1102">
        <f t="shared" si="29"/>
        <v>390.48890504642225</v>
      </c>
      <c r="AL17" s="1102">
        <f t="shared" si="30"/>
        <v>277.29498707475938</v>
      </c>
      <c r="AM17" s="1102">
        <f t="shared" si="31"/>
        <v>3105.8568147396318</v>
      </c>
      <c r="AN17" s="1144">
        <f t="shared" si="32"/>
        <v>22489.358390580983</v>
      </c>
      <c r="AO17" s="1421"/>
      <c r="AP17" s="1101">
        <f t="shared" si="33"/>
        <v>18715.71768372017</v>
      </c>
      <c r="AQ17" s="1102">
        <f t="shared" si="34"/>
        <v>390.48890504642225</v>
      </c>
      <c r="AR17" s="1102">
        <f t="shared" si="35"/>
        <v>277.29498707475938</v>
      </c>
      <c r="AS17" s="1102">
        <f t="shared" si="36"/>
        <v>3105.8568147396318</v>
      </c>
      <c r="AT17" s="1144">
        <f t="shared" si="37"/>
        <v>22489.358390580983</v>
      </c>
      <c r="AU17" s="1416"/>
      <c r="AV17" s="1101">
        <f t="shared" si="38"/>
        <v>18715.71768372017</v>
      </c>
      <c r="AW17" s="1102">
        <f t="shared" si="39"/>
        <v>390.48890504642225</v>
      </c>
      <c r="AX17" s="1102">
        <f t="shared" si="40"/>
        <v>277.29498707475938</v>
      </c>
      <c r="AY17" s="1102">
        <f t="shared" si="41"/>
        <v>3105.8568147396318</v>
      </c>
      <c r="AZ17" s="1144">
        <f t="shared" si="42"/>
        <v>22489.358390580983</v>
      </c>
      <c r="BA17" s="1426"/>
      <c r="BB17" s="1101">
        <f t="shared" si="43"/>
        <v>18715.71768372017</v>
      </c>
      <c r="BC17" s="1102">
        <f t="shared" si="44"/>
        <v>390.48890504642225</v>
      </c>
      <c r="BD17" s="1102">
        <f t="shared" si="45"/>
        <v>277.29498707475938</v>
      </c>
      <c r="BE17" s="1102">
        <f t="shared" si="46"/>
        <v>3105.8568147396318</v>
      </c>
      <c r="BF17" s="1144">
        <f t="shared" si="47"/>
        <v>22489.358390580983</v>
      </c>
      <c r="BG17" s="1429"/>
      <c r="BH17" s="596">
        <f t="shared" si="48"/>
        <v>2007</v>
      </c>
      <c r="BI17" s="1102">
        <f>'Baseline data (from input)'!AZ63</f>
        <v>101.65578698433902</v>
      </c>
      <c r="BJ17" s="576">
        <f>'Baseline data (from input)'!BA63</f>
        <v>0.17578055995833866</v>
      </c>
      <c r="BK17" s="1103"/>
      <c r="BL17" s="1101">
        <f t="shared" si="49"/>
        <v>101.65578698433902</v>
      </c>
      <c r="BM17" s="576">
        <f t="shared" si="50"/>
        <v>0.17578055995833866</v>
      </c>
      <c r="BN17" s="1103"/>
      <c r="BO17" s="1102">
        <f t="shared" si="6"/>
        <v>101.65578698433902</v>
      </c>
      <c r="BP17" s="417">
        <f t="shared" si="6"/>
        <v>0.17578055995833866</v>
      </c>
      <c r="BQ17" s="1103"/>
      <c r="BR17" s="1101">
        <f>'Baseline data (from input)'!AZ63</f>
        <v>101.65578698433902</v>
      </c>
      <c r="BS17" s="417">
        <f>'Baseline data (from input)'!BA63</f>
        <v>0.17578055995833866</v>
      </c>
      <c r="BT17" s="1103"/>
      <c r="BU17" s="1102">
        <f t="shared" si="7"/>
        <v>101.65578698433902</v>
      </c>
      <c r="BV17" s="417">
        <f t="shared" si="7"/>
        <v>0.17578055995833866</v>
      </c>
      <c r="BW17" s="1103"/>
      <c r="BX17" s="1101">
        <f t="shared" si="51"/>
        <v>101.65578698433902</v>
      </c>
      <c r="BY17" s="417">
        <f t="shared" si="52"/>
        <v>0.17578055995833866</v>
      </c>
      <c r="BZ17" s="1103"/>
      <c r="CA17" s="596">
        <v>2007</v>
      </c>
      <c r="CB17" s="649">
        <v>0</v>
      </c>
      <c r="CC17" s="417">
        <v>0</v>
      </c>
      <c r="CD17" s="417">
        <v>0</v>
      </c>
      <c r="CE17" s="525">
        <v>0</v>
      </c>
      <c r="CF17" s="649">
        <v>0</v>
      </c>
      <c r="CG17" s="417">
        <v>0</v>
      </c>
      <c r="CH17" s="417">
        <v>0</v>
      </c>
      <c r="CI17" s="525">
        <v>0</v>
      </c>
      <c r="CJ17" s="649">
        <v>0</v>
      </c>
      <c r="CK17" s="417">
        <v>0</v>
      </c>
      <c r="CL17" s="417">
        <v>0</v>
      </c>
      <c r="CM17" s="525">
        <v>0</v>
      </c>
    </row>
    <row r="18" spans="1:91">
      <c r="A18">
        <f>'Input data'!A108</f>
        <v>2008</v>
      </c>
      <c r="C18" s="419">
        <f>'4A SWD Case 1'!BG78</f>
        <v>902.62567912620875</v>
      </c>
      <c r="D18" s="3">
        <f>'4B Biological treatment '!T71</f>
        <v>0</v>
      </c>
      <c r="E18" s="178">
        <f>'4B Biological treatment '!U71</f>
        <v>10.089195099153775</v>
      </c>
      <c r="F18" s="178">
        <f>'4B Biological treatment '!W71</f>
        <v>0.60535170594922649</v>
      </c>
      <c r="G18" s="3">
        <f>'4C2 Open-burning '!R78</f>
        <v>29.457445275044357</v>
      </c>
      <c r="H18" s="3">
        <f>'4C2 Open-burning '!Z78</f>
        <v>9.9115284843900007</v>
      </c>
      <c r="I18" s="3">
        <f>'4C2 Open-burning '!AH78</f>
        <v>0.13798520530235953</v>
      </c>
      <c r="J18" s="317">
        <f>'4D Wastewater treatment and dis'!AV115</f>
        <v>113.22328015820281</v>
      </c>
      <c r="K18" s="3">
        <f>'4D Wastewater treatment and dis'!AW115</f>
        <v>2.4602106275812643</v>
      </c>
      <c r="L18" s="419">
        <f t="shared" si="8"/>
        <v>18955.139261650384</v>
      </c>
      <c r="M18" s="3">
        <f t="shared" si="0"/>
        <v>0</v>
      </c>
      <c r="N18" s="419">
        <f t="shared" si="9"/>
        <v>399.53212592648947</v>
      </c>
      <c r="O18" s="518">
        <f t="shared" si="10"/>
        <v>280.37495709096584</v>
      </c>
      <c r="P18" s="419">
        <f t="shared" si="11"/>
        <v>3140.3541778724511</v>
      </c>
      <c r="Q18" s="519">
        <f t="shared" si="12"/>
        <v>18955.139261650384</v>
      </c>
      <c r="R18" s="520">
        <f t="shared" si="13"/>
        <v>399.53212592648947</v>
      </c>
      <c r="S18" s="518">
        <f t="shared" si="14"/>
        <v>280.37495709096584</v>
      </c>
      <c r="T18" s="519">
        <f t="shared" si="15"/>
        <v>3140.3541778724511</v>
      </c>
      <c r="U18" s="519">
        <f t="shared" si="16"/>
        <v>22775.400522540291</v>
      </c>
      <c r="V18" s="3"/>
      <c r="W18" s="596">
        <f t="shared" si="17"/>
        <v>2008</v>
      </c>
      <c r="X18" s="1101">
        <f t="shared" si="18"/>
        <v>18955.139261650384</v>
      </c>
      <c r="Y18" s="1102">
        <f t="shared" si="19"/>
        <v>399.53212592648947</v>
      </c>
      <c r="Z18" s="1102">
        <f t="shared" si="20"/>
        <v>280.37495709096584</v>
      </c>
      <c r="AA18" s="1102">
        <f t="shared" si="21"/>
        <v>3140.3541778724511</v>
      </c>
      <c r="AB18" s="1144">
        <f t="shared" si="22"/>
        <v>22775.400522540291</v>
      </c>
      <c r="AC18" s="1102"/>
      <c r="AD18" s="1101">
        <f t="shared" si="23"/>
        <v>18955.139261650384</v>
      </c>
      <c r="AE18" s="1102">
        <f t="shared" si="24"/>
        <v>399.53212592648947</v>
      </c>
      <c r="AF18" s="1102">
        <f t="shared" si="25"/>
        <v>280.37495709096584</v>
      </c>
      <c r="AG18" s="1102">
        <f t="shared" si="26"/>
        <v>3140.3541778724511</v>
      </c>
      <c r="AH18" s="1144">
        <f t="shared" si="27"/>
        <v>22775.400522540291</v>
      </c>
      <c r="AI18" s="1424"/>
      <c r="AJ18" s="1101">
        <f t="shared" si="28"/>
        <v>18955.139261650384</v>
      </c>
      <c r="AK18" s="1102">
        <f t="shared" si="29"/>
        <v>399.53212592648947</v>
      </c>
      <c r="AL18" s="1102">
        <f t="shared" si="30"/>
        <v>280.37495709096584</v>
      </c>
      <c r="AM18" s="1102">
        <f t="shared" si="31"/>
        <v>3140.3541778724511</v>
      </c>
      <c r="AN18" s="1144">
        <f t="shared" si="32"/>
        <v>22775.400522540291</v>
      </c>
      <c r="AO18" s="1421"/>
      <c r="AP18" s="1101">
        <f t="shared" si="33"/>
        <v>18955.139261650384</v>
      </c>
      <c r="AQ18" s="1102">
        <f t="shared" si="34"/>
        <v>399.53212592648947</v>
      </c>
      <c r="AR18" s="1102">
        <f t="shared" si="35"/>
        <v>280.37495709096584</v>
      </c>
      <c r="AS18" s="1102">
        <f t="shared" si="36"/>
        <v>3140.3541778724511</v>
      </c>
      <c r="AT18" s="1144">
        <f t="shared" si="37"/>
        <v>22775.400522540291</v>
      </c>
      <c r="AU18" s="1416"/>
      <c r="AV18" s="1101">
        <f t="shared" si="38"/>
        <v>18955.139261650384</v>
      </c>
      <c r="AW18" s="1102">
        <f t="shared" si="39"/>
        <v>399.53212592648947</v>
      </c>
      <c r="AX18" s="1102">
        <f t="shared" si="40"/>
        <v>280.37495709096584</v>
      </c>
      <c r="AY18" s="1102">
        <f t="shared" si="41"/>
        <v>3140.3541778724511</v>
      </c>
      <c r="AZ18" s="1144">
        <f t="shared" si="42"/>
        <v>22775.400522540291</v>
      </c>
      <c r="BA18" s="1426"/>
      <c r="BB18" s="1101">
        <f t="shared" si="43"/>
        <v>18955.139261650384</v>
      </c>
      <c r="BC18" s="1102">
        <f t="shared" si="44"/>
        <v>399.53212592648947</v>
      </c>
      <c r="BD18" s="1102">
        <f t="shared" si="45"/>
        <v>280.37495709096584</v>
      </c>
      <c r="BE18" s="1102">
        <f t="shared" si="46"/>
        <v>3140.3541778724511</v>
      </c>
      <c r="BF18" s="1144">
        <f t="shared" si="47"/>
        <v>22775.400522540291</v>
      </c>
      <c r="BG18" s="1429"/>
      <c r="BH18" s="596">
        <f t="shared" si="48"/>
        <v>2008</v>
      </c>
      <c r="BI18" s="1102">
        <f>'Baseline data (from input)'!AZ64</f>
        <v>104.31868163232487</v>
      </c>
      <c r="BJ18" s="576">
        <f>'Baseline data (from input)'!BA64</f>
        <v>0.18312011170287262</v>
      </c>
      <c r="BK18" s="1103"/>
      <c r="BL18" s="1101">
        <f t="shared" si="49"/>
        <v>104.31868163232487</v>
      </c>
      <c r="BM18" s="576">
        <f t="shared" si="50"/>
        <v>0.18312011170287262</v>
      </c>
      <c r="BN18" s="1103"/>
      <c r="BO18" s="1102">
        <f t="shared" si="6"/>
        <v>104.31868163232487</v>
      </c>
      <c r="BP18" s="417">
        <f t="shared" si="6"/>
        <v>0.18312011170287262</v>
      </c>
      <c r="BQ18" s="1103"/>
      <c r="BR18" s="1101">
        <f>'Baseline data (from input)'!AZ64</f>
        <v>104.31868163232487</v>
      </c>
      <c r="BS18" s="417">
        <f>'Baseline data (from input)'!BA64</f>
        <v>0.18312011170287262</v>
      </c>
      <c r="BT18" s="1103"/>
      <c r="BU18" s="1102">
        <f t="shared" si="7"/>
        <v>104.31868163232487</v>
      </c>
      <c r="BV18" s="417">
        <f t="shared" si="7"/>
        <v>0.18312011170287262</v>
      </c>
      <c r="BW18" s="1103"/>
      <c r="BX18" s="1101">
        <f t="shared" si="51"/>
        <v>104.31868163232487</v>
      </c>
      <c r="BY18" s="417">
        <f t="shared" si="52"/>
        <v>0.18312011170287262</v>
      </c>
      <c r="BZ18" s="1103"/>
      <c r="CA18" s="596">
        <v>2008</v>
      </c>
      <c r="CB18" s="649">
        <v>0</v>
      </c>
      <c r="CC18" s="417">
        <v>0</v>
      </c>
      <c r="CD18" s="417">
        <v>0</v>
      </c>
      <c r="CE18" s="525">
        <v>0</v>
      </c>
      <c r="CF18" s="649">
        <v>0</v>
      </c>
      <c r="CG18" s="417">
        <v>0</v>
      </c>
      <c r="CH18" s="417">
        <v>0</v>
      </c>
      <c r="CI18" s="525">
        <v>0</v>
      </c>
      <c r="CJ18" s="649">
        <v>0</v>
      </c>
      <c r="CK18" s="417">
        <v>0</v>
      </c>
      <c r="CL18" s="417">
        <v>0</v>
      </c>
      <c r="CM18" s="525">
        <v>0</v>
      </c>
    </row>
    <row r="19" spans="1:91">
      <c r="A19">
        <f>'Input data'!A109</f>
        <v>2009</v>
      </c>
      <c r="C19" s="419">
        <f>'4A SWD Case 1'!BG79</f>
        <v>910.95502990079615</v>
      </c>
      <c r="D19" s="3">
        <f>'4B Biological treatment '!T72</f>
        <v>0</v>
      </c>
      <c r="E19" s="178">
        <f>'4B Biological treatment '!U72</f>
        <v>10.043831558273702</v>
      </c>
      <c r="F19" s="178">
        <f>'4B Biological treatment '!W72</f>
        <v>0.60262989349642204</v>
      </c>
      <c r="G19" s="3">
        <f>'4C2 Open-burning '!R79</f>
        <v>29.775607176545563</v>
      </c>
      <c r="H19" s="3">
        <f>'4C2 Open-burning '!Z79</f>
        <v>10.018580223600001</v>
      </c>
      <c r="I19" s="3">
        <f>'4C2 Open-burning '!AH79</f>
        <v>0.13947554619540448</v>
      </c>
      <c r="J19" s="317">
        <f>'4D Wastewater treatment and dis'!AV116</f>
        <v>114.446174193072</v>
      </c>
      <c r="K19" s="3">
        <f>'4D Wastewater treatment and dis'!AW116</f>
        <v>2.4867826973604399</v>
      </c>
      <c r="L19" s="419">
        <f t="shared" si="8"/>
        <v>19130.055627916718</v>
      </c>
      <c r="M19" s="3">
        <f t="shared" si="0"/>
        <v>0</v>
      </c>
      <c r="N19" s="419">
        <f t="shared" si="9"/>
        <v>397.7357297076386</v>
      </c>
      <c r="O19" s="518">
        <f t="shared" si="10"/>
        <v>283.40321119272096</v>
      </c>
      <c r="P19" s="419">
        <f t="shared" si="11"/>
        <v>3174.2722942362484</v>
      </c>
      <c r="Q19" s="519">
        <f t="shared" si="12"/>
        <v>19130.055627916718</v>
      </c>
      <c r="R19" s="520">
        <f t="shared" si="13"/>
        <v>397.7357297076386</v>
      </c>
      <c r="S19" s="518">
        <f t="shared" si="14"/>
        <v>283.40321119272096</v>
      </c>
      <c r="T19" s="519">
        <f t="shared" si="15"/>
        <v>3174.2722942362484</v>
      </c>
      <c r="U19" s="519">
        <f t="shared" si="16"/>
        <v>22985.466863053327</v>
      </c>
      <c r="V19" s="3"/>
      <c r="W19" s="596">
        <f t="shared" si="17"/>
        <v>2009</v>
      </c>
      <c r="X19" s="1101">
        <f t="shared" si="18"/>
        <v>19130.055627916718</v>
      </c>
      <c r="Y19" s="1102">
        <f t="shared" si="19"/>
        <v>397.7357297076386</v>
      </c>
      <c r="Z19" s="1102">
        <f t="shared" si="20"/>
        <v>283.40321119272096</v>
      </c>
      <c r="AA19" s="1102">
        <f t="shared" si="21"/>
        <v>3174.2722942362484</v>
      </c>
      <c r="AB19" s="1144">
        <f t="shared" si="22"/>
        <v>22985.466863053327</v>
      </c>
      <c r="AC19" s="1102"/>
      <c r="AD19" s="1101">
        <f t="shared" si="23"/>
        <v>19130.055627916718</v>
      </c>
      <c r="AE19" s="1102">
        <f t="shared" si="24"/>
        <v>397.7357297076386</v>
      </c>
      <c r="AF19" s="1102">
        <f t="shared" si="25"/>
        <v>283.40321119272096</v>
      </c>
      <c r="AG19" s="1102">
        <f t="shared" si="26"/>
        <v>3174.2722942362484</v>
      </c>
      <c r="AH19" s="1144">
        <f t="shared" si="27"/>
        <v>22985.466863053327</v>
      </c>
      <c r="AI19" s="1424"/>
      <c r="AJ19" s="1101">
        <f t="shared" si="28"/>
        <v>19130.055627916718</v>
      </c>
      <c r="AK19" s="1102">
        <f t="shared" si="29"/>
        <v>397.7357297076386</v>
      </c>
      <c r="AL19" s="1102">
        <f t="shared" si="30"/>
        <v>283.40321119272096</v>
      </c>
      <c r="AM19" s="1102">
        <f t="shared" si="31"/>
        <v>3174.2722942362484</v>
      </c>
      <c r="AN19" s="1144">
        <f t="shared" si="32"/>
        <v>22985.466863053327</v>
      </c>
      <c r="AO19" s="1421"/>
      <c r="AP19" s="1101">
        <f t="shared" si="33"/>
        <v>19130.055627916718</v>
      </c>
      <c r="AQ19" s="1102">
        <f t="shared" si="34"/>
        <v>397.7357297076386</v>
      </c>
      <c r="AR19" s="1102">
        <f t="shared" si="35"/>
        <v>283.40321119272096</v>
      </c>
      <c r="AS19" s="1102">
        <f t="shared" si="36"/>
        <v>3174.2722942362484</v>
      </c>
      <c r="AT19" s="1144">
        <f t="shared" si="37"/>
        <v>22985.466863053327</v>
      </c>
      <c r="AU19" s="1416"/>
      <c r="AV19" s="1101">
        <f t="shared" si="38"/>
        <v>19130.055627916718</v>
      </c>
      <c r="AW19" s="1102">
        <f t="shared" si="39"/>
        <v>397.7357297076386</v>
      </c>
      <c r="AX19" s="1102">
        <f t="shared" si="40"/>
        <v>283.40321119272096</v>
      </c>
      <c r="AY19" s="1102">
        <f t="shared" si="41"/>
        <v>3174.2722942362484</v>
      </c>
      <c r="AZ19" s="1144">
        <f t="shared" si="42"/>
        <v>22985.466863053327</v>
      </c>
      <c r="BA19" s="1426"/>
      <c r="BB19" s="1101">
        <f t="shared" si="43"/>
        <v>19130.055627916718</v>
      </c>
      <c r="BC19" s="1102">
        <f t="shared" si="44"/>
        <v>397.7357297076386</v>
      </c>
      <c r="BD19" s="1102">
        <f t="shared" si="45"/>
        <v>283.40321119272096</v>
      </c>
      <c r="BE19" s="1102">
        <f t="shared" si="46"/>
        <v>3174.2722942362484</v>
      </c>
      <c r="BF19" s="1144">
        <f t="shared" si="47"/>
        <v>22985.466863053327</v>
      </c>
      <c r="BG19" s="1429"/>
      <c r="BH19" s="596">
        <f t="shared" si="48"/>
        <v>2009</v>
      </c>
      <c r="BI19" s="1102">
        <f>'Baseline data (from input)'!AZ65</f>
        <v>103.45348307592756</v>
      </c>
      <c r="BJ19" s="576">
        <f>'Baseline data (from input)'!BA65</f>
        <v>0.19066176513932806</v>
      </c>
      <c r="BK19" s="1103"/>
      <c r="BL19" s="1101">
        <f t="shared" si="49"/>
        <v>103.45348307592756</v>
      </c>
      <c r="BM19" s="576">
        <f t="shared" si="50"/>
        <v>0.19066176513932806</v>
      </c>
      <c r="BN19" s="1103"/>
      <c r="BO19" s="1102">
        <f t="shared" si="6"/>
        <v>103.45348307592756</v>
      </c>
      <c r="BP19" s="417">
        <f t="shared" si="6"/>
        <v>0.19066176513932806</v>
      </c>
      <c r="BQ19" s="1103"/>
      <c r="BR19" s="1101">
        <f>'Baseline data (from input)'!AZ65</f>
        <v>103.45348307592756</v>
      </c>
      <c r="BS19" s="417">
        <f>'Baseline data (from input)'!BA65</f>
        <v>0.19066176513932806</v>
      </c>
      <c r="BT19" s="1103"/>
      <c r="BU19" s="1102">
        <f t="shared" si="7"/>
        <v>103.45348307592756</v>
      </c>
      <c r="BV19" s="417">
        <f t="shared" si="7"/>
        <v>0.19066176513932806</v>
      </c>
      <c r="BW19" s="1103"/>
      <c r="BX19" s="1101">
        <f t="shared" si="51"/>
        <v>103.45348307592756</v>
      </c>
      <c r="BY19" s="417">
        <f t="shared" si="52"/>
        <v>0.19066176513932806</v>
      </c>
      <c r="BZ19" s="1103"/>
      <c r="CA19" s="596">
        <v>2009</v>
      </c>
      <c r="CB19" s="649">
        <v>0</v>
      </c>
      <c r="CC19" s="417">
        <v>0</v>
      </c>
      <c r="CD19" s="417">
        <v>0</v>
      </c>
      <c r="CE19" s="525">
        <v>0</v>
      </c>
      <c r="CF19" s="649">
        <v>0</v>
      </c>
      <c r="CG19" s="417">
        <v>0</v>
      </c>
      <c r="CH19" s="417">
        <v>0</v>
      </c>
      <c r="CI19" s="525">
        <v>0</v>
      </c>
      <c r="CJ19" s="649">
        <v>0</v>
      </c>
      <c r="CK19" s="417">
        <v>0</v>
      </c>
      <c r="CL19" s="417">
        <v>0</v>
      </c>
      <c r="CM19" s="525">
        <v>0</v>
      </c>
    </row>
    <row r="20" spans="1:91">
      <c r="A20">
        <f>'Input data'!A110</f>
        <v>2010</v>
      </c>
      <c r="C20" s="419">
        <f>'4A SWD Case 1'!BG80</f>
        <v>915.47458559987865</v>
      </c>
      <c r="D20" s="3">
        <f>'4B Biological treatment '!T73</f>
        <v>0</v>
      </c>
      <c r="E20" s="178">
        <f>'4B Biological treatment '!U73</f>
        <v>11.555193746516142</v>
      </c>
      <c r="F20" s="178">
        <f>'4B Biological treatment '!W73</f>
        <v>0.69331162479096853</v>
      </c>
      <c r="G20" s="3">
        <f>'4C2 Open-burning '!R80</f>
        <v>30.375144438652775</v>
      </c>
      <c r="H20" s="3">
        <f>'4C2 Open-burning '!Z80</f>
        <v>10.220306157242419</v>
      </c>
      <c r="I20" s="3">
        <f>'4C2 Open-burning '!AH80</f>
        <v>0.14228391166721827</v>
      </c>
      <c r="J20" s="317">
        <f>'4D Wastewater treatment and dis'!AV117</f>
        <v>115.72243931485201</v>
      </c>
      <c r="K20" s="3">
        <f>'4D Wastewater treatment and dis'!AW117</f>
        <v>2.5145144589895607</v>
      </c>
      <c r="L20" s="419">
        <f t="shared" si="8"/>
        <v>19224.966297597453</v>
      </c>
      <c r="M20" s="3">
        <f t="shared" si="0"/>
        <v>0</v>
      </c>
      <c r="N20" s="419">
        <f t="shared" si="9"/>
        <v>457.58567236203919</v>
      </c>
      <c r="O20" s="518">
        <f t="shared" si="10"/>
        <v>289.10958635758124</v>
      </c>
      <c r="P20" s="419">
        <f t="shared" si="11"/>
        <v>3209.670707898656</v>
      </c>
      <c r="Q20" s="519">
        <f t="shared" si="12"/>
        <v>19224.966297597453</v>
      </c>
      <c r="R20" s="521">
        <f t="shared" si="13"/>
        <v>457.58567236203919</v>
      </c>
      <c r="S20" s="518">
        <f t="shared" si="14"/>
        <v>289.10958635758124</v>
      </c>
      <c r="T20" s="519">
        <f t="shared" si="15"/>
        <v>3209.670707898656</v>
      </c>
      <c r="U20" s="519">
        <f t="shared" si="16"/>
        <v>23181.332264215729</v>
      </c>
      <c r="V20" s="3"/>
      <c r="W20" s="596">
        <f t="shared" si="17"/>
        <v>2010</v>
      </c>
      <c r="X20" s="1101">
        <f t="shared" si="18"/>
        <v>19224.966297597453</v>
      </c>
      <c r="Y20" s="1102">
        <f t="shared" si="19"/>
        <v>457.58567236203919</v>
      </c>
      <c r="Z20" s="1102">
        <f t="shared" si="20"/>
        <v>289.10958635758124</v>
      </c>
      <c r="AA20" s="1102">
        <f t="shared" si="21"/>
        <v>3209.670707898656</v>
      </c>
      <c r="AB20" s="1144">
        <f t="shared" si="22"/>
        <v>23181.332264215729</v>
      </c>
      <c r="AC20" s="1102"/>
      <c r="AD20" s="1101">
        <f t="shared" si="23"/>
        <v>19224.966297597453</v>
      </c>
      <c r="AE20" s="1102">
        <f t="shared" si="24"/>
        <v>457.58567236203919</v>
      </c>
      <c r="AF20" s="1102">
        <f t="shared" si="25"/>
        <v>289.10958635758124</v>
      </c>
      <c r="AG20" s="1102">
        <f t="shared" si="26"/>
        <v>3209.670707898656</v>
      </c>
      <c r="AH20" s="1144">
        <f t="shared" si="27"/>
        <v>23181.332264215729</v>
      </c>
      <c r="AI20" s="1424"/>
      <c r="AJ20" s="1101">
        <f t="shared" si="28"/>
        <v>19224.966297597453</v>
      </c>
      <c r="AK20" s="1102">
        <f t="shared" si="29"/>
        <v>457.58567236203919</v>
      </c>
      <c r="AL20" s="1102">
        <f t="shared" si="30"/>
        <v>289.10958635758124</v>
      </c>
      <c r="AM20" s="1102">
        <f t="shared" si="31"/>
        <v>3209.670707898656</v>
      </c>
      <c r="AN20" s="1144">
        <f t="shared" si="32"/>
        <v>23181.332264215729</v>
      </c>
      <c r="AO20" s="1421"/>
      <c r="AP20" s="1101">
        <f t="shared" si="33"/>
        <v>19224.966297597453</v>
      </c>
      <c r="AQ20" s="1102">
        <f t="shared" si="34"/>
        <v>457.58567236203919</v>
      </c>
      <c r="AR20" s="1102">
        <f t="shared" si="35"/>
        <v>289.10958635758124</v>
      </c>
      <c r="AS20" s="1102">
        <f t="shared" si="36"/>
        <v>3209.670707898656</v>
      </c>
      <c r="AT20" s="1144">
        <f t="shared" si="37"/>
        <v>23181.332264215729</v>
      </c>
      <c r="AU20" s="1416"/>
      <c r="AV20" s="1101">
        <f t="shared" si="38"/>
        <v>19224.966297597453</v>
      </c>
      <c r="AW20" s="1102">
        <f t="shared" si="39"/>
        <v>457.58567236203919</v>
      </c>
      <c r="AX20" s="1102">
        <f t="shared" si="40"/>
        <v>289.10958635758124</v>
      </c>
      <c r="AY20" s="1102">
        <f t="shared" si="41"/>
        <v>3209.670707898656</v>
      </c>
      <c r="AZ20" s="1144">
        <f t="shared" si="42"/>
        <v>23181.332264215729</v>
      </c>
      <c r="BA20" s="1426"/>
      <c r="BB20" s="1101">
        <f t="shared" si="43"/>
        <v>19224.966297597453</v>
      </c>
      <c r="BC20" s="1102">
        <f t="shared" si="44"/>
        <v>457.58567236203919</v>
      </c>
      <c r="BD20" s="1102">
        <f t="shared" si="45"/>
        <v>289.10958635758124</v>
      </c>
      <c r="BE20" s="1102">
        <f t="shared" si="46"/>
        <v>3209.670707898656</v>
      </c>
      <c r="BF20" s="1144">
        <f t="shared" si="47"/>
        <v>23181.332264215729</v>
      </c>
      <c r="BG20" s="1429"/>
      <c r="BH20" s="596">
        <f t="shared" si="48"/>
        <v>2010</v>
      </c>
      <c r="BI20" s="1102">
        <f>'Baseline data (from input)'!AZ66</f>
        <v>105.08595489277583</v>
      </c>
      <c r="BJ20" s="576">
        <f>'Baseline data (from input)'!BA66</f>
        <v>0.20918157256289699</v>
      </c>
      <c r="BK20" s="1103"/>
      <c r="BL20" s="1101">
        <f t="shared" si="49"/>
        <v>105.08595489277583</v>
      </c>
      <c r="BM20" s="576">
        <f t="shared" si="50"/>
        <v>0.20918157256289699</v>
      </c>
      <c r="BN20" s="1103"/>
      <c r="BO20" s="1102">
        <f t="shared" si="6"/>
        <v>105.08595489277583</v>
      </c>
      <c r="BP20" s="417">
        <f t="shared" si="6"/>
        <v>0.20918157256289699</v>
      </c>
      <c r="BQ20" s="1103"/>
      <c r="BR20" s="1101">
        <f>'Baseline data (from input)'!AZ66</f>
        <v>105.08595489277583</v>
      </c>
      <c r="BS20" s="417">
        <f>'Baseline data (from input)'!BA66</f>
        <v>0.20918157256289699</v>
      </c>
      <c r="BT20" s="1103"/>
      <c r="BU20" s="1102">
        <f t="shared" si="7"/>
        <v>105.08595489277583</v>
      </c>
      <c r="BV20" s="417">
        <f t="shared" si="7"/>
        <v>0.20918157256289699</v>
      </c>
      <c r="BW20" s="1103"/>
      <c r="BX20" s="1101">
        <f t="shared" si="51"/>
        <v>105.08595489277583</v>
      </c>
      <c r="BY20" s="417">
        <f t="shared" si="52"/>
        <v>0.20918157256289699</v>
      </c>
      <c r="BZ20" s="1103"/>
      <c r="CA20" s="596">
        <v>2010</v>
      </c>
      <c r="CB20" s="649">
        <v>0</v>
      </c>
      <c r="CC20" s="417">
        <v>0</v>
      </c>
      <c r="CD20" s="417">
        <v>0</v>
      </c>
      <c r="CE20" s="525">
        <v>0</v>
      </c>
      <c r="CF20" s="649">
        <v>0</v>
      </c>
      <c r="CG20" s="417">
        <v>0</v>
      </c>
      <c r="CH20" s="417">
        <v>0</v>
      </c>
      <c r="CI20" s="525">
        <v>0</v>
      </c>
      <c r="CJ20" s="649">
        <v>0</v>
      </c>
      <c r="CK20" s="417">
        <v>0</v>
      </c>
      <c r="CL20" s="417">
        <v>0</v>
      </c>
      <c r="CM20" s="525">
        <v>0</v>
      </c>
    </row>
    <row r="21" spans="1:91">
      <c r="A21">
        <f>'Input data'!A111</f>
        <v>2011</v>
      </c>
      <c r="C21" s="419">
        <f>'4A SWD Case 1'!BG81</f>
        <v>914.37390902502761</v>
      </c>
      <c r="D21" s="3">
        <f>'4B Biological treatment '!T74</f>
        <v>0.1937524457517886</v>
      </c>
      <c r="E21" s="178">
        <f>'4B Biological treatment '!U74</f>
        <v>12.229556791601143</v>
      </c>
      <c r="F21" s="178">
        <f>'4B Biological treatment '!W74</f>
        <v>0.73377340749606856</v>
      </c>
      <c r="G21" s="3">
        <f>'4C2 Open-burning '!R81</f>
        <v>31.719552574673102</v>
      </c>
      <c r="H21" s="3">
        <f>'4C2 Open-burning '!Z81</f>
        <v>10.672658335457273</v>
      </c>
      <c r="I21" s="3">
        <f>'4C2 Open-burning '!AH81</f>
        <v>0.14858141747353765</v>
      </c>
      <c r="J21" s="317">
        <f>'4D Wastewater treatment and dis'!AV118</f>
        <v>120.13367567213163</v>
      </c>
      <c r="K21" s="3">
        <f>'4D Wastewater treatment and dis'!AW118</f>
        <v>2.6103655114567585</v>
      </c>
      <c r="L21" s="419">
        <f t="shared" si="8"/>
        <v>19201.852089525579</v>
      </c>
      <c r="M21" s="3">
        <f t="shared" si="0"/>
        <v>4.0688013607875604</v>
      </c>
      <c r="N21" s="419">
        <f t="shared" si="9"/>
        <v>484.29044894740525</v>
      </c>
      <c r="O21" s="518">
        <f t="shared" si="10"/>
        <v>301.9056170360725</v>
      </c>
      <c r="P21" s="419">
        <f t="shared" si="11"/>
        <v>3332.0204976663595</v>
      </c>
      <c r="Q21" s="519">
        <f t="shared" si="12"/>
        <v>19201.852089525579</v>
      </c>
      <c r="R21" s="521">
        <f t="shared" si="13"/>
        <v>488.35925030819283</v>
      </c>
      <c r="S21" s="518">
        <f t="shared" si="14"/>
        <v>301.9056170360725</v>
      </c>
      <c r="T21" s="519">
        <f t="shared" si="15"/>
        <v>3332.0204976663595</v>
      </c>
      <c r="U21" s="519">
        <f t="shared" si="16"/>
        <v>23324.137454536201</v>
      </c>
      <c r="V21" s="3"/>
      <c r="W21" s="596">
        <f t="shared" si="17"/>
        <v>2011</v>
      </c>
      <c r="X21" s="1101">
        <f t="shared" si="18"/>
        <v>19201.852089525579</v>
      </c>
      <c r="Y21" s="1102">
        <f t="shared" si="19"/>
        <v>488.35925030819283</v>
      </c>
      <c r="Z21" s="1102">
        <f t="shared" si="20"/>
        <v>301.9056170360725</v>
      </c>
      <c r="AA21" s="1102">
        <f t="shared" si="21"/>
        <v>3332.0204976663595</v>
      </c>
      <c r="AB21" s="1144">
        <f t="shared" si="22"/>
        <v>23324.137454536201</v>
      </c>
      <c r="AC21" s="1102"/>
      <c r="AD21" s="1101">
        <f t="shared" si="23"/>
        <v>19201.852089525579</v>
      </c>
      <c r="AE21" s="1102">
        <f t="shared" si="24"/>
        <v>488.35925030819283</v>
      </c>
      <c r="AF21" s="1102">
        <f t="shared" si="25"/>
        <v>301.9056170360725</v>
      </c>
      <c r="AG21" s="1102">
        <f t="shared" si="26"/>
        <v>3332.0204976663595</v>
      </c>
      <c r="AH21" s="1144">
        <f t="shared" si="27"/>
        <v>23324.137454536201</v>
      </c>
      <c r="AI21" s="1424"/>
      <c r="AJ21" s="1101">
        <f t="shared" si="28"/>
        <v>19201.852089525579</v>
      </c>
      <c r="AK21" s="1102">
        <f t="shared" si="29"/>
        <v>488.35925030819283</v>
      </c>
      <c r="AL21" s="1102">
        <f t="shared" si="30"/>
        <v>301.9056170360725</v>
      </c>
      <c r="AM21" s="1102">
        <f t="shared" si="31"/>
        <v>3332.0204976663595</v>
      </c>
      <c r="AN21" s="1144">
        <f t="shared" si="32"/>
        <v>23324.137454536201</v>
      </c>
      <c r="AO21" s="1421"/>
      <c r="AP21" s="1101">
        <f t="shared" si="33"/>
        <v>19201.852089525579</v>
      </c>
      <c r="AQ21" s="1102">
        <f t="shared" si="34"/>
        <v>488.35925030819283</v>
      </c>
      <c r="AR21" s="1102">
        <f t="shared" si="35"/>
        <v>301.9056170360725</v>
      </c>
      <c r="AS21" s="1102">
        <f t="shared" si="36"/>
        <v>3332.0204976663595</v>
      </c>
      <c r="AT21" s="1144">
        <f t="shared" si="37"/>
        <v>23324.137454536201</v>
      </c>
      <c r="AU21" s="1416"/>
      <c r="AV21" s="1101">
        <f t="shared" si="38"/>
        <v>19201.852089525579</v>
      </c>
      <c r="AW21" s="1102">
        <f t="shared" si="39"/>
        <v>488.35925030819283</v>
      </c>
      <c r="AX21" s="1102">
        <f t="shared" si="40"/>
        <v>301.9056170360725</v>
      </c>
      <c r="AY21" s="1102">
        <f t="shared" si="41"/>
        <v>3332.0204976663595</v>
      </c>
      <c r="AZ21" s="1144">
        <f t="shared" si="42"/>
        <v>23324.137454536201</v>
      </c>
      <c r="BA21" s="1426"/>
      <c r="BB21" s="1101">
        <f t="shared" si="43"/>
        <v>19201.852089525579</v>
      </c>
      <c r="BC21" s="1102">
        <f t="shared" si="44"/>
        <v>488.35925030819283</v>
      </c>
      <c r="BD21" s="1102">
        <f t="shared" si="45"/>
        <v>301.9056170360725</v>
      </c>
      <c r="BE21" s="1102">
        <f t="shared" si="46"/>
        <v>3332.0204976663595</v>
      </c>
      <c r="BF21" s="1144">
        <f t="shared" si="47"/>
        <v>23324.137454536201</v>
      </c>
      <c r="BG21" s="1429"/>
      <c r="BH21" s="596">
        <f t="shared" si="48"/>
        <v>2011</v>
      </c>
      <c r="BI21" s="1102">
        <f>'Baseline data (from input)'!AZ67</f>
        <v>107.68477290866026</v>
      </c>
      <c r="BJ21" s="576">
        <f>'Baseline data (from input)'!BA67</f>
        <v>0.22739261384230819</v>
      </c>
      <c r="BK21" s="1103"/>
      <c r="BL21" s="1101">
        <f t="shared" si="49"/>
        <v>107.68477290866026</v>
      </c>
      <c r="BM21" s="576">
        <f t="shared" si="50"/>
        <v>0.22739261384230819</v>
      </c>
      <c r="BN21" s="1103"/>
      <c r="BO21" s="1102">
        <f t="shared" si="6"/>
        <v>107.68477290866026</v>
      </c>
      <c r="BP21" s="417">
        <f t="shared" si="6"/>
        <v>0.22739261384230819</v>
      </c>
      <c r="BQ21" s="1103"/>
      <c r="BR21" s="1101">
        <f>'Baseline data (from input)'!AZ67</f>
        <v>107.68477290866026</v>
      </c>
      <c r="BS21" s="417">
        <f>'Baseline data (from input)'!BA67</f>
        <v>0.22739261384230819</v>
      </c>
      <c r="BT21" s="1103"/>
      <c r="BU21" s="1102">
        <f t="shared" si="7"/>
        <v>107.68477290866026</v>
      </c>
      <c r="BV21" s="417">
        <f t="shared" si="7"/>
        <v>0.22739261384230819</v>
      </c>
      <c r="BW21" s="1103"/>
      <c r="BX21" s="1101">
        <f t="shared" si="51"/>
        <v>107.68477290866026</v>
      </c>
      <c r="BY21" s="417">
        <f t="shared" si="52"/>
        <v>0.22739261384230819</v>
      </c>
      <c r="BZ21" s="1103"/>
      <c r="CA21" s="596">
        <v>2011</v>
      </c>
      <c r="CB21" s="649">
        <v>0</v>
      </c>
      <c r="CC21" s="417">
        <v>0</v>
      </c>
      <c r="CD21" s="417">
        <v>0</v>
      </c>
      <c r="CE21" s="525">
        <v>0</v>
      </c>
      <c r="CF21" s="649">
        <v>0</v>
      </c>
      <c r="CG21" s="417">
        <v>0</v>
      </c>
      <c r="CH21" s="417">
        <v>0</v>
      </c>
      <c r="CI21" s="525">
        <v>0</v>
      </c>
      <c r="CJ21" s="649">
        <v>0</v>
      </c>
      <c r="CK21" s="417">
        <v>0</v>
      </c>
      <c r="CL21" s="417">
        <v>0</v>
      </c>
      <c r="CM21" s="525">
        <v>0</v>
      </c>
    </row>
    <row r="22" spans="1:91">
      <c r="A22">
        <f>'Input data'!A112</f>
        <v>2012</v>
      </c>
      <c r="C22" s="419">
        <f>'4A SWD Case 1'!BG82</f>
        <v>908.64270893217713</v>
      </c>
      <c r="D22" s="3">
        <f>'4B Biological treatment '!T75</f>
        <v>0.20867682271654392</v>
      </c>
      <c r="E22" s="178">
        <f>'4B Biological treatment '!U75</f>
        <v>13.510655324498613</v>
      </c>
      <c r="F22" s="178">
        <f>'4B Biological treatment '!W75</f>
        <v>0.81063931946991663</v>
      </c>
      <c r="G22" s="3">
        <f>'4C2 Open-burning '!R82</f>
        <v>32.155652457135474</v>
      </c>
      <c r="H22" s="3">
        <f>'4C2 Open-burning '!Z82</f>
        <v>10.819392594545473</v>
      </c>
      <c r="I22" s="3">
        <f>'4C2 Open-burning '!AH82</f>
        <v>0.15062420601993221</v>
      </c>
      <c r="J22" s="317">
        <f>'4D Wastewater treatment and dis'!AV119</f>
        <v>121.42022721713889</v>
      </c>
      <c r="K22" s="3">
        <f>'4D Wastewater treatment and dis'!AW119</f>
        <v>2.6383207851384207</v>
      </c>
      <c r="L22" s="419">
        <f t="shared" si="8"/>
        <v>19081.496887575719</v>
      </c>
      <c r="M22" s="3">
        <f t="shared" si="0"/>
        <v>4.3822132770474225</v>
      </c>
      <c r="N22" s="419">
        <f t="shared" si="9"/>
        <v>535.021950850145</v>
      </c>
      <c r="O22" s="518">
        <f t="shared" si="10"/>
        <v>306.05640080876935</v>
      </c>
      <c r="P22" s="419">
        <f t="shared" si="11"/>
        <v>3367.704214952827</v>
      </c>
      <c r="Q22" s="519">
        <f t="shared" si="12"/>
        <v>19081.496887575719</v>
      </c>
      <c r="R22" s="521">
        <f t="shared" si="13"/>
        <v>539.40416412719242</v>
      </c>
      <c r="S22" s="518">
        <f t="shared" si="14"/>
        <v>306.05640080876935</v>
      </c>
      <c r="T22" s="519">
        <f t="shared" si="15"/>
        <v>3367.704214952827</v>
      </c>
      <c r="U22" s="519">
        <f t="shared" si="16"/>
        <v>23294.661667464505</v>
      </c>
      <c r="V22" s="3"/>
      <c r="W22" s="596">
        <f t="shared" si="17"/>
        <v>2012</v>
      </c>
      <c r="X22" s="1101">
        <f t="shared" si="18"/>
        <v>19081.496887575719</v>
      </c>
      <c r="Y22" s="1102">
        <f t="shared" si="19"/>
        <v>539.40416412719242</v>
      </c>
      <c r="Z22" s="1102">
        <f t="shared" si="20"/>
        <v>306.05640080876935</v>
      </c>
      <c r="AA22" s="1102">
        <f t="shared" si="21"/>
        <v>3367.704214952827</v>
      </c>
      <c r="AB22" s="1144">
        <f t="shared" si="22"/>
        <v>23294.661667464505</v>
      </c>
      <c r="AC22" s="1102"/>
      <c r="AD22" s="1101">
        <f t="shared" si="23"/>
        <v>19081.496887575719</v>
      </c>
      <c r="AE22" s="1102">
        <f t="shared" si="24"/>
        <v>539.40416412719242</v>
      </c>
      <c r="AF22" s="1102">
        <f t="shared" si="25"/>
        <v>306.05640080876935</v>
      </c>
      <c r="AG22" s="1102">
        <f t="shared" si="26"/>
        <v>3367.704214952827</v>
      </c>
      <c r="AH22" s="1144">
        <f t="shared" si="27"/>
        <v>23294.661667464505</v>
      </c>
      <c r="AI22" s="1424"/>
      <c r="AJ22" s="1101">
        <f t="shared" si="28"/>
        <v>19081.496887575719</v>
      </c>
      <c r="AK22" s="1102">
        <f t="shared" si="29"/>
        <v>539.40416412719242</v>
      </c>
      <c r="AL22" s="1102">
        <f t="shared" si="30"/>
        <v>306.05640080876935</v>
      </c>
      <c r="AM22" s="1102">
        <f t="shared" si="31"/>
        <v>3367.704214952827</v>
      </c>
      <c r="AN22" s="1144">
        <f t="shared" si="32"/>
        <v>23294.661667464505</v>
      </c>
      <c r="AO22" s="1421"/>
      <c r="AP22" s="1101">
        <f t="shared" si="33"/>
        <v>19081.496887575719</v>
      </c>
      <c r="AQ22" s="1102">
        <f t="shared" si="34"/>
        <v>539.40416412719242</v>
      </c>
      <c r="AR22" s="1102">
        <f t="shared" si="35"/>
        <v>306.05640080876935</v>
      </c>
      <c r="AS22" s="1102">
        <f t="shared" si="36"/>
        <v>3367.704214952827</v>
      </c>
      <c r="AT22" s="1144">
        <f t="shared" si="37"/>
        <v>23294.661667464505</v>
      </c>
      <c r="AU22" s="1416"/>
      <c r="AV22" s="1101">
        <f t="shared" si="38"/>
        <v>19081.496887575719</v>
      </c>
      <c r="AW22" s="1102">
        <f t="shared" si="39"/>
        <v>539.40416412719242</v>
      </c>
      <c r="AX22" s="1102">
        <f t="shared" si="40"/>
        <v>306.05640080876935</v>
      </c>
      <c r="AY22" s="1102">
        <f t="shared" si="41"/>
        <v>3367.704214952827</v>
      </c>
      <c r="AZ22" s="1144">
        <f t="shared" si="42"/>
        <v>23294.661667464505</v>
      </c>
      <c r="BA22" s="1426"/>
      <c r="BB22" s="1101">
        <f t="shared" si="43"/>
        <v>19081.496887575719</v>
      </c>
      <c r="BC22" s="1102">
        <f t="shared" si="44"/>
        <v>539.40416412719242</v>
      </c>
      <c r="BD22" s="1102">
        <f t="shared" si="45"/>
        <v>306.05640080876935</v>
      </c>
      <c r="BE22" s="1102">
        <f t="shared" si="46"/>
        <v>3367.704214952827</v>
      </c>
      <c r="BF22" s="1144">
        <f t="shared" si="47"/>
        <v>23294.661667464505</v>
      </c>
      <c r="BG22" s="1429"/>
      <c r="BH22" s="596">
        <f t="shared" si="48"/>
        <v>2012</v>
      </c>
      <c r="BI22" s="1102">
        <f>'Baseline data (from input)'!AZ68</f>
        <v>108.73845456301778</v>
      </c>
      <c r="BJ22" s="576">
        <f>'Baseline data (from input)'!BA68</f>
        <v>0.2448860138442206</v>
      </c>
      <c r="BK22" s="1103"/>
      <c r="BL22" s="1101">
        <f t="shared" si="49"/>
        <v>108.73845456301778</v>
      </c>
      <c r="BM22" s="576">
        <f t="shared" si="50"/>
        <v>0.2448860138442206</v>
      </c>
      <c r="BN22" s="1103"/>
      <c r="BO22" s="1102">
        <f t="shared" si="6"/>
        <v>108.73845456301778</v>
      </c>
      <c r="BP22" s="417">
        <f t="shared" si="6"/>
        <v>0.2448860138442206</v>
      </c>
      <c r="BQ22" s="1103"/>
      <c r="BR22" s="1101">
        <f>'Baseline data (from input)'!AZ68</f>
        <v>108.73845456301778</v>
      </c>
      <c r="BS22" s="417">
        <f>'Baseline data (from input)'!BA68</f>
        <v>0.2448860138442206</v>
      </c>
      <c r="BT22" s="1103"/>
      <c r="BU22" s="1102">
        <f t="shared" si="7"/>
        <v>108.73845456301778</v>
      </c>
      <c r="BV22" s="417">
        <f t="shared" si="7"/>
        <v>0.2448860138442206</v>
      </c>
      <c r="BW22" s="1103"/>
      <c r="BX22" s="1101">
        <f t="shared" si="51"/>
        <v>108.73845456301778</v>
      </c>
      <c r="BY22" s="417">
        <f t="shared" si="52"/>
        <v>0.2448860138442206</v>
      </c>
      <c r="BZ22" s="1103"/>
      <c r="CA22" s="596">
        <v>2012</v>
      </c>
      <c r="CB22" s="649">
        <v>0</v>
      </c>
      <c r="CC22" s="417">
        <v>0</v>
      </c>
      <c r="CD22" s="417">
        <v>0</v>
      </c>
      <c r="CE22" s="525">
        <v>0</v>
      </c>
      <c r="CF22" s="649">
        <v>0</v>
      </c>
      <c r="CG22" s="417">
        <v>0</v>
      </c>
      <c r="CH22" s="417">
        <v>0</v>
      </c>
      <c r="CI22" s="525">
        <v>0</v>
      </c>
      <c r="CJ22" s="649">
        <v>0</v>
      </c>
      <c r="CK22" s="417">
        <v>0</v>
      </c>
      <c r="CL22" s="417">
        <v>0</v>
      </c>
      <c r="CM22" s="525">
        <v>0</v>
      </c>
    </row>
    <row r="23" spans="1:91">
      <c r="A23">
        <f>'Input data'!A113</f>
        <v>2013</v>
      </c>
      <c r="C23" s="419">
        <f>'4A SWD Case 1'!BG83</f>
        <v>897.55726745449613</v>
      </c>
      <c r="D23" s="3">
        <f>'4B Biological treatment '!T76</f>
        <v>0.22342194700764828</v>
      </c>
      <c r="E23" s="178">
        <f>'4B Biological treatment '!U76</f>
        <v>14.763357833464603</v>
      </c>
      <c r="F23" s="178">
        <f>'4B Biological treatment '!W76</f>
        <v>0.88580147000787623</v>
      </c>
      <c r="G23" s="3">
        <f>'4C2 Open-burning '!R83</f>
        <v>32.638684941922989</v>
      </c>
      <c r="H23" s="3">
        <f>'4C2 Open-burning '!Z83</f>
        <v>10.981918237456981</v>
      </c>
      <c r="I23" s="3">
        <f>'4C2 Open-burning '!AH83</f>
        <v>0.15288683728203895</v>
      </c>
      <c r="J23" s="317">
        <f>'4D Wastewater treatment and dis'!AV120</f>
        <v>123.22777500074881</v>
      </c>
      <c r="K23" s="3">
        <f>'4D Wastewater treatment and dis'!AW120</f>
        <v>2.6775967031376564</v>
      </c>
      <c r="L23" s="419">
        <f t="shared" si="8"/>
        <v>18848.702616544419</v>
      </c>
      <c r="M23" s="3">
        <f t="shared" si="0"/>
        <v>4.6918608871606136</v>
      </c>
      <c r="N23" s="419">
        <f t="shared" si="9"/>
        <v>584.62897020519836</v>
      </c>
      <c r="O23" s="518">
        <f t="shared" si="10"/>
        <v>310.6538874859516</v>
      </c>
      <c r="P23" s="419">
        <f t="shared" si="11"/>
        <v>3417.8382529883984</v>
      </c>
      <c r="Q23" s="519">
        <f t="shared" si="12"/>
        <v>18848.702616544419</v>
      </c>
      <c r="R23" s="521">
        <f t="shared" si="13"/>
        <v>589.32083109235896</v>
      </c>
      <c r="S23" s="518">
        <f t="shared" si="14"/>
        <v>310.6538874859516</v>
      </c>
      <c r="T23" s="519">
        <f t="shared" si="15"/>
        <v>3417.8382529883984</v>
      </c>
      <c r="U23" s="519">
        <f t="shared" si="16"/>
        <v>23166.515588111128</v>
      </c>
      <c r="V23" s="3"/>
      <c r="W23" s="596">
        <f t="shared" si="17"/>
        <v>2013</v>
      </c>
      <c r="X23" s="1101">
        <f t="shared" si="18"/>
        <v>18848.702616544419</v>
      </c>
      <c r="Y23" s="1102">
        <f t="shared" si="19"/>
        <v>589.32083109235896</v>
      </c>
      <c r="Z23" s="1102">
        <f t="shared" si="20"/>
        <v>310.6538874859516</v>
      </c>
      <c r="AA23" s="1102">
        <f t="shared" si="21"/>
        <v>3417.8382529883984</v>
      </c>
      <c r="AB23" s="1144">
        <f t="shared" si="22"/>
        <v>23166.515588111128</v>
      </c>
      <c r="AC23" s="1102"/>
      <c r="AD23" s="1101">
        <f t="shared" si="23"/>
        <v>18848.702616544419</v>
      </c>
      <c r="AE23" s="1102">
        <f t="shared" si="24"/>
        <v>589.32083109235896</v>
      </c>
      <c r="AF23" s="1102">
        <f t="shared" si="25"/>
        <v>310.6538874859516</v>
      </c>
      <c r="AG23" s="1102">
        <f t="shared" si="26"/>
        <v>3417.8382529883984</v>
      </c>
      <c r="AH23" s="1144">
        <f t="shared" si="27"/>
        <v>23166.515588111128</v>
      </c>
      <c r="AI23" s="1424"/>
      <c r="AJ23" s="1101">
        <f t="shared" si="28"/>
        <v>18848.702616544419</v>
      </c>
      <c r="AK23" s="1102">
        <f t="shared" si="29"/>
        <v>589.32083109235896</v>
      </c>
      <c r="AL23" s="1102">
        <f t="shared" si="30"/>
        <v>310.6538874859516</v>
      </c>
      <c r="AM23" s="1102">
        <f t="shared" si="31"/>
        <v>3417.8382529883984</v>
      </c>
      <c r="AN23" s="1144">
        <f t="shared" si="32"/>
        <v>23166.515588111128</v>
      </c>
      <c r="AO23" s="1421"/>
      <c r="AP23" s="1101">
        <f t="shared" si="33"/>
        <v>18848.702616544419</v>
      </c>
      <c r="AQ23" s="1102">
        <f t="shared" si="34"/>
        <v>589.32083109235896</v>
      </c>
      <c r="AR23" s="1102">
        <f t="shared" si="35"/>
        <v>310.6538874859516</v>
      </c>
      <c r="AS23" s="1102">
        <f t="shared" si="36"/>
        <v>3417.8382529883984</v>
      </c>
      <c r="AT23" s="1144">
        <f t="shared" si="37"/>
        <v>23166.515588111128</v>
      </c>
      <c r="AU23" s="1416"/>
      <c r="AV23" s="1101">
        <f t="shared" si="38"/>
        <v>18848.702616544419</v>
      </c>
      <c r="AW23" s="1102">
        <f t="shared" si="39"/>
        <v>589.32083109235896</v>
      </c>
      <c r="AX23" s="1102">
        <f t="shared" si="40"/>
        <v>310.6538874859516</v>
      </c>
      <c r="AY23" s="1102">
        <f t="shared" si="41"/>
        <v>3417.8382529883984</v>
      </c>
      <c r="AZ23" s="1144">
        <f t="shared" si="42"/>
        <v>23166.515588111128</v>
      </c>
      <c r="BA23" s="1426"/>
      <c r="BB23" s="1101">
        <f t="shared" si="43"/>
        <v>18848.702616544419</v>
      </c>
      <c r="BC23" s="1102">
        <f t="shared" si="44"/>
        <v>589.32083109235896</v>
      </c>
      <c r="BD23" s="1102">
        <f t="shared" si="45"/>
        <v>310.6538874859516</v>
      </c>
      <c r="BE23" s="1102">
        <f t="shared" si="46"/>
        <v>3417.8382529883984</v>
      </c>
      <c r="BF23" s="1144">
        <f t="shared" si="47"/>
        <v>23166.515588111128</v>
      </c>
      <c r="BG23" s="1429"/>
      <c r="BH23" s="596">
        <f t="shared" si="48"/>
        <v>2013</v>
      </c>
      <c r="BI23" s="1102">
        <f>'Baseline data (from input)'!AZ69</f>
        <v>110.03003078445566</v>
      </c>
      <c r="BJ23" s="576">
        <f>'Baseline data (from input)'!BA69</f>
        <v>0.25410501929868723</v>
      </c>
      <c r="BK23" s="1103"/>
      <c r="BL23" s="1101">
        <f t="shared" si="49"/>
        <v>110.03003078445566</v>
      </c>
      <c r="BM23" s="576">
        <f t="shared" si="50"/>
        <v>0.25410501929868723</v>
      </c>
      <c r="BN23" s="1103"/>
      <c r="BO23" s="1102">
        <f t="shared" si="6"/>
        <v>110.03003078445566</v>
      </c>
      <c r="BP23" s="417">
        <f t="shared" si="6"/>
        <v>0.25410501929868723</v>
      </c>
      <c r="BQ23" s="1103"/>
      <c r="BR23" s="1101">
        <f>'Baseline data (from input)'!AZ69</f>
        <v>110.03003078445566</v>
      </c>
      <c r="BS23" s="417">
        <f>'Baseline data (from input)'!BA69</f>
        <v>0.25410501929868723</v>
      </c>
      <c r="BT23" s="1103"/>
      <c r="BU23" s="1102">
        <f t="shared" si="7"/>
        <v>110.03003078445566</v>
      </c>
      <c r="BV23" s="417">
        <f t="shared" si="7"/>
        <v>0.25410501929868723</v>
      </c>
      <c r="BW23" s="1103"/>
      <c r="BX23" s="1101">
        <f t="shared" si="51"/>
        <v>110.03003078445566</v>
      </c>
      <c r="BY23" s="417">
        <f t="shared" si="52"/>
        <v>0.25410501929868723</v>
      </c>
      <c r="BZ23" s="1103"/>
      <c r="CA23" s="596">
        <v>2013</v>
      </c>
      <c r="CB23" s="649">
        <v>0</v>
      </c>
      <c r="CC23" s="417">
        <v>0</v>
      </c>
      <c r="CD23" s="417">
        <v>0</v>
      </c>
      <c r="CE23" s="525">
        <v>0</v>
      </c>
      <c r="CF23" s="649">
        <v>0</v>
      </c>
      <c r="CG23" s="417">
        <v>0</v>
      </c>
      <c r="CH23" s="417">
        <v>0</v>
      </c>
      <c r="CI23" s="525">
        <v>0</v>
      </c>
      <c r="CJ23" s="649">
        <v>0</v>
      </c>
      <c r="CK23" s="417">
        <v>0</v>
      </c>
      <c r="CL23" s="417">
        <v>0</v>
      </c>
      <c r="CM23" s="525">
        <v>0</v>
      </c>
    </row>
    <row r="24" spans="1:91">
      <c r="A24">
        <f>'Input data'!A114</f>
        <v>2014</v>
      </c>
      <c r="C24" s="419">
        <f>'4A SWD Case 1'!BG84</f>
        <v>884.9696624303657</v>
      </c>
      <c r="D24" s="3">
        <f>'4B Biological treatment '!T77</f>
        <v>0.23673965630382743</v>
      </c>
      <c r="E24" s="178">
        <f>'4B Biological treatment '!U77</f>
        <v>15.916791716384299</v>
      </c>
      <c r="F24" s="178">
        <f>'4B Biological treatment '!W77</f>
        <v>0.95500750298305781</v>
      </c>
      <c r="G24" s="3">
        <f>'4C2 Open-burning '!R84</f>
        <v>33.044764937208711</v>
      </c>
      <c r="H24" s="3">
        <f>'4C2 Open-burning '!Z84</f>
        <v>11.118551723580275</v>
      </c>
      <c r="I24" s="3">
        <f>'4C2 Open-burning '!AH84</f>
        <v>0.15478900602055312</v>
      </c>
      <c r="J24" s="317">
        <f>'4D Wastewater treatment and dis'!AV121</f>
        <v>125.10267629930888</v>
      </c>
      <c r="K24" s="3">
        <f>'4D Wastewater treatment and dis'!AW121</f>
        <v>2.718336134939475</v>
      </c>
      <c r="L24" s="419">
        <f t="shared" si="8"/>
        <v>18584.362911037679</v>
      </c>
      <c r="M24" s="3">
        <f t="shared" si="0"/>
        <v>4.9715327823803763</v>
      </c>
      <c r="N24" s="419">
        <f t="shared" si="9"/>
        <v>630.30495196881816</v>
      </c>
      <c r="O24" s="518">
        <f t="shared" si="10"/>
        <v>314.51894299876597</v>
      </c>
      <c r="P24" s="419">
        <f t="shared" si="11"/>
        <v>3469.8404041167237</v>
      </c>
      <c r="Q24" s="519">
        <f t="shared" si="12"/>
        <v>18584.362911037679</v>
      </c>
      <c r="R24" s="521">
        <f t="shared" si="13"/>
        <v>635.2764847511985</v>
      </c>
      <c r="S24" s="518">
        <f t="shared" si="14"/>
        <v>314.51894299876597</v>
      </c>
      <c r="T24" s="519">
        <f t="shared" si="15"/>
        <v>3469.8404041167237</v>
      </c>
      <c r="U24" s="519">
        <f t="shared" si="16"/>
        <v>23003.998742904365</v>
      </c>
      <c r="V24" s="3"/>
      <c r="W24" s="596">
        <f t="shared" si="17"/>
        <v>2014</v>
      </c>
      <c r="X24" s="1101">
        <f t="shared" si="18"/>
        <v>18584.362911037679</v>
      </c>
      <c r="Y24" s="1102">
        <f t="shared" si="19"/>
        <v>635.2764847511985</v>
      </c>
      <c r="Z24" s="1102">
        <f t="shared" si="20"/>
        <v>314.51894299876597</v>
      </c>
      <c r="AA24" s="1102">
        <f t="shared" si="21"/>
        <v>3469.8404041167237</v>
      </c>
      <c r="AB24" s="1144">
        <f t="shared" si="22"/>
        <v>23003.998742904365</v>
      </c>
      <c r="AC24" s="1102"/>
      <c r="AD24" s="1101">
        <f t="shared" si="23"/>
        <v>18584.362911037679</v>
      </c>
      <c r="AE24" s="1102">
        <f t="shared" si="24"/>
        <v>635.2764847511985</v>
      </c>
      <c r="AF24" s="1102">
        <f t="shared" si="25"/>
        <v>314.51894299876597</v>
      </c>
      <c r="AG24" s="1102">
        <f t="shared" si="26"/>
        <v>3469.8404041167237</v>
      </c>
      <c r="AH24" s="1144">
        <f t="shared" si="27"/>
        <v>23003.998742904365</v>
      </c>
      <c r="AI24" s="1424"/>
      <c r="AJ24" s="1101">
        <f t="shared" si="28"/>
        <v>18584.362911037679</v>
      </c>
      <c r="AK24" s="1102">
        <f t="shared" si="29"/>
        <v>635.2764847511985</v>
      </c>
      <c r="AL24" s="1102">
        <f t="shared" si="30"/>
        <v>314.51894299876597</v>
      </c>
      <c r="AM24" s="1102">
        <f t="shared" si="31"/>
        <v>3469.8404041167237</v>
      </c>
      <c r="AN24" s="1144">
        <f t="shared" si="32"/>
        <v>23003.998742904365</v>
      </c>
      <c r="AO24" s="1421"/>
      <c r="AP24" s="1101">
        <f t="shared" si="33"/>
        <v>18584.362911037679</v>
      </c>
      <c r="AQ24" s="1102">
        <f t="shared" si="34"/>
        <v>635.2764847511985</v>
      </c>
      <c r="AR24" s="1102">
        <f t="shared" si="35"/>
        <v>314.51894299876597</v>
      </c>
      <c r="AS24" s="1102">
        <f t="shared" si="36"/>
        <v>3469.8404041167237</v>
      </c>
      <c r="AT24" s="1144">
        <f t="shared" si="37"/>
        <v>23003.998742904365</v>
      </c>
      <c r="AU24" s="1416"/>
      <c r="AV24" s="1101">
        <f t="shared" si="38"/>
        <v>18584.362911037679</v>
      </c>
      <c r="AW24" s="1102">
        <f t="shared" si="39"/>
        <v>635.2764847511985</v>
      </c>
      <c r="AX24" s="1102">
        <f t="shared" si="40"/>
        <v>314.51894299876597</v>
      </c>
      <c r="AY24" s="1102">
        <f t="shared" si="41"/>
        <v>3469.8404041167237</v>
      </c>
      <c r="AZ24" s="1144">
        <f t="shared" si="42"/>
        <v>23003.998742904365</v>
      </c>
      <c r="BA24" s="1426"/>
      <c r="BB24" s="1101">
        <f t="shared" si="43"/>
        <v>18584.362911037679</v>
      </c>
      <c r="BC24" s="1102">
        <f t="shared" si="44"/>
        <v>635.2764847511985</v>
      </c>
      <c r="BD24" s="1102">
        <f t="shared" si="45"/>
        <v>314.51894299876597</v>
      </c>
      <c r="BE24" s="1102">
        <f t="shared" si="46"/>
        <v>3469.8404041167237</v>
      </c>
      <c r="BF24" s="1144">
        <f t="shared" si="47"/>
        <v>23003.998742904365</v>
      </c>
      <c r="BG24" s="1429"/>
      <c r="BH24" s="596">
        <f t="shared" si="48"/>
        <v>2014</v>
      </c>
      <c r="BI24" s="1102">
        <f>'Baseline data (from input)'!AZ70</f>
        <v>110.83655376145735</v>
      </c>
      <c r="BJ24" s="576">
        <f>'Baseline data (from input)'!BA70</f>
        <v>0.26281172544541681</v>
      </c>
      <c r="BK24" s="1103"/>
      <c r="BL24" s="1101">
        <f t="shared" si="49"/>
        <v>110.83655376145735</v>
      </c>
      <c r="BM24" s="576">
        <f t="shared" si="50"/>
        <v>0.26281172544541681</v>
      </c>
      <c r="BN24" s="1103"/>
      <c r="BO24" s="1102">
        <f t="shared" si="6"/>
        <v>110.83655376145735</v>
      </c>
      <c r="BP24" s="417">
        <f t="shared" si="6"/>
        <v>0.26281172544541681</v>
      </c>
      <c r="BQ24" s="1103"/>
      <c r="BR24" s="1101">
        <f>'Baseline data (from input)'!AZ70</f>
        <v>110.83655376145735</v>
      </c>
      <c r="BS24" s="417">
        <f>'Baseline data (from input)'!BA70</f>
        <v>0.26281172544541681</v>
      </c>
      <c r="BT24" s="1103"/>
      <c r="BU24" s="1102">
        <f t="shared" si="7"/>
        <v>110.83655376145735</v>
      </c>
      <c r="BV24" s="417">
        <f t="shared" si="7"/>
        <v>0.26281172544541681</v>
      </c>
      <c r="BW24" s="1103"/>
      <c r="BX24" s="1101">
        <f t="shared" si="51"/>
        <v>110.83655376145735</v>
      </c>
      <c r="BY24" s="417">
        <f t="shared" si="52"/>
        <v>0.26281172544541681</v>
      </c>
      <c r="BZ24" s="1103"/>
      <c r="CA24" s="596">
        <v>2014</v>
      </c>
      <c r="CB24" s="649">
        <v>0</v>
      </c>
      <c r="CC24" s="417">
        <v>0</v>
      </c>
      <c r="CD24" s="417">
        <v>0</v>
      </c>
      <c r="CE24" s="525">
        <v>0</v>
      </c>
      <c r="CF24" s="649">
        <v>0</v>
      </c>
      <c r="CG24" s="417">
        <v>0</v>
      </c>
      <c r="CH24" s="417">
        <v>0</v>
      </c>
      <c r="CI24" s="525">
        <v>0</v>
      </c>
      <c r="CJ24" s="649">
        <v>0</v>
      </c>
      <c r="CK24" s="417">
        <v>0</v>
      </c>
      <c r="CL24" s="417">
        <v>0</v>
      </c>
      <c r="CM24" s="525">
        <v>0</v>
      </c>
    </row>
    <row r="25" spans="1:91">
      <c r="A25">
        <f>'Input data'!A115</f>
        <v>2015</v>
      </c>
      <c r="C25" s="419">
        <f>'4A SWD Case 1'!BG85</f>
        <v>870.97649921658456</v>
      </c>
      <c r="D25" s="3">
        <f>'4B Biological treatment '!T78</f>
        <v>0.24828081560705537</v>
      </c>
      <c r="E25" s="178">
        <f>'4B Biological treatment '!U78</f>
        <v>16.953743427769048</v>
      </c>
      <c r="F25" s="178">
        <f>'4B Biological treatment '!W78</f>
        <v>1.0172246056661429</v>
      </c>
      <c r="G25" s="3">
        <f>'4C2 Open-burning '!R85</f>
        <v>33.370161666347876</v>
      </c>
      <c r="H25" s="3">
        <f>'4C2 Open-burning '!Z85</f>
        <v>11.228037760793502</v>
      </c>
      <c r="I25" s="3">
        <f>'4C2 Open-burning '!AH85</f>
        <v>0.15631323645044112</v>
      </c>
      <c r="J25" s="317">
        <f>'4D Wastewater treatment and dis'!AV122</f>
        <v>127.04753208598689</v>
      </c>
      <c r="K25" s="3">
        <f>'4D Wastewater treatment and dis'!AW122</f>
        <v>2.7605955966757243</v>
      </c>
      <c r="L25" s="419">
        <f t="shared" si="8"/>
        <v>18290.506483548277</v>
      </c>
      <c r="M25" s="3">
        <f t="shared" si="0"/>
        <v>5.2138971277481625</v>
      </c>
      <c r="N25" s="419">
        <f t="shared" si="9"/>
        <v>671.36823973965431</v>
      </c>
      <c r="O25" s="518">
        <f t="shared" si="10"/>
        <v>317.61605794264813</v>
      </c>
      <c r="P25" s="419">
        <f t="shared" si="11"/>
        <v>3523.7828087751991</v>
      </c>
      <c r="Q25" s="519">
        <f t="shared" si="12"/>
        <v>18290.506483548277</v>
      </c>
      <c r="R25" s="521">
        <f t="shared" si="13"/>
        <v>676.58213686740248</v>
      </c>
      <c r="S25" s="518">
        <f t="shared" si="14"/>
        <v>317.61605794264813</v>
      </c>
      <c r="T25" s="519">
        <f t="shared" si="15"/>
        <v>3523.7828087751991</v>
      </c>
      <c r="U25" s="519">
        <f t="shared" si="16"/>
        <v>22808.487487133527</v>
      </c>
      <c r="V25" s="3"/>
      <c r="W25" s="596">
        <f t="shared" si="17"/>
        <v>2015</v>
      </c>
      <c r="X25" s="1101">
        <f t="shared" si="18"/>
        <v>18290.506483548277</v>
      </c>
      <c r="Y25" s="1102">
        <f t="shared" si="19"/>
        <v>676.58213686740248</v>
      </c>
      <c r="Z25" s="1102">
        <f t="shared" si="20"/>
        <v>317.61605794264813</v>
      </c>
      <c r="AA25" s="1102">
        <f t="shared" si="21"/>
        <v>3523.7828087751991</v>
      </c>
      <c r="AB25" s="1144">
        <f t="shared" si="22"/>
        <v>22808.487487133527</v>
      </c>
      <c r="AC25" s="1102"/>
      <c r="AD25" s="1101">
        <f t="shared" si="23"/>
        <v>18290.506483548277</v>
      </c>
      <c r="AE25" s="1102">
        <f t="shared" si="24"/>
        <v>676.58213686740248</v>
      </c>
      <c r="AF25" s="1102">
        <f t="shared" si="25"/>
        <v>317.61605794264813</v>
      </c>
      <c r="AG25" s="1102">
        <f t="shared" si="26"/>
        <v>3523.7828087751991</v>
      </c>
      <c r="AH25" s="1144">
        <f t="shared" si="27"/>
        <v>22808.487487133527</v>
      </c>
      <c r="AI25" s="1424"/>
      <c r="AJ25" s="1101">
        <f t="shared" si="28"/>
        <v>18290.506483548277</v>
      </c>
      <c r="AK25" s="1102">
        <f t="shared" si="29"/>
        <v>676.58213686740248</v>
      </c>
      <c r="AL25" s="1102">
        <f t="shared" si="30"/>
        <v>317.61605794264813</v>
      </c>
      <c r="AM25" s="1102">
        <f t="shared" si="31"/>
        <v>3523.7828087751991</v>
      </c>
      <c r="AN25" s="1144">
        <f t="shared" si="32"/>
        <v>22808.487487133527</v>
      </c>
      <c r="AO25" s="1421"/>
      <c r="AP25" s="1101">
        <f t="shared" si="33"/>
        <v>18290.506483548277</v>
      </c>
      <c r="AQ25" s="1102">
        <f t="shared" si="34"/>
        <v>676.58213686740248</v>
      </c>
      <c r="AR25" s="1102">
        <f t="shared" si="35"/>
        <v>317.61605794264813</v>
      </c>
      <c r="AS25" s="1102">
        <f t="shared" si="36"/>
        <v>3523.7828087751991</v>
      </c>
      <c r="AT25" s="1144">
        <f t="shared" si="37"/>
        <v>22808.487487133527</v>
      </c>
      <c r="AU25" s="1416"/>
      <c r="AV25" s="1101">
        <f t="shared" si="38"/>
        <v>18290.506483548277</v>
      </c>
      <c r="AW25" s="1102">
        <f t="shared" si="39"/>
        <v>676.58213686740248</v>
      </c>
      <c r="AX25" s="1102">
        <f t="shared" si="40"/>
        <v>317.61605794264813</v>
      </c>
      <c r="AY25" s="1102">
        <f t="shared" si="41"/>
        <v>3523.7828087751991</v>
      </c>
      <c r="AZ25" s="1144">
        <f t="shared" si="42"/>
        <v>22808.487487133527</v>
      </c>
      <c r="BA25" s="1426"/>
      <c r="BB25" s="1101">
        <f t="shared" si="43"/>
        <v>18290.506483548277</v>
      </c>
      <c r="BC25" s="1102">
        <f t="shared" si="44"/>
        <v>676.58213686740248</v>
      </c>
      <c r="BD25" s="1102">
        <f t="shared" si="45"/>
        <v>317.61605794264813</v>
      </c>
      <c r="BE25" s="1102">
        <f t="shared" si="46"/>
        <v>3523.7828087751991</v>
      </c>
      <c r="BF25" s="1144">
        <f t="shared" si="47"/>
        <v>22808.487487133527</v>
      </c>
      <c r="BG25" s="1429"/>
      <c r="BH25" s="596">
        <f t="shared" si="48"/>
        <v>2015</v>
      </c>
      <c r="BI25" s="1102">
        <f>'Baseline data (from input)'!AZ71</f>
        <v>110.95094690302808</v>
      </c>
      <c r="BJ25" s="576">
        <f>'Baseline data (from input)'!BA71</f>
        <v>0.27121003098768603</v>
      </c>
      <c r="BK25" s="1103"/>
      <c r="BL25" s="1101">
        <f t="shared" si="49"/>
        <v>110.95094690302808</v>
      </c>
      <c r="BM25" s="576">
        <f t="shared" si="50"/>
        <v>0.27121003098768603</v>
      </c>
      <c r="BN25" s="1103"/>
      <c r="BO25" s="1102">
        <f t="shared" si="6"/>
        <v>110.95094690302808</v>
      </c>
      <c r="BP25" s="417">
        <f t="shared" si="6"/>
        <v>0.27121003098768603</v>
      </c>
      <c r="BQ25" s="1103"/>
      <c r="BR25" s="1101">
        <f>'Baseline data (from input)'!AZ71</f>
        <v>110.95094690302808</v>
      </c>
      <c r="BS25" s="417">
        <f>'Baseline data (from input)'!BA71</f>
        <v>0.27121003098768603</v>
      </c>
      <c r="BT25" s="1103"/>
      <c r="BU25" s="1102">
        <f t="shared" si="7"/>
        <v>110.95094690302808</v>
      </c>
      <c r="BV25" s="417">
        <f t="shared" si="7"/>
        <v>0.27121003098768603</v>
      </c>
      <c r="BW25" s="1103"/>
      <c r="BX25" s="1101">
        <f t="shared" si="51"/>
        <v>110.95094690302808</v>
      </c>
      <c r="BY25" s="417">
        <f t="shared" si="52"/>
        <v>0.27121003098768603</v>
      </c>
      <c r="BZ25" s="1103"/>
      <c r="CA25" s="596">
        <v>2015</v>
      </c>
      <c r="CB25" s="649">
        <v>0</v>
      </c>
      <c r="CC25" s="417">
        <v>0</v>
      </c>
      <c r="CD25" s="417">
        <v>0</v>
      </c>
      <c r="CE25" s="525">
        <v>0</v>
      </c>
      <c r="CF25" s="649">
        <v>0</v>
      </c>
      <c r="CG25" s="417">
        <v>0</v>
      </c>
      <c r="CH25" s="417">
        <v>0</v>
      </c>
      <c r="CI25" s="525">
        <v>0</v>
      </c>
      <c r="CJ25" s="649">
        <v>0</v>
      </c>
      <c r="CK25" s="417">
        <v>0</v>
      </c>
      <c r="CL25" s="417">
        <v>0</v>
      </c>
      <c r="CM25" s="525">
        <v>0</v>
      </c>
    </row>
    <row r="26" spans="1:91">
      <c r="A26">
        <f>'Input data'!A116</f>
        <v>2016</v>
      </c>
      <c r="C26" s="419">
        <f>'4A SWD Case 1'!BG86</f>
        <v>855.6551899425998</v>
      </c>
      <c r="D26" s="3">
        <f>'4B Biological treatment '!T79</f>
        <v>0.25906888624363184</v>
      </c>
      <c r="E26" s="178">
        <f>'4B Biological treatment '!U79</f>
        <v>17.918631345501637</v>
      </c>
      <c r="F26" s="178">
        <f>'4B Biological treatment '!W79</f>
        <v>1.0751178807300981</v>
      </c>
      <c r="G26" s="3">
        <f>'4C2 Open-burning '!R86</f>
        <v>33.610848152350449</v>
      </c>
      <c r="H26" s="3">
        <f>'4C2 Open-burning '!Z86</f>
        <v>11.309021394626923</v>
      </c>
      <c r="I26" s="3">
        <f>'4C2 Open-burning '!AH86</f>
        <v>0.15744066531857534</v>
      </c>
      <c r="J26" s="317">
        <f>'4D Wastewater treatment and dis'!AV123</f>
        <v>129.06507290384971</v>
      </c>
      <c r="K26" s="3">
        <f>'4D Wastewater treatment and dis'!AW123</f>
        <v>2.804434419881956</v>
      </c>
      <c r="L26" s="419">
        <f t="shared" si="8"/>
        <v>17968.758988794594</v>
      </c>
      <c r="M26" s="3">
        <f t="shared" ref="M26:M27" si="53">D26*$B$3</f>
        <v>5.4404466111162684</v>
      </c>
      <c r="N26" s="419">
        <f t="shared" si="9"/>
        <v>709.57780128186482</v>
      </c>
      <c r="O26" s="518">
        <f t="shared" si="10"/>
        <v>319.90690368827416</v>
      </c>
      <c r="P26" s="419">
        <f t="shared" si="11"/>
        <v>3579.7412011442502</v>
      </c>
      <c r="Q26" s="519">
        <f t="shared" si="12"/>
        <v>17968.758988794594</v>
      </c>
      <c r="R26" s="521">
        <f t="shared" si="13"/>
        <v>715.01824789298109</v>
      </c>
      <c r="S26" s="518">
        <f t="shared" si="14"/>
        <v>319.90690368827416</v>
      </c>
      <c r="T26" s="519">
        <f t="shared" si="15"/>
        <v>3579.7412011442502</v>
      </c>
      <c r="U26" s="519">
        <f t="shared" si="16"/>
        <v>22583.425341520102</v>
      </c>
      <c r="V26" s="3"/>
      <c r="W26" s="596">
        <f t="shared" si="17"/>
        <v>2016</v>
      </c>
      <c r="X26" s="1101">
        <f t="shared" si="18"/>
        <v>17968.758988794594</v>
      </c>
      <c r="Y26" s="1102">
        <f t="shared" si="19"/>
        <v>715.01824789298109</v>
      </c>
      <c r="Z26" s="1102">
        <f t="shared" si="20"/>
        <v>319.90690368827416</v>
      </c>
      <c r="AA26" s="1102">
        <f t="shared" si="21"/>
        <v>3579.7412011442502</v>
      </c>
      <c r="AB26" s="1144">
        <f t="shared" si="22"/>
        <v>22583.425341520102</v>
      </c>
      <c r="AC26" s="1102"/>
      <c r="AD26" s="1101">
        <f t="shared" si="23"/>
        <v>17968.758988794594</v>
      </c>
      <c r="AE26" s="1102">
        <f t="shared" si="24"/>
        <v>715.01824789298109</v>
      </c>
      <c r="AF26" s="1102">
        <f t="shared" si="25"/>
        <v>319.90690368827416</v>
      </c>
      <c r="AG26" s="1102">
        <f t="shared" si="26"/>
        <v>3579.7412011442502</v>
      </c>
      <c r="AH26" s="1144">
        <f t="shared" si="27"/>
        <v>22583.425341520102</v>
      </c>
      <c r="AI26" s="1424"/>
      <c r="AJ26" s="1101">
        <f t="shared" si="28"/>
        <v>17968.758988794594</v>
      </c>
      <c r="AK26" s="1102">
        <f t="shared" si="29"/>
        <v>715.01824789298109</v>
      </c>
      <c r="AL26" s="1102">
        <f t="shared" si="30"/>
        <v>319.90690368827416</v>
      </c>
      <c r="AM26" s="1102">
        <f t="shared" si="31"/>
        <v>3579.7412011442502</v>
      </c>
      <c r="AN26" s="1144">
        <f t="shared" si="32"/>
        <v>22583.425341520102</v>
      </c>
      <c r="AO26" s="1421"/>
      <c r="AP26" s="1101">
        <f t="shared" si="33"/>
        <v>17968.758988794594</v>
      </c>
      <c r="AQ26" s="1102">
        <f t="shared" si="34"/>
        <v>715.01824789298109</v>
      </c>
      <c r="AR26" s="1102">
        <f t="shared" si="35"/>
        <v>319.90690368827416</v>
      </c>
      <c r="AS26" s="1102">
        <f t="shared" si="36"/>
        <v>3579.7412011442502</v>
      </c>
      <c r="AT26" s="1144">
        <f t="shared" si="37"/>
        <v>22583.425341520102</v>
      </c>
      <c r="AU26" s="1417"/>
      <c r="AV26" s="1101">
        <f t="shared" si="38"/>
        <v>17968.758988794594</v>
      </c>
      <c r="AW26" s="1102">
        <f t="shared" si="39"/>
        <v>715.01824789298109</v>
      </c>
      <c r="AX26" s="1102">
        <f t="shared" si="40"/>
        <v>319.90690368827416</v>
      </c>
      <c r="AY26" s="1102">
        <f t="shared" si="41"/>
        <v>3579.7412011442502</v>
      </c>
      <c r="AZ26" s="1144">
        <f t="shared" si="42"/>
        <v>22583.425341520102</v>
      </c>
      <c r="BA26" s="1426"/>
      <c r="BB26" s="1101">
        <f t="shared" si="43"/>
        <v>17968.758988794594</v>
      </c>
      <c r="BC26" s="1102">
        <f t="shared" si="44"/>
        <v>715.01824789298109</v>
      </c>
      <c r="BD26" s="1102">
        <f t="shared" si="45"/>
        <v>319.90690368827416</v>
      </c>
      <c r="BE26" s="1102">
        <f t="shared" si="46"/>
        <v>3579.7412011442502</v>
      </c>
      <c r="BF26" s="1144">
        <f t="shared" si="47"/>
        <v>22583.425341520102</v>
      </c>
      <c r="BG26" s="1429"/>
      <c r="BH26" s="596">
        <f t="shared" si="48"/>
        <v>2016</v>
      </c>
      <c r="BI26" s="1102">
        <f>'Baseline data (from input)'!AZ72</f>
        <v>111.05358464486912</v>
      </c>
      <c r="BJ26" s="576">
        <f>'Baseline data (from input)'!BA72</f>
        <v>0.27905887115605288</v>
      </c>
      <c r="BK26" s="1103"/>
      <c r="BL26" s="1101">
        <f t="shared" si="49"/>
        <v>111.05358464486912</v>
      </c>
      <c r="BM26" s="576">
        <f t="shared" si="50"/>
        <v>0.27905887115605288</v>
      </c>
      <c r="BN26" s="1103"/>
      <c r="BO26" s="1102">
        <f t="shared" si="6"/>
        <v>111.05358464486912</v>
      </c>
      <c r="BP26" s="417">
        <f t="shared" si="6"/>
        <v>0.27905887115605288</v>
      </c>
      <c r="BQ26" s="1103"/>
      <c r="BR26" s="1101">
        <f>'Baseline data (from input)'!AZ73</f>
        <v>111.48215319455257</v>
      </c>
      <c r="BS26" s="417">
        <f>'Baseline data (from input)'!BA72</f>
        <v>0.27905887115605288</v>
      </c>
      <c r="BT26" s="1103"/>
      <c r="BU26" s="1102">
        <f t="shared" si="7"/>
        <v>111.05358464486912</v>
      </c>
      <c r="BV26" s="417">
        <f t="shared" si="7"/>
        <v>0.27905887115605288</v>
      </c>
      <c r="BW26" s="1103"/>
      <c r="BX26" s="1101">
        <f>BU26</f>
        <v>111.05358464486912</v>
      </c>
      <c r="BY26" s="417">
        <f>BV26</f>
        <v>0.27905887115605288</v>
      </c>
      <c r="BZ26" s="1103"/>
      <c r="CA26" s="596">
        <v>2016</v>
      </c>
      <c r="CB26" s="649">
        <v>0</v>
      </c>
      <c r="CC26" s="417">
        <v>0</v>
      </c>
      <c r="CD26" s="417">
        <v>0</v>
      </c>
      <c r="CE26" s="525">
        <v>0</v>
      </c>
      <c r="CF26" s="649">
        <v>0</v>
      </c>
      <c r="CG26" s="417">
        <v>0</v>
      </c>
      <c r="CH26" s="417">
        <v>0</v>
      </c>
      <c r="CI26" s="525">
        <v>0</v>
      </c>
      <c r="CJ26" s="649">
        <v>0</v>
      </c>
      <c r="CK26" s="417">
        <v>0</v>
      </c>
      <c r="CL26" s="417">
        <v>0</v>
      </c>
      <c r="CM26" s="525">
        <v>0</v>
      </c>
    </row>
    <row r="27" spans="1:91">
      <c r="A27" s="413">
        <f>'Input data'!A117</f>
        <v>2017</v>
      </c>
      <c r="B27" s="413"/>
      <c r="C27" s="471">
        <f>'4A SWD Case 1'!BG87</f>
        <v>839.13604235931598</v>
      </c>
      <c r="D27" s="515">
        <f>'4B Biological treatment '!T80</f>
        <v>0.26959352009873772</v>
      </c>
      <c r="E27" s="472">
        <f>'4B Biological treatment '!U80</f>
        <v>18.831708409380081</v>
      </c>
      <c r="F27" s="472">
        <f>'4B Biological treatment '!W80</f>
        <v>1.1299025045628048</v>
      </c>
      <c r="G27" s="515">
        <f>'4C2 Open-burning '!R87</f>
        <v>33.762481189099681</v>
      </c>
      <c r="H27" s="515">
        <f>'4C2 Open-burning '!Z87</f>
        <v>11.360041269191125</v>
      </c>
      <c r="I27" s="515">
        <f>'4C2 Open-burning '!AH87</f>
        <v>0.15815094808448069</v>
      </c>
      <c r="J27" s="986">
        <f>'4D Wastewater treatment and dis'!AV124</f>
        <v>131.15816527384879</v>
      </c>
      <c r="K27" s="515">
        <f>'4D Wastewater treatment and dis'!AW124</f>
        <v>2.8499148907355294</v>
      </c>
      <c r="L27" s="471">
        <f t="shared" si="8"/>
        <v>17621.856889545634</v>
      </c>
      <c r="M27" s="515">
        <f t="shared" si="53"/>
        <v>5.6614639220734917</v>
      </c>
      <c r="N27" s="471">
        <f t="shared" si="9"/>
        <v>745.73565301145118</v>
      </c>
      <c r="O27" s="514">
        <f t="shared" si="10"/>
        <v>321.35014174830235</v>
      </c>
      <c r="P27" s="471">
        <f t="shared" si="11"/>
        <v>3637.7950868788384</v>
      </c>
      <c r="Q27" s="471">
        <f t="shared" si="12"/>
        <v>17621.856889545634</v>
      </c>
      <c r="R27" s="517">
        <f t="shared" si="13"/>
        <v>751.39711693352467</v>
      </c>
      <c r="S27" s="514">
        <f t="shared" si="14"/>
        <v>321.35014174830235</v>
      </c>
      <c r="T27" s="471">
        <f t="shared" si="15"/>
        <v>3637.7950868788384</v>
      </c>
      <c r="U27" s="471">
        <f t="shared" si="16"/>
        <v>22332.399235106299</v>
      </c>
      <c r="V27" s="3"/>
      <c r="W27" s="596">
        <f t="shared" si="17"/>
        <v>2017</v>
      </c>
      <c r="X27" s="1101">
        <f t="shared" si="18"/>
        <v>17621.856889545634</v>
      </c>
      <c r="Y27" s="1102">
        <f t="shared" si="19"/>
        <v>751.39711693352467</v>
      </c>
      <c r="Z27" s="1102">
        <f t="shared" si="20"/>
        <v>321.35014174830235</v>
      </c>
      <c r="AA27" s="1102">
        <f t="shared" si="21"/>
        <v>3637.7950868788384</v>
      </c>
      <c r="AB27" s="1144">
        <f t="shared" si="22"/>
        <v>22332.399235106299</v>
      </c>
      <c r="AC27" s="1102"/>
      <c r="AD27" s="1101">
        <f>Q27</f>
        <v>17621.856889545634</v>
      </c>
      <c r="AE27" s="1102">
        <f t="shared" si="24"/>
        <v>751.39711693352467</v>
      </c>
      <c r="AF27" s="1102">
        <f t="shared" si="25"/>
        <v>321.35014174830235</v>
      </c>
      <c r="AG27" s="1102">
        <f t="shared" si="26"/>
        <v>3637.7950868788384</v>
      </c>
      <c r="AH27" s="1144">
        <f>SUM(AD27:AG27)</f>
        <v>22332.399235106299</v>
      </c>
      <c r="AI27" s="1424"/>
      <c r="AJ27" s="1101">
        <f t="shared" si="28"/>
        <v>17621.856889545634</v>
      </c>
      <c r="AK27" s="1102">
        <f t="shared" si="29"/>
        <v>751.39711693352467</v>
      </c>
      <c r="AL27" s="1102">
        <f t="shared" si="30"/>
        <v>321.35014174830235</v>
      </c>
      <c r="AM27" s="1102">
        <f t="shared" si="31"/>
        <v>3637.7950868788384</v>
      </c>
      <c r="AN27" s="1144">
        <f t="shared" si="32"/>
        <v>22332.399235106299</v>
      </c>
      <c r="AO27" s="1421"/>
      <c r="AP27" s="1101">
        <f t="shared" ref="AP27" si="54">Q27</f>
        <v>17621.856889545634</v>
      </c>
      <c r="AQ27" s="1102">
        <f t="shared" ref="AQ27" si="55">R27</f>
        <v>751.39711693352467</v>
      </c>
      <c r="AR27" s="1102">
        <f t="shared" ref="AR27" si="56">S27</f>
        <v>321.35014174830235</v>
      </c>
      <c r="AS27" s="1102">
        <f t="shared" ref="AS27" si="57">T27</f>
        <v>3637.7950868788384</v>
      </c>
      <c r="AT27" s="1144">
        <f t="shared" si="37"/>
        <v>22332.399235106299</v>
      </c>
      <c r="AU27" s="1417"/>
      <c r="AV27" s="1101">
        <f t="shared" si="38"/>
        <v>17621.856889545634</v>
      </c>
      <c r="AW27" s="1102">
        <f t="shared" si="39"/>
        <v>751.39711693352467</v>
      </c>
      <c r="AX27" s="1102">
        <f t="shared" si="40"/>
        <v>321.35014174830235</v>
      </c>
      <c r="AY27" s="1102">
        <f t="shared" si="41"/>
        <v>3637.7950868788384</v>
      </c>
      <c r="AZ27" s="1144">
        <f t="shared" si="42"/>
        <v>22332.399235106299</v>
      </c>
      <c r="BA27" s="1426"/>
      <c r="BB27" s="1101">
        <f t="shared" si="43"/>
        <v>17621.856889545634</v>
      </c>
      <c r="BC27" s="1102">
        <f t="shared" si="44"/>
        <v>751.39711693352467</v>
      </c>
      <c r="BD27" s="1102">
        <f t="shared" si="45"/>
        <v>321.35014174830235</v>
      </c>
      <c r="BE27" s="1102">
        <f t="shared" si="46"/>
        <v>3637.7950868788384</v>
      </c>
      <c r="BF27" s="1144">
        <f t="shared" si="47"/>
        <v>22332.399235106299</v>
      </c>
      <c r="BG27" s="1429"/>
      <c r="BH27" s="596">
        <f t="shared" si="48"/>
        <v>2017</v>
      </c>
      <c r="BI27" s="1102">
        <f>'Recycling - Case 1'!BV97</f>
        <v>111.48215319455257</v>
      </c>
      <c r="BJ27" s="417">
        <f>'Recycling - Case 1'!BW97</f>
        <v>0.28613022309776337</v>
      </c>
      <c r="BK27" s="1144">
        <f>'Recycling - Case 1'!BX97</f>
        <v>49.995050999999997</v>
      </c>
      <c r="BL27" s="1101">
        <f>'Recycling - Case 1'!BY97</f>
        <v>111.48215319455257</v>
      </c>
      <c r="BM27" s="576">
        <f>'Recycling - Case 1'!BZ97</f>
        <v>0.28613022309776337</v>
      </c>
      <c r="BN27" s="1144">
        <f>'Recycling - Case 1'!CA97</f>
        <v>49.995050999999997</v>
      </c>
      <c r="BO27" s="1102">
        <f>'Recycling - Case 2'!BV97</f>
        <v>111.48215319455257</v>
      </c>
      <c r="BP27" s="417">
        <f>'Recycling - Case 2'!BW97</f>
        <v>0.28613022309776337</v>
      </c>
      <c r="BQ27" s="1144">
        <f>'Recycling - Case 2'!BX97</f>
        <v>49.995050999999997</v>
      </c>
      <c r="BR27" s="1101">
        <f>'Recycling - Case 2'!BY97</f>
        <v>111.48215319455257</v>
      </c>
      <c r="BS27" s="417">
        <f>'Recycling - Case 2'!BZ97</f>
        <v>0.28613022309776337</v>
      </c>
      <c r="BT27" s="1144">
        <f>'Recycling - Case 2'!CA97</f>
        <v>49.995050999999997</v>
      </c>
      <c r="BU27" s="1102">
        <f>'Recycling - Case 3'!BV97</f>
        <v>111.48215319455257</v>
      </c>
      <c r="BV27" s="417">
        <f>'Recycling - Case 3'!BW97</f>
        <v>0.28613022309776337</v>
      </c>
      <c r="BW27" s="1144">
        <f>'Recycling - Case 3'!BX97</f>
        <v>49.995050999999997</v>
      </c>
      <c r="BX27" s="1101">
        <f>'Recycling - Case 3'!BY97</f>
        <v>111.48215319455257</v>
      </c>
      <c r="BY27" s="417">
        <f>'Recycling - Case 3'!BZ97</f>
        <v>0.28613022309776337</v>
      </c>
      <c r="BZ27" s="1144">
        <f>'Recycling - Case 3'!CA97</f>
        <v>49.995050999999997</v>
      </c>
      <c r="CA27" s="596">
        <v>2017</v>
      </c>
      <c r="CB27" s="649">
        <f>'Recycling - Case 1'!CB97</f>
        <v>0</v>
      </c>
      <c r="CC27" s="417">
        <f>'Recycling - Case 1'!CC97</f>
        <v>0</v>
      </c>
      <c r="CD27" s="417">
        <f>'Recycling - Case 1'!CD97</f>
        <v>0</v>
      </c>
      <c r="CE27" s="525">
        <f>'Recycling - Case 1'!CE97</f>
        <v>0</v>
      </c>
      <c r="CF27" s="649">
        <f>'Recycling - Case 2'!CB97</f>
        <v>0</v>
      </c>
      <c r="CG27" s="417">
        <f>'Recycling - Case 2'!CC97</f>
        <v>0</v>
      </c>
      <c r="CH27" s="417">
        <f>'Recycling - Case 2'!CD97</f>
        <v>0</v>
      </c>
      <c r="CI27" s="525">
        <f>'Recycling - Case 2'!CE97</f>
        <v>0</v>
      </c>
      <c r="CJ27" s="649">
        <f>'Recycling - Case 3'!CB97</f>
        <v>0</v>
      </c>
      <c r="CK27" s="417">
        <f>'Recycling - Case 3'!CC97</f>
        <v>0</v>
      </c>
      <c r="CL27" s="417">
        <f>'Recycling - Case 3'!CD97</f>
        <v>0</v>
      </c>
      <c r="CM27" s="525">
        <f>'Recycling - Case 3'!CE97</f>
        <v>0</v>
      </c>
    </row>
    <row r="28" spans="1:91" ht="13.9" customHeight="1">
      <c r="A28" s="413" t="s">
        <v>643</v>
      </c>
      <c r="B28" s="413"/>
      <c r="C28" s="471"/>
      <c r="D28" s="3"/>
      <c r="E28" s="472"/>
      <c r="F28" s="472"/>
      <c r="G28" s="515"/>
      <c r="H28" s="515"/>
      <c r="I28" s="515"/>
      <c r="J28" s="986"/>
      <c r="K28" s="515"/>
      <c r="L28" s="471"/>
      <c r="M28" s="3"/>
      <c r="N28" s="471"/>
      <c r="O28" s="514"/>
      <c r="P28" s="471"/>
      <c r="Q28" s="471"/>
      <c r="R28" s="517"/>
      <c r="S28" s="514"/>
      <c r="T28" s="471"/>
      <c r="U28" s="471"/>
      <c r="V28" s="3"/>
      <c r="W28" s="596">
        <f>A29</f>
        <v>2018</v>
      </c>
      <c r="X28" s="1101">
        <f>Q29</f>
        <v>17253.023595944302</v>
      </c>
      <c r="Y28" s="1102">
        <f t="shared" ref="Y28:AA28" si="58">R29</f>
        <v>814.51387052401719</v>
      </c>
      <c r="Z28" s="1102">
        <f t="shared" si="58"/>
        <v>313.05069559326625</v>
      </c>
      <c r="AA28" s="1102">
        <f t="shared" si="58"/>
        <v>3728.7332486308678</v>
      </c>
      <c r="AB28" s="1144">
        <f t="shared" si="22"/>
        <v>22109.32141069245</v>
      </c>
      <c r="AC28" s="1425" t="str">
        <f>IF(OR('Recycling - Case 1'!AC98="No",'Recycling - Case 1'!T138="No"), "No", "Yes")</f>
        <v>Yes</v>
      </c>
      <c r="AD28" s="1101">
        <f>Q63</f>
        <v>17253.023595944302</v>
      </c>
      <c r="AE28" s="1102">
        <f t="shared" ref="AE28:AG28" si="59">R63</f>
        <v>814.51387052401719</v>
      </c>
      <c r="AF28" s="1102">
        <f t="shared" si="59"/>
        <v>313.05069559326625</v>
      </c>
      <c r="AG28" s="1102">
        <f t="shared" si="59"/>
        <v>3728.7332486308678</v>
      </c>
      <c r="AH28" s="1144">
        <f t="shared" ref="AH28:AH60" si="60">SUM(AD28:AG28)</f>
        <v>22109.32141069245</v>
      </c>
      <c r="AI28" s="1425" t="str">
        <f>IF(OR('Recycling - Case 1'!AC98="No",'Recycling - Case 1'!T178="No"), "No", "Yes")</f>
        <v>Yes</v>
      </c>
      <c r="AJ28" s="1101">
        <f>Q97</f>
        <v>17253.023595944302</v>
      </c>
      <c r="AK28" s="1102">
        <f t="shared" ref="AK28:AN28" si="61">R97</f>
        <v>814.51387052401719</v>
      </c>
      <c r="AL28" s="1102">
        <f t="shared" si="61"/>
        <v>313.30333811016675</v>
      </c>
      <c r="AM28" s="1102">
        <f t="shared" si="61"/>
        <v>3778.1317878798554</v>
      </c>
      <c r="AN28" s="1144">
        <f t="shared" si="61"/>
        <v>22158.97259245834</v>
      </c>
      <c r="AO28" s="1418" t="str">
        <f>IF(OR('Recycling - Case 2'!AC98="No",'Recycling - Case 2'!T138="No"), "No", "Yes")</f>
        <v>Yes</v>
      </c>
      <c r="AP28" s="1101">
        <f>Q131</f>
        <v>17253.023595944302</v>
      </c>
      <c r="AQ28" s="1102">
        <f t="shared" ref="AQ28:AS28" si="62">R131</f>
        <v>814.51387052401719</v>
      </c>
      <c r="AR28" s="1102">
        <f t="shared" si="62"/>
        <v>313.30333811016675</v>
      </c>
      <c r="AS28" s="1102">
        <f t="shared" si="62"/>
        <v>3778.1317878798554</v>
      </c>
      <c r="AT28" s="1144">
        <f t="shared" si="37"/>
        <v>22158.97259245834</v>
      </c>
      <c r="AU28" s="1425" t="str">
        <f>IF(OR('Recycling - Case 2'!AC98="No",'Recycling - Case 2'!T178="No"), "No", "Yes")</f>
        <v>Yes</v>
      </c>
      <c r="AV28" s="1101">
        <f t="shared" ref="AV28:AV60" si="63">Q165</f>
        <v>17253.023595944302</v>
      </c>
      <c r="AW28" s="1102">
        <f t="shared" ref="AW28:AW60" si="64">R165</f>
        <v>752.19459867891726</v>
      </c>
      <c r="AX28" s="1102">
        <f t="shared" ref="AX28:AX60" si="65">S165</f>
        <v>313.30333811016669</v>
      </c>
      <c r="AY28" s="1102">
        <f t="shared" ref="AY28:AY60" si="66">T165</f>
        <v>3778.1317878798554</v>
      </c>
      <c r="AZ28" s="1144">
        <f t="shared" ref="AZ28:AZ60" si="67">U165</f>
        <v>22096.653320613241</v>
      </c>
      <c r="BA28" s="1425" t="str">
        <f>IF(OR('Recycling - Case 3'!AC98="No",'Recycling - Case 3'!T138="No"), "No", "Yes")</f>
        <v>Yes</v>
      </c>
      <c r="BB28" s="1101">
        <f>Q199</f>
        <v>17253.023595944302</v>
      </c>
      <c r="BC28" s="1102">
        <f t="shared" ref="BC28:BE28" si="68">R199</f>
        <v>752.19459867891726</v>
      </c>
      <c r="BD28" s="1102">
        <f t="shared" si="68"/>
        <v>313.30333811016669</v>
      </c>
      <c r="BE28" s="1102">
        <f t="shared" si="68"/>
        <v>3778.1317878798554</v>
      </c>
      <c r="BF28" s="1144">
        <f t="shared" si="47"/>
        <v>22096.653320613241</v>
      </c>
      <c r="BG28" s="1425" t="str">
        <f>IF(OR('Recycling - Case 3'!AC98="No",'Recycling - Case 3'!T178="No"), "No", "Yes")</f>
        <v>Yes</v>
      </c>
      <c r="BH28" s="596">
        <f t="shared" si="48"/>
        <v>2018</v>
      </c>
      <c r="BI28" s="1102">
        <f>'Recycling - Case 1'!BV98</f>
        <v>108.35289622576529</v>
      </c>
      <c r="BJ28" s="417">
        <f>'Recycling - Case 1'!BW98</f>
        <v>0.30364986200065908</v>
      </c>
      <c r="BK28" s="1144">
        <f>'Recycling - Case 1'!BX98</f>
        <v>50.343843445756853</v>
      </c>
      <c r="BL28" s="1101">
        <f>'Recycling - Case 1'!BY98</f>
        <v>108.35289622576529</v>
      </c>
      <c r="BM28" s="576">
        <f>'Recycling - Case 1'!BZ98</f>
        <v>0.30364986200065908</v>
      </c>
      <c r="BN28" s="1144">
        <f>'Recycling - Case 1'!CA98</f>
        <v>50.343843445756853</v>
      </c>
      <c r="BO28" s="1102">
        <f>'Recycling - Case 2'!BV98</f>
        <v>108.83172470800969</v>
      </c>
      <c r="BP28" s="417">
        <f>'Recycling - Case 2'!BW98</f>
        <v>0.31262032609967511</v>
      </c>
      <c r="BQ28" s="1144">
        <f>'Recycling - Case 2'!BX98</f>
        <v>50.343843445756853</v>
      </c>
      <c r="BR28" s="1101">
        <f>'Recycling - Case 2'!BY98</f>
        <v>108.83172470800969</v>
      </c>
      <c r="BS28" s="417">
        <f>'Recycling - Case 2'!BZ98</f>
        <v>0.31262032609967511</v>
      </c>
      <c r="BT28" s="1144">
        <f>'Recycling - Case 2'!CA98</f>
        <v>50.343843445756853</v>
      </c>
      <c r="BU28" s="1102">
        <f>'Recycling - Case 3'!BV98</f>
        <v>108.83172470800969</v>
      </c>
      <c r="BV28" s="417">
        <f>'Recycling - Case 3'!BW98</f>
        <v>0.31262032609967511</v>
      </c>
      <c r="BW28" s="1144">
        <f>'Recycling - Case 3'!BX98</f>
        <v>50.343843445756853</v>
      </c>
      <c r="BX28" s="1101">
        <f>'Recycling - Case 3'!BY98</f>
        <v>108.83172470800969</v>
      </c>
      <c r="BY28" s="417">
        <f>'Recycling - Case 3'!BZ98</f>
        <v>0.31262032609967511</v>
      </c>
      <c r="BZ28" s="1144">
        <f>'Recycling - Case 3'!CA98</f>
        <v>50.343843445756853</v>
      </c>
      <c r="CA28" s="596">
        <v>2018</v>
      </c>
      <c r="CB28" s="649">
        <f>'Recycling - Case 1'!CB98</f>
        <v>2.3712632285903479E-2</v>
      </c>
      <c r="CC28" s="417">
        <f>'Recycling - Case 1'!CC98</f>
        <v>4.314299592681492E-2</v>
      </c>
      <c r="CD28" s="417">
        <f>'Recycling - Case 1'!CD98</f>
        <v>2.3712632285903479E-2</v>
      </c>
      <c r="CE28" s="525">
        <f>'Recycling - Case 1'!CE98</f>
        <v>4.314299592681492E-2</v>
      </c>
      <c r="CF28" s="649">
        <f>'Recycling - Case 2'!CB98</f>
        <v>2.3097802675159818E-2</v>
      </c>
      <c r="CG28" s="417">
        <f>'Recycling - Case 2'!CC98</f>
        <v>3.7894412822106371E-2</v>
      </c>
      <c r="CH28" s="417">
        <f>'Recycling - Case 2'!CD98</f>
        <v>2.3097802675159818E-2</v>
      </c>
      <c r="CI28" s="525">
        <f>'Recycling - Case 2'!CE98</f>
        <v>3.7894412822106371E-2</v>
      </c>
      <c r="CJ28" s="649">
        <f>'Recycling - Case 3'!CB98</f>
        <v>2.3097802675159818E-2</v>
      </c>
      <c r="CK28" s="417">
        <f>'Recycling - Case 3'!CC98</f>
        <v>3.7894412822106371E-2</v>
      </c>
      <c r="CL28" s="417">
        <f>'Recycling - Case 3'!CD98</f>
        <v>2.3097802675159818E-2</v>
      </c>
      <c r="CM28" s="525">
        <f>'Recycling - Case 3'!CE98</f>
        <v>3.7894412822106371E-2</v>
      </c>
    </row>
    <row r="29" spans="1:91">
      <c r="A29" s="1430">
        <f>'Input data'!A118</f>
        <v>2018</v>
      </c>
      <c r="B29" s="1430"/>
      <c r="C29" s="1431">
        <f>'4A SWD Case 1'!BG88</f>
        <v>821.57255218782393</v>
      </c>
      <c r="D29" s="515">
        <f>'4B Biological treatment '!T82</f>
        <v>0.32146709865844858</v>
      </c>
      <c r="E29" s="1432">
        <f>'4B Biological treatment '!U82</f>
        <v>20.398057107378527</v>
      </c>
      <c r="F29" s="1432">
        <f>'4B Biological treatment '!W82</f>
        <v>1.2238834264427116</v>
      </c>
      <c r="G29" s="515">
        <f>'4C2 Open-burning '!R89</f>
        <v>32.890504306921038</v>
      </c>
      <c r="H29" s="515">
        <f>'4C2 Open-burning '!Z89</f>
        <v>11.066647744235141</v>
      </c>
      <c r="I29" s="515">
        <f>'4C2 Open-burning '!AH89</f>
        <v>0.15406641502389429</v>
      </c>
      <c r="J29" s="1433">
        <f>'4D Wastewater treatment and dis'!AV126</f>
        <v>134.80821026422416</v>
      </c>
      <c r="K29" s="1434">
        <f>'4D Wastewater treatment and dis'!AW126</f>
        <v>2.8960026873618072</v>
      </c>
      <c r="L29" s="1435">
        <f t="shared" ref="L29:L61" si="69">C29*$B$3</f>
        <v>17253.023595944302</v>
      </c>
      <c r="M29" s="1434">
        <f t="shared" ref="M29:M61" si="70">D29*$B$3</f>
        <v>6.7508090718274198</v>
      </c>
      <c r="N29" s="1435">
        <f t="shared" ref="N29:N61" si="71">E29*$B$3+F29*$C$3</f>
        <v>807.76306145218973</v>
      </c>
      <c r="O29" s="1431">
        <f t="shared" ref="O29:O61" si="72">G29+H29*$B$3+I29*$C$3</f>
        <v>313.05069559326625</v>
      </c>
      <c r="P29" s="1435">
        <f t="shared" ref="P29:P61" si="73">J29*$B$3+K29*$C$3</f>
        <v>3728.7332486308678</v>
      </c>
      <c r="Q29" s="471">
        <f t="shared" ref="Q29:Q125" si="74">L29</f>
        <v>17253.023595944302</v>
      </c>
      <c r="R29" s="517">
        <f t="shared" ref="R29:R125" si="75">M29+N29</f>
        <v>814.51387052401719</v>
      </c>
      <c r="S29" s="514">
        <f t="shared" ref="S29:S125" si="76">O29</f>
        <v>313.05069559326625</v>
      </c>
      <c r="T29" s="471">
        <f t="shared" ref="T29:T125" si="77">P29</f>
        <v>3728.7332486308678</v>
      </c>
      <c r="U29" s="471">
        <f t="shared" ref="U29:U125" si="78">SUM(Q29:T29)</f>
        <v>22109.32141069245</v>
      </c>
      <c r="V29" s="3"/>
      <c r="W29" s="596">
        <f t="shared" ref="W29:W60" si="79">A30</f>
        <v>2019</v>
      </c>
      <c r="X29" s="1101">
        <f t="shared" ref="X29:X60" si="80">Q30</f>
        <v>16855.204448784854</v>
      </c>
      <c r="Y29" s="1102">
        <f t="shared" ref="Y29:Y60" si="81">R30</f>
        <v>866.54564321939881</v>
      </c>
      <c r="Z29" s="1102">
        <f t="shared" ref="Z29:Z60" si="82">S30</f>
        <v>304.9221239283998</v>
      </c>
      <c r="AA29" s="1102">
        <f t="shared" ref="AA29:AA60" si="83">T30</f>
        <v>3821.6612855587077</v>
      </c>
      <c r="AB29" s="1144">
        <f t="shared" si="22"/>
        <v>21848.333501491365</v>
      </c>
      <c r="AC29" s="1425" t="str">
        <f>IF(OR('Recycling - Case 1'!AC99="No",'Recycling - Case 1'!T139="No"), "No", "Yes")</f>
        <v>Yes</v>
      </c>
      <c r="AD29" s="1101">
        <f t="shared" ref="AD29:AD60" si="84">Q64</f>
        <v>16855.204448784854</v>
      </c>
      <c r="AE29" s="1102">
        <f t="shared" ref="AE29:AE60" si="85">R64</f>
        <v>866.54564321939881</v>
      </c>
      <c r="AF29" s="1102">
        <f t="shared" ref="AF29:AF60" si="86">S64</f>
        <v>304.9221239283998</v>
      </c>
      <c r="AG29" s="1102">
        <f t="shared" ref="AG29:AG60" si="87">T64</f>
        <v>3821.6612855587077</v>
      </c>
      <c r="AH29" s="1144">
        <f t="shared" si="60"/>
        <v>21848.333501491365</v>
      </c>
      <c r="AI29" s="1425" t="str">
        <f>IF(OR('Recycling - Case 1'!AI10="No",'Recycling - Case 1'!Z139="No"), "No", "Yes")</f>
        <v>Yes</v>
      </c>
      <c r="AJ29" s="1101">
        <f t="shared" ref="AJ29:AJ60" si="88">Q98</f>
        <v>16861.092332144392</v>
      </c>
      <c r="AK29" s="1102">
        <f t="shared" ref="AK29:AK60" si="89">R98</f>
        <v>866.54564321939881</v>
      </c>
      <c r="AL29" s="1102">
        <f t="shared" ref="AL29:AL60" si="90">S98</f>
        <v>307.81392004196488</v>
      </c>
      <c r="AM29" s="1102">
        <f t="shared" ref="AM29:AM60" si="91">T98</f>
        <v>3922.0560748079342</v>
      </c>
      <c r="AN29" s="1144">
        <f t="shared" ref="AN29:AN60" si="92">U98</f>
        <v>21957.50797021369</v>
      </c>
      <c r="AO29" s="1418" t="str">
        <f>IF(OR('Recycling - Case 2'!AC99="No",'Recycling - Case 2'!T139="No"), "No", "Yes")</f>
        <v>Yes</v>
      </c>
      <c r="AP29" s="1101">
        <f t="shared" ref="AP29:AP60" si="93">Q132</f>
        <v>16861.092332144392</v>
      </c>
      <c r="AQ29" s="1102">
        <f t="shared" ref="AQ29:AQ60" si="94">R132</f>
        <v>866.54564321939881</v>
      </c>
      <c r="AR29" s="1102">
        <f t="shared" ref="AR29:AR60" si="95">S132</f>
        <v>307.81392004196488</v>
      </c>
      <c r="AS29" s="1102">
        <f t="shared" ref="AS29:AS60" si="96">T132</f>
        <v>3922.0560748079342</v>
      </c>
      <c r="AT29" s="1144">
        <f t="shared" si="37"/>
        <v>21957.50797021369</v>
      </c>
      <c r="AU29" s="1425" t="str">
        <f>IF(OR('Recycling - Case 2'!AC99="No",'Recycling - Case 2'!T179="No"), "No", "Yes")</f>
        <v>Yes</v>
      </c>
      <c r="AV29" s="1101">
        <f t="shared" si="63"/>
        <v>16861.099911829828</v>
      </c>
      <c r="AW29" s="1102">
        <f t="shared" si="64"/>
        <v>733.11219215399888</v>
      </c>
      <c r="AX29" s="1102">
        <f t="shared" si="65"/>
        <v>307.81392004196488</v>
      </c>
      <c r="AY29" s="1102">
        <f t="shared" si="66"/>
        <v>3922.0560748079342</v>
      </c>
      <c r="AZ29" s="1144">
        <f t="shared" si="67"/>
        <v>21824.082098833725</v>
      </c>
      <c r="BA29" s="1425" t="str">
        <f>IF(OR('Recycling - Case 3'!AC99="No",'Recycling - Case 3'!T139="No"), "No", "Yes")</f>
        <v>Yes</v>
      </c>
      <c r="BB29" s="1101">
        <f t="shared" ref="BB29:BB60" si="97">Q200</f>
        <v>16861.099911829828</v>
      </c>
      <c r="BC29" s="1102">
        <f t="shared" ref="BC29:BC60" si="98">R200</f>
        <v>733.11219215399888</v>
      </c>
      <c r="BD29" s="1102">
        <f t="shared" ref="BD29:BD60" si="99">S200</f>
        <v>307.81392004196488</v>
      </c>
      <c r="BE29" s="1102">
        <f t="shared" ref="BE29:BE60" si="100">T200</f>
        <v>3922.0560748079342</v>
      </c>
      <c r="BF29" s="1144">
        <f t="shared" si="47"/>
        <v>21824.082098833725</v>
      </c>
      <c r="BG29" s="1425" t="str">
        <f>IF(OR('Recycling - Case 3'!AC99="No",'Recycling - Case 3'!T179="No"), "No", "Yes")</f>
        <v>Yes</v>
      </c>
      <c r="BH29" s="596">
        <f t="shared" si="48"/>
        <v>2019</v>
      </c>
      <c r="BI29" s="1102">
        <f>'Recycling - Case 1'!BV99</f>
        <v>105.1186362544142</v>
      </c>
      <c r="BJ29" s="417">
        <f>'Recycling - Case 1'!BW99</f>
        <v>0.31949343574792161</v>
      </c>
      <c r="BK29" s="1144">
        <f>'Recycling - Case 1'!BX99</f>
        <v>48.412890850439844</v>
      </c>
      <c r="BL29" s="1101">
        <f>'Recycling - Case 1'!BY99</f>
        <v>105.1186362544142</v>
      </c>
      <c r="BM29" s="576">
        <f>'Recycling - Case 1'!BZ99</f>
        <v>0.31949343574792161</v>
      </c>
      <c r="BN29" s="1144">
        <f>'Recycling - Case 1'!CA99</f>
        <v>48.412890850439844</v>
      </c>
      <c r="BO29" s="1102">
        <f>'Recycling - Case 2'!BV99</f>
        <v>106.57771234372578</v>
      </c>
      <c r="BP29" s="417">
        <f>'Recycling - Case 2'!BW99</f>
        <v>0.33541894556819557</v>
      </c>
      <c r="BQ29" s="1144">
        <f>'Recycling - Case 2'!BX99</f>
        <v>48.412890850439844</v>
      </c>
      <c r="BR29" s="1101">
        <f>'Recycling - Case 2'!BY99</f>
        <v>106.57771234372578</v>
      </c>
      <c r="BS29" s="417">
        <f>'Recycling - Case 2'!BZ99</f>
        <v>0.33541894556819557</v>
      </c>
      <c r="BT29" s="1144">
        <f>'Recycling - Case 2'!CA99</f>
        <v>48.412890850439844</v>
      </c>
      <c r="BU29" s="1102">
        <f>'Recycling - Case 3'!BV99</f>
        <v>106.57771234372578</v>
      </c>
      <c r="BV29" s="417">
        <f>'Recycling - Case 3'!BW99</f>
        <v>0.33541894556819557</v>
      </c>
      <c r="BW29" s="1144">
        <f>'Recycling - Case 3'!BX99</f>
        <v>48.412890850439844</v>
      </c>
      <c r="BX29" s="1101">
        <f>'Recycling - Case 3'!BY99</f>
        <v>106.57771234372578</v>
      </c>
      <c r="BY29" s="417">
        <f>'Recycling - Case 3'!BZ99</f>
        <v>0.33541894556819557</v>
      </c>
      <c r="BZ29" s="1144">
        <f>'Recycling - Case 3'!CA99</f>
        <v>48.412890850439844</v>
      </c>
      <c r="CA29" s="596">
        <v>2019</v>
      </c>
      <c r="CB29" s="649">
        <f>'Recycling - Case 1'!CB99</f>
        <v>4.7766344222348933E-2</v>
      </c>
      <c r="CC29" s="417">
        <f>'Recycling - Case 1'!CC99</f>
        <v>5.9068989673516037E-2</v>
      </c>
      <c r="CD29" s="417">
        <f>'Recycling - Case 1'!CD99</f>
        <v>4.7766344222348933E-2</v>
      </c>
      <c r="CE29" s="525">
        <f>'Recycling - Case 1'!CE99</f>
        <v>5.9068989673516037E-2</v>
      </c>
      <c r="CF29" s="649">
        <f>'Recycling - Case 2'!CB99</f>
        <v>4.2261345922522509E-2</v>
      </c>
      <c r="CG29" s="417">
        <f>'Recycling - Case 2'!CC99</f>
        <v>4.3804869635095334E-2</v>
      </c>
      <c r="CH29" s="417">
        <f>'Recycling - Case 2'!CD99</f>
        <v>4.2261345922522509E-2</v>
      </c>
      <c r="CI29" s="525">
        <f>'Recycling - Case 2'!CE99</f>
        <v>4.3804869635095334E-2</v>
      </c>
      <c r="CJ29" s="649">
        <f>'Recycling - Case 3'!CB99</f>
        <v>4.2261345922522509E-2</v>
      </c>
      <c r="CK29" s="417">
        <f>'Recycling - Case 3'!CC99</f>
        <v>4.3804869635095334E-2</v>
      </c>
      <c r="CL29" s="417">
        <f>'Recycling - Case 3'!CD99</f>
        <v>4.2261345922522509E-2</v>
      </c>
      <c r="CM29" s="525">
        <f>'Recycling - Case 3'!CE99</f>
        <v>4.3804869635095334E-2</v>
      </c>
    </row>
    <row r="30" spans="1:91">
      <c r="A30" s="4">
        <f>'Input data'!A119</f>
        <v>2019</v>
      </c>
      <c r="B30" s="4"/>
      <c r="C30" s="769">
        <f>'4A SWD Case 1'!BG89</f>
        <v>802.62878327546923</v>
      </c>
      <c r="D30" s="3">
        <f>'4B Biological treatment '!T83</f>
        <v>0.37490238576394763</v>
      </c>
      <c r="E30" s="1159">
        <f>'4B Biological treatment '!U83</f>
        <v>21.68365386662515</v>
      </c>
      <c r="F30" s="1159">
        <f>'4B Biological treatment '!W83</f>
        <v>1.3010192319975089</v>
      </c>
      <c r="G30" s="952">
        <f>'4C2 Open-burning '!R90</f>
        <v>32.036480261883405</v>
      </c>
      <c r="H30" s="952">
        <f>'4C2 Open-burning '!Z90</f>
        <v>10.779294799344312</v>
      </c>
      <c r="I30" s="952">
        <f>'4C2 Open-burning '!AH90</f>
        <v>0.1500659770331802</v>
      </c>
      <c r="J30" s="987">
        <f>'4D Wastewater treatment and dis'!AV127</f>
        <v>138.54200894277699</v>
      </c>
      <c r="K30" s="770">
        <f>'4D Wastewater treatment and dis'!AW127</f>
        <v>2.9428357992270668</v>
      </c>
      <c r="L30" s="771">
        <f t="shared" si="69"/>
        <v>16855.204448784854</v>
      </c>
      <c r="M30" s="772">
        <f t="shared" si="70"/>
        <v>7.8729501010429006</v>
      </c>
      <c r="N30" s="771">
        <f t="shared" si="71"/>
        <v>858.67269311835594</v>
      </c>
      <c r="O30" s="773">
        <f t="shared" si="72"/>
        <v>304.9221239283998</v>
      </c>
      <c r="P30" s="771">
        <f t="shared" si="73"/>
        <v>3821.6612855587077</v>
      </c>
      <c r="Q30" s="519">
        <f t="shared" si="74"/>
        <v>16855.204448784854</v>
      </c>
      <c r="R30" s="521">
        <f t="shared" si="75"/>
        <v>866.54564321939881</v>
      </c>
      <c r="S30" s="518">
        <f t="shared" si="76"/>
        <v>304.9221239283998</v>
      </c>
      <c r="T30" s="519">
        <f t="shared" si="77"/>
        <v>3821.6612855587077</v>
      </c>
      <c r="U30" s="519">
        <f t="shared" si="78"/>
        <v>21848.333501491365</v>
      </c>
      <c r="V30" s="3"/>
      <c r="W30" s="596">
        <f t="shared" si="79"/>
        <v>2020</v>
      </c>
      <c r="X30" s="1101">
        <f t="shared" si="80"/>
        <v>16447.185876498486</v>
      </c>
      <c r="Y30" s="1102">
        <f t="shared" si="81"/>
        <v>898.74851691431957</v>
      </c>
      <c r="Z30" s="1102">
        <f t="shared" si="82"/>
        <v>296.95916503445704</v>
      </c>
      <c r="AA30" s="1102">
        <f t="shared" si="83"/>
        <v>3916.619774427455</v>
      </c>
      <c r="AB30" s="1144">
        <f t="shared" si="22"/>
        <v>21559.513332874714</v>
      </c>
      <c r="AC30" s="1425" t="str">
        <f>IF(OR('Recycling - Case 1'!AC100="No",'Recycling - Case 1'!T140="No"), "No", "Yes")</f>
        <v>Yes</v>
      </c>
      <c r="AD30" s="1101">
        <f t="shared" si="84"/>
        <v>16447.185876498486</v>
      </c>
      <c r="AE30" s="1102">
        <f t="shared" si="85"/>
        <v>898.74851691431957</v>
      </c>
      <c r="AF30" s="1102">
        <f t="shared" si="86"/>
        <v>296.95916503445704</v>
      </c>
      <c r="AG30" s="1102">
        <f t="shared" si="87"/>
        <v>3916.619774427455</v>
      </c>
      <c r="AH30" s="1144">
        <f t="shared" si="60"/>
        <v>21559.513332874714</v>
      </c>
      <c r="AI30" s="1425" t="str">
        <f>IF(OR('Recycling - Case 1'!AI11="No",'Recycling - Case 1'!Z140="No"), "No", "Yes")</f>
        <v>Yes</v>
      </c>
      <c r="AJ30" s="1101">
        <f t="shared" si="88"/>
        <v>16468.522608842512</v>
      </c>
      <c r="AK30" s="1102">
        <f t="shared" si="89"/>
        <v>954.20824523114607</v>
      </c>
      <c r="AL30" s="1102">
        <f t="shared" si="90"/>
        <v>299.52410113774715</v>
      </c>
      <c r="AM30" s="1102">
        <f t="shared" si="91"/>
        <v>4069.6472808319609</v>
      </c>
      <c r="AN30" s="1144">
        <f t="shared" si="92"/>
        <v>21791.902236043363</v>
      </c>
      <c r="AO30" s="1418" t="str">
        <f>IF(OR('Recycling - Case 2'!AC100="No",'Recycling - Case 2'!T140="No"), "No", "Yes")</f>
        <v>Yes</v>
      </c>
      <c r="AP30" s="1101">
        <f t="shared" si="93"/>
        <v>16468.522608842512</v>
      </c>
      <c r="AQ30" s="1102">
        <f t="shared" si="94"/>
        <v>954.20824523114607</v>
      </c>
      <c r="AR30" s="1102">
        <f t="shared" si="95"/>
        <v>299.52410113774715</v>
      </c>
      <c r="AS30" s="1102">
        <f t="shared" si="96"/>
        <v>4069.6472808319609</v>
      </c>
      <c r="AT30" s="1144">
        <f t="shared" si="37"/>
        <v>21791.902236043363</v>
      </c>
      <c r="AU30" s="1425" t="str">
        <f>IF(OR('Recycling - Case 2'!AC100="No",'Recycling - Case 2'!T180="No"), "No", "Yes")</f>
        <v>Yes</v>
      </c>
      <c r="AV30" s="1101">
        <f t="shared" si="63"/>
        <v>16468.545151644186</v>
      </c>
      <c r="AW30" s="1102">
        <f t="shared" si="64"/>
        <v>732.47082332532477</v>
      </c>
      <c r="AX30" s="1102">
        <f t="shared" si="65"/>
        <v>299.52410113774715</v>
      </c>
      <c r="AY30" s="1102">
        <f t="shared" si="66"/>
        <v>4069.6472808319609</v>
      </c>
      <c r="AZ30" s="1144">
        <f t="shared" si="67"/>
        <v>21570.187356939219</v>
      </c>
      <c r="BA30" s="1425" t="str">
        <f>IF(OR('Recycling - Case 3'!AC100="No",'Recycling - Case 3'!T140="No"), "No", "Yes")</f>
        <v>Yes</v>
      </c>
      <c r="BB30" s="1101">
        <f t="shared" si="97"/>
        <v>16468.545151644186</v>
      </c>
      <c r="BC30" s="1102">
        <f t="shared" si="98"/>
        <v>732.47082332532477</v>
      </c>
      <c r="BD30" s="1102">
        <f t="shared" si="99"/>
        <v>299.52410113774715</v>
      </c>
      <c r="BE30" s="1102">
        <f t="shared" si="100"/>
        <v>4069.6472808319609</v>
      </c>
      <c r="BF30" s="1144">
        <f t="shared" si="47"/>
        <v>21570.187356939219</v>
      </c>
      <c r="BG30" s="1425" t="str">
        <f>IF(OR('Recycling - Case 3'!AC100="No",'Recycling - Case 3'!T180="No"), "No", "Yes")</f>
        <v>Yes</v>
      </c>
      <c r="BH30" s="596">
        <f t="shared" si="48"/>
        <v>2020</v>
      </c>
      <c r="BI30" s="1102">
        <f>'Recycling - Case 1'!BV100</f>
        <v>100.77627847921866</v>
      </c>
      <c r="BJ30" s="417">
        <f>'Recycling - Case 1'!BW100</f>
        <v>0.32702711411175933</v>
      </c>
      <c r="BK30" s="1144">
        <f>'Recycling - Case 1'!BX100</f>
        <v>45.517474780710387</v>
      </c>
      <c r="BL30" s="1101">
        <f>'Recycling - Case 1'!BY100</f>
        <v>100.77627847921866</v>
      </c>
      <c r="BM30" s="576">
        <f>'Recycling - Case 1'!BZ100</f>
        <v>0.32702711411175933</v>
      </c>
      <c r="BN30" s="1144">
        <f>'Recycling - Case 1'!CA100</f>
        <v>45.517474780710387</v>
      </c>
      <c r="BO30" s="1102">
        <f>'Recycling - Case 2'!BV100</f>
        <v>100.8189050917279</v>
      </c>
      <c r="BP30" s="417">
        <f>'Recycling - Case 2'!BW100</f>
        <v>0.36060772329052165</v>
      </c>
      <c r="BQ30" s="1144">
        <f>'Recycling - Case 2'!BX100</f>
        <v>45.517474780710387</v>
      </c>
      <c r="BR30" s="1101">
        <f>'Recycling - Case 2'!BY100</f>
        <v>100.8189050917279</v>
      </c>
      <c r="BS30" s="417">
        <f>'Recycling - Case 2'!BZ100</f>
        <v>0.36060772329052165</v>
      </c>
      <c r="BT30" s="1144">
        <f>'Recycling - Case 2'!CA100</f>
        <v>45.517474780710387</v>
      </c>
      <c r="BU30" s="1102">
        <f>'Recycling - Case 3'!BV100</f>
        <v>100.8189050917279</v>
      </c>
      <c r="BV30" s="417">
        <f>'Recycling - Case 3'!BW100</f>
        <v>0.36060772329052165</v>
      </c>
      <c r="BW30" s="1144">
        <f>'Recycling - Case 3'!BX100</f>
        <v>45.517474780710387</v>
      </c>
      <c r="BX30" s="1101">
        <f>'Recycling - Case 3'!BY100</f>
        <v>100.8189050917279</v>
      </c>
      <c r="BY30" s="417">
        <f>'Recycling - Case 3'!BZ100</f>
        <v>0.36060772329052165</v>
      </c>
      <c r="BZ30" s="1144">
        <f>'Recycling - Case 3'!CA100</f>
        <v>45.517474780710387</v>
      </c>
      <c r="CA30" s="596">
        <v>2020</v>
      </c>
      <c r="CB30" s="649">
        <f>'Recycling - Case 1'!CB100</f>
        <v>7.0040644951311681E-2</v>
      </c>
      <c r="CC30" s="417">
        <f>'Recycling - Case 1'!CC100</f>
        <v>4.5517071588236813E-2</v>
      </c>
      <c r="CD30" s="417">
        <f>'Recycling - Case 1'!CD100</f>
        <v>7.0040644951311681E-2</v>
      </c>
      <c r="CE30" s="525">
        <f>'Recycling - Case 1'!CE100</f>
        <v>4.5517071588236813E-2</v>
      </c>
      <c r="CF30" s="649">
        <f>'Recycling - Case 2'!CB100</f>
        <v>6.3097402659273327E-2</v>
      </c>
      <c r="CG30" s="417">
        <f>'Recycling - Case 2'!CC100</f>
        <v>4.7146392566751349E-2</v>
      </c>
      <c r="CH30" s="417">
        <f>'Recycling - Case 2'!CD100</f>
        <v>6.3097402659273327E-2</v>
      </c>
      <c r="CI30" s="525">
        <f>'Recycling - Case 2'!CE100</f>
        <v>4.7146392566751349E-2</v>
      </c>
      <c r="CJ30" s="649">
        <f>'Recycling - Case 3'!CB100</f>
        <v>6.3097402659273327E-2</v>
      </c>
      <c r="CK30" s="417">
        <f>'Recycling - Case 3'!CC100</f>
        <v>4.7146392566751349E-2</v>
      </c>
      <c r="CL30" s="417">
        <f>'Recycling - Case 3'!CD100</f>
        <v>6.3097402659273327E-2</v>
      </c>
      <c r="CM30" s="525">
        <f>'Recycling - Case 3'!CE100</f>
        <v>4.7146392566751349E-2</v>
      </c>
    </row>
    <row r="31" spans="1:91">
      <c r="A31" s="4">
        <f>'Input data'!A120</f>
        <v>2020</v>
      </c>
      <c r="B31" s="4"/>
      <c r="C31" s="769">
        <f>'4A SWD Case 1'!BG90</f>
        <v>783.19932745230881</v>
      </c>
      <c r="D31" s="3">
        <f>'4B Biological treatment '!T84</f>
        <v>0.42266999842100295</v>
      </c>
      <c r="E31" s="1159">
        <f>'4B Biological treatment '!U84</f>
        <v>22.471526438067638</v>
      </c>
      <c r="F31" s="1159">
        <f>'4B Biological treatment '!W84</f>
        <v>1.3482915862840581</v>
      </c>
      <c r="G31" s="952">
        <f>'4C2 Open-burning '!R91</f>
        <v>31.199856234261556</v>
      </c>
      <c r="H31" s="952">
        <f>'4C2 Open-burning '!Z91</f>
        <v>10.497796427605877</v>
      </c>
      <c r="I31" s="952">
        <f>'4C2 Open-burning '!AH91</f>
        <v>0.14614704458216801</v>
      </c>
      <c r="J31" s="987">
        <f>'4D Wastewater treatment and dis'!AV128</f>
        <v>142.36131561162929</v>
      </c>
      <c r="K31" s="770">
        <f>'4D Wastewater treatment and dis'!AW128</f>
        <v>2.9904262793007734</v>
      </c>
      <c r="L31" s="771">
        <f t="shared" si="69"/>
        <v>16447.185876498486</v>
      </c>
      <c r="M31" s="772">
        <f t="shared" si="70"/>
        <v>8.8760699668410616</v>
      </c>
      <c r="N31" s="771">
        <f t="shared" si="71"/>
        <v>889.87244694747847</v>
      </c>
      <c r="O31" s="773">
        <f t="shared" si="72"/>
        <v>296.95916503445704</v>
      </c>
      <c r="P31" s="771">
        <f t="shared" si="73"/>
        <v>3916.619774427455</v>
      </c>
      <c r="Q31" s="519">
        <f t="shared" si="74"/>
        <v>16447.185876498486</v>
      </c>
      <c r="R31" s="521">
        <f t="shared" si="75"/>
        <v>898.74851691431957</v>
      </c>
      <c r="S31" s="518">
        <f t="shared" si="76"/>
        <v>296.95916503445704</v>
      </c>
      <c r="T31" s="519">
        <f t="shared" si="77"/>
        <v>3916.619774427455</v>
      </c>
      <c r="U31" s="519">
        <f t="shared" si="78"/>
        <v>21559.513332874714</v>
      </c>
      <c r="V31" s="3"/>
      <c r="W31" s="596">
        <f t="shared" si="79"/>
        <v>2021</v>
      </c>
      <c r="X31" s="1101">
        <f t="shared" si="80"/>
        <v>16035.919713047486</v>
      </c>
      <c r="Y31" s="1102">
        <f t="shared" si="81"/>
        <v>953.45442015584251</v>
      </c>
      <c r="Z31" s="1102">
        <f t="shared" si="82"/>
        <v>289.30826928918913</v>
      </c>
      <c r="AA31" s="1102">
        <f t="shared" si="83"/>
        <v>3995.2541307434112</v>
      </c>
      <c r="AB31" s="1144">
        <f t="shared" si="22"/>
        <v>21273.936533235927</v>
      </c>
      <c r="AC31" s="1425" t="str">
        <f>IF(OR('Recycling - Case 1'!AC101="No",'Recycling - Case 1'!T141="No"), "No", "Yes")</f>
        <v>Yes</v>
      </c>
      <c r="AD31" s="1101">
        <f t="shared" si="84"/>
        <v>16035.919713047486</v>
      </c>
      <c r="AE31" s="1102">
        <f t="shared" si="85"/>
        <v>953.45442015584251</v>
      </c>
      <c r="AF31" s="1102">
        <f t="shared" si="86"/>
        <v>289.30826928918913</v>
      </c>
      <c r="AG31" s="1102">
        <f t="shared" si="87"/>
        <v>3995.2541307434112</v>
      </c>
      <c r="AH31" s="1144">
        <f t="shared" si="60"/>
        <v>21273.936533235927</v>
      </c>
      <c r="AI31" s="1425" t="str">
        <f>IF(OR('Recycling - Case 1'!AI12="No",'Recycling - Case 1'!Z141="No"), "No", "Yes")</f>
        <v>Yes</v>
      </c>
      <c r="AJ31" s="1101">
        <f t="shared" si="88"/>
        <v>16045.117266113433</v>
      </c>
      <c r="AK31" s="1102">
        <f t="shared" si="89"/>
        <v>1173.5751672527697</v>
      </c>
      <c r="AL31" s="1102">
        <f t="shared" si="90"/>
        <v>275.36438549102087</v>
      </c>
      <c r="AM31" s="1102">
        <f t="shared" si="91"/>
        <v>4201.6401192926323</v>
      </c>
      <c r="AN31" s="1144">
        <f t="shared" si="92"/>
        <v>21695.696938149857</v>
      </c>
      <c r="AO31" s="1418" t="str">
        <f>IF(OR('Recycling - Case 2'!AC101="No",'Recycling - Case 2'!T141="No"), "No", "Yes")</f>
        <v>Yes</v>
      </c>
      <c r="AP31" s="1101">
        <f t="shared" si="93"/>
        <v>16045.117266113433</v>
      </c>
      <c r="AQ31" s="1102">
        <f t="shared" si="94"/>
        <v>1173.5751672527697</v>
      </c>
      <c r="AR31" s="1102">
        <f t="shared" si="95"/>
        <v>275.36438549102087</v>
      </c>
      <c r="AS31" s="1102">
        <f t="shared" si="96"/>
        <v>4201.6401192926323</v>
      </c>
      <c r="AT31" s="1144">
        <f t="shared" si="37"/>
        <v>21695.696938149857</v>
      </c>
      <c r="AU31" s="1425" t="str">
        <f>IF(OR('Recycling - Case 2'!AC101="No",'Recycling - Case 2'!T181="No"), "No", "Yes")</f>
        <v>Yes</v>
      </c>
      <c r="AV31" s="1101">
        <f t="shared" si="63"/>
        <v>16045.161976583255</v>
      </c>
      <c r="AW31" s="1102">
        <f t="shared" si="64"/>
        <v>807.49839992365014</v>
      </c>
      <c r="AX31" s="1102">
        <f t="shared" si="65"/>
        <v>275.36438549102087</v>
      </c>
      <c r="AY31" s="1102">
        <f t="shared" si="66"/>
        <v>4201.6401192926323</v>
      </c>
      <c r="AZ31" s="1144">
        <f t="shared" si="67"/>
        <v>21329.664881290559</v>
      </c>
      <c r="BA31" s="1425" t="str">
        <f>IF(OR('Recycling - Case 3'!AC101="No",'Recycling - Case 3'!T141="No"), "No", "Yes")</f>
        <v>Yes</v>
      </c>
      <c r="BB31" s="1101">
        <f t="shared" si="97"/>
        <v>16045.161976583255</v>
      </c>
      <c r="BC31" s="1102">
        <f t="shared" si="98"/>
        <v>807.49839992364991</v>
      </c>
      <c r="BD31" s="1102">
        <f t="shared" si="99"/>
        <v>275.36438549102087</v>
      </c>
      <c r="BE31" s="1102">
        <f t="shared" si="100"/>
        <v>4201.6401192926323</v>
      </c>
      <c r="BF31" s="1144">
        <f t="shared" si="47"/>
        <v>21329.664881290559</v>
      </c>
      <c r="BG31" s="1425" t="str">
        <f>IF(OR('Recycling - Case 3'!AC101="No",'Recycling - Case 3'!T181="No"), "No", "Yes")</f>
        <v>Yes</v>
      </c>
      <c r="BH31" s="596">
        <f t="shared" si="48"/>
        <v>2021</v>
      </c>
      <c r="BI31" s="1102">
        <f>'Recycling - Case 1'!BV101</f>
        <v>98.401954304803496</v>
      </c>
      <c r="BJ31" s="417">
        <f>'Recycling - Case 1'!BW101</f>
        <v>0.34657460964899484</v>
      </c>
      <c r="BK31" s="1144">
        <f>'Recycling - Case 1'!BX101</f>
        <v>45.871162972715418</v>
      </c>
      <c r="BL31" s="1101">
        <f>'Recycling - Case 1'!BY101</f>
        <v>98.401954304803496</v>
      </c>
      <c r="BM31" s="576">
        <f>'Recycling - Case 1'!BZ101</f>
        <v>0.34657460964899484</v>
      </c>
      <c r="BN31" s="1144">
        <f>'Recycling - Case 1'!CA101</f>
        <v>45.871162972715418</v>
      </c>
      <c r="BO31" s="1102">
        <f>'Recycling - Case 2'!BV101</f>
        <v>91.192908137843304</v>
      </c>
      <c r="BP31" s="417">
        <f>'Recycling - Case 2'!BW101</f>
        <v>0.43274721745870259</v>
      </c>
      <c r="BQ31" s="1144">
        <f>'Recycling - Case 2'!BX101</f>
        <v>45.871162972715418</v>
      </c>
      <c r="BR31" s="1101">
        <f>'Recycling - Case 2'!BY101</f>
        <v>91.192908137843304</v>
      </c>
      <c r="BS31" s="417">
        <f>'Recycling - Case 2'!BZ101</f>
        <v>0.43274721745870259</v>
      </c>
      <c r="BT31" s="1144">
        <f>'Recycling - Case 2'!CA101</f>
        <v>45.871162972715418</v>
      </c>
      <c r="BU31" s="1102">
        <f>'Recycling - Case 3'!BV101</f>
        <v>91.192908137843304</v>
      </c>
      <c r="BV31" s="417">
        <f>'Recycling - Case 3'!BW101</f>
        <v>0.43274721745870259</v>
      </c>
      <c r="BW31" s="1144">
        <f>'Recycling - Case 3'!BX101</f>
        <v>45.871162972715418</v>
      </c>
      <c r="BX31" s="1101">
        <f>'Recycling - Case 3'!BY101</f>
        <v>91.192908137843304</v>
      </c>
      <c r="BY31" s="417">
        <f>'Recycling - Case 3'!BZ101</f>
        <v>0.43274721745870259</v>
      </c>
      <c r="BZ31" s="1144">
        <f>'Recycling - Case 3'!CA101</f>
        <v>45.871162972715418</v>
      </c>
      <c r="CA31" s="596">
        <v>2021</v>
      </c>
      <c r="CB31" s="649">
        <f>'Recycling - Case 1'!CB101</f>
        <v>8.7685876347071812E-2</v>
      </c>
      <c r="CC31" s="417">
        <f>'Recycling - Case 1'!CC101</f>
        <v>8.6574358424417741E-2</v>
      </c>
      <c r="CD31" s="417">
        <f>'Recycling - Case 1'!CD101</f>
        <v>8.7685876347071812E-2</v>
      </c>
      <c r="CE31" s="525">
        <f>'Recycling - Case 1'!CE101</f>
        <v>8.6574358424417741E-2</v>
      </c>
      <c r="CF31" s="649">
        <f>'Recycling - Case 2'!CB101</f>
        <v>9.726841017376453E-2</v>
      </c>
      <c r="CG31" s="417">
        <f>'Recycling - Case 2'!CC101</f>
        <v>0.17119814042650427</v>
      </c>
      <c r="CH31" s="417">
        <f>'Recycling - Case 2'!CD101</f>
        <v>9.726841017376453E-2</v>
      </c>
      <c r="CI31" s="525">
        <f>'Recycling - Case 2'!CE101</f>
        <v>0.17119814042650427</v>
      </c>
      <c r="CJ31" s="649">
        <f>'Recycling - Case 3'!CB101</f>
        <v>9.726841017376453E-2</v>
      </c>
      <c r="CK31" s="417">
        <f>'Recycling - Case 3'!CC101</f>
        <v>0.17119814042650427</v>
      </c>
      <c r="CL31" s="417">
        <f>'Recycling - Case 3'!CD101</f>
        <v>9.726841017376453E-2</v>
      </c>
      <c r="CM31" s="525">
        <f>'Recycling - Case 3'!CE101</f>
        <v>0.17119814042650427</v>
      </c>
    </row>
    <row r="32" spans="1:91">
      <c r="A32" s="4">
        <f>'Input data'!A121</f>
        <v>2021</v>
      </c>
      <c r="B32" s="4"/>
      <c r="C32" s="769">
        <f>'4A SWD Case 1'!BG91</f>
        <v>763.61522443083265</v>
      </c>
      <c r="D32" s="3">
        <f>'4B Biological treatment '!T85</f>
        <v>0.48824854369953319</v>
      </c>
      <c r="E32" s="1159">
        <f>'4B Biological treatment '!U85</f>
        <v>23.818212139852331</v>
      </c>
      <c r="F32" s="1159">
        <f>'4B Biological treatment '!W85</f>
        <v>1.4290927283911399</v>
      </c>
      <c r="G32" s="952">
        <f>'4C2 Open-burning '!R92</f>
        <v>30.396018954856537</v>
      </c>
      <c r="H32" s="952">
        <f>'4C2 Open-burning '!Z92</f>
        <v>10.227329792863893</v>
      </c>
      <c r="I32" s="952">
        <f>'4C2 Open-burning '!AH92</f>
        <v>0.14238169252964775</v>
      </c>
      <c r="J32" s="987">
        <f>'4D Wastewater treatment and dis'!AV129</f>
        <v>145.59752270040624</v>
      </c>
      <c r="K32" s="770">
        <f>'4D Wastewater treatment and dis'!AW129</f>
        <v>3.0248585614028385</v>
      </c>
      <c r="L32" s="771">
        <f t="shared" si="69"/>
        <v>16035.919713047486</v>
      </c>
      <c r="M32" s="772">
        <f t="shared" si="70"/>
        <v>10.253219417690197</v>
      </c>
      <c r="N32" s="771">
        <f t="shared" si="71"/>
        <v>943.20120073815235</v>
      </c>
      <c r="O32" s="773">
        <f t="shared" si="72"/>
        <v>289.30826928918913</v>
      </c>
      <c r="P32" s="771">
        <f t="shared" si="73"/>
        <v>3995.2541307434112</v>
      </c>
      <c r="Q32" s="519">
        <f t="shared" si="74"/>
        <v>16035.919713047486</v>
      </c>
      <c r="R32" s="521">
        <f t="shared" si="75"/>
        <v>953.45442015584251</v>
      </c>
      <c r="S32" s="518">
        <f t="shared" si="76"/>
        <v>289.30826928918913</v>
      </c>
      <c r="T32" s="519">
        <f t="shared" si="77"/>
        <v>3995.2541307434112</v>
      </c>
      <c r="U32" s="519">
        <f t="shared" si="78"/>
        <v>21273.936533235927</v>
      </c>
      <c r="V32" s="3"/>
      <c r="W32" s="596">
        <f t="shared" si="79"/>
        <v>2022</v>
      </c>
      <c r="X32" s="1101">
        <f t="shared" si="80"/>
        <v>15608.076397942939</v>
      </c>
      <c r="Y32" s="1102">
        <f t="shared" si="81"/>
        <v>1006.8370415951448</v>
      </c>
      <c r="Z32" s="1102">
        <f t="shared" si="82"/>
        <v>281.88387608267908</v>
      </c>
      <c r="AA32" s="1102">
        <f t="shared" si="83"/>
        <v>4075.1800556596418</v>
      </c>
      <c r="AB32" s="1144">
        <f t="shared" si="22"/>
        <v>20971.977371280405</v>
      </c>
      <c r="AC32" s="1425" t="str">
        <f>IF(OR('Recycling - Case 1'!AC102="No",'Recycling - Case 1'!T142="No"), "No", "Yes")</f>
        <v>Yes</v>
      </c>
      <c r="AD32" s="1101">
        <f t="shared" si="84"/>
        <v>15608.076397942939</v>
      </c>
      <c r="AE32" s="1102">
        <f t="shared" si="85"/>
        <v>1006.8370415951448</v>
      </c>
      <c r="AF32" s="1102">
        <f t="shared" si="86"/>
        <v>281.88387608267908</v>
      </c>
      <c r="AG32" s="1102">
        <f t="shared" si="87"/>
        <v>4075.1800556596418</v>
      </c>
      <c r="AH32" s="1144">
        <f t="shared" si="60"/>
        <v>20971.977371280405</v>
      </c>
      <c r="AI32" s="1425" t="str">
        <f>IF(OR('Recycling - Case 1'!AI13="No",'Recycling - Case 1'!Z142="No"), "No", "Yes")</f>
        <v>Yes</v>
      </c>
      <c r="AJ32" s="1101">
        <f t="shared" si="88"/>
        <v>15513.853078015567</v>
      </c>
      <c r="AK32" s="1102">
        <f t="shared" si="89"/>
        <v>1279.84026775333</v>
      </c>
      <c r="AL32" s="1102">
        <f t="shared" si="90"/>
        <v>229.17353377197622</v>
      </c>
      <c r="AM32" s="1102">
        <f t="shared" si="91"/>
        <v>4336.1329960221574</v>
      </c>
      <c r="AN32" s="1144">
        <f t="shared" si="92"/>
        <v>21358.999875563029</v>
      </c>
      <c r="AO32" s="1418" t="str">
        <f>IF(OR('Recycling - Case 2'!AC102="No",'Recycling - Case 2'!T142="No"), "No", "Yes")</f>
        <v>No</v>
      </c>
      <c r="AP32" s="1101">
        <f t="shared" si="93"/>
        <v>15513.853078015567</v>
      </c>
      <c r="AQ32" s="1102">
        <f t="shared" si="94"/>
        <v>1279.84026775333</v>
      </c>
      <c r="AR32" s="1102">
        <f t="shared" si="95"/>
        <v>229.17353377197622</v>
      </c>
      <c r="AS32" s="1102">
        <f t="shared" si="96"/>
        <v>4336.1329960221574</v>
      </c>
      <c r="AT32" s="1144">
        <f t="shared" si="37"/>
        <v>21358.999875563029</v>
      </c>
      <c r="AU32" s="1425" t="str">
        <f>IF(OR('Recycling - Case 2'!AC102="No",'Recycling - Case 2'!T182="No"), "No", "Yes")</f>
        <v>No</v>
      </c>
      <c r="AV32" s="1101">
        <f t="shared" si="63"/>
        <v>15513.926852505996</v>
      </c>
      <c r="AW32" s="1102">
        <f t="shared" si="64"/>
        <v>777.27403948413553</v>
      </c>
      <c r="AX32" s="1102">
        <f t="shared" si="65"/>
        <v>229.17353377197622</v>
      </c>
      <c r="AY32" s="1102">
        <f t="shared" si="66"/>
        <v>4336.1329960221574</v>
      </c>
      <c r="AZ32" s="1144">
        <f t="shared" si="67"/>
        <v>20856.507421784263</v>
      </c>
      <c r="BA32" s="1425" t="str">
        <f>IF(OR('Recycling - Case 3'!AC102="No",'Recycling - Case 3'!T142="No"), "No", "Yes")</f>
        <v>No</v>
      </c>
      <c r="BB32" s="1101">
        <f t="shared" si="97"/>
        <v>15513.926852505996</v>
      </c>
      <c r="BC32" s="1102">
        <f t="shared" si="98"/>
        <v>777.27403948413553</v>
      </c>
      <c r="BD32" s="1102">
        <f t="shared" si="99"/>
        <v>229.17353377197622</v>
      </c>
      <c r="BE32" s="1102">
        <f t="shared" si="100"/>
        <v>4336.1329960221574</v>
      </c>
      <c r="BF32" s="1144">
        <f t="shared" si="47"/>
        <v>20856.507421784263</v>
      </c>
      <c r="BG32" s="1425" t="str">
        <f>IF(OR('Recycling - Case 3'!AC102="No",'Recycling - Case 3'!T182="No"), "No", "Yes")</f>
        <v>No</v>
      </c>
      <c r="BH32" s="596">
        <f t="shared" si="48"/>
        <v>2022</v>
      </c>
      <c r="BI32" s="1102">
        <f>'Recycling - Case 1'!BV102</f>
        <v>96.177507802704497</v>
      </c>
      <c r="BJ32" s="417">
        <f>'Recycling - Case 1'!BW102</f>
        <v>0.3661739901807825</v>
      </c>
      <c r="BK32" s="1144">
        <f>'Recycling - Case 1'!BX102</f>
        <v>45.764081347342724</v>
      </c>
      <c r="BL32" s="1101">
        <f>'Recycling - Case 1'!BY102</f>
        <v>96.177507802704497</v>
      </c>
      <c r="BM32" s="417">
        <f>'Recycling - Case 1'!BZ102</f>
        <v>0.3661739901807825</v>
      </c>
      <c r="BN32" s="1144">
        <f>'Recycling - Case 1'!CA102</f>
        <v>45.764081347342724</v>
      </c>
      <c r="BO32" s="1102">
        <f>'Recycling - Case 2'!BV102</f>
        <v>84.079382376176127</v>
      </c>
      <c r="BP32" s="417">
        <f>'Recycling - Case 2'!BW102</f>
        <v>0.49378635898790341</v>
      </c>
      <c r="BQ32" s="1144">
        <f>'Recycling - Case 2'!BX102</f>
        <v>45.764081347342724</v>
      </c>
      <c r="BR32" s="1101">
        <f>'Recycling - Case 2'!BY102</f>
        <v>84.079382376176127</v>
      </c>
      <c r="BS32" s="417">
        <f>'Recycling - Case 2'!BZ102</f>
        <v>0.49378635898790341</v>
      </c>
      <c r="BT32" s="1144">
        <f>'Recycling - Case 2'!CA102</f>
        <v>45.764081347342724</v>
      </c>
      <c r="BU32" s="1102">
        <f>'Recycling - Case 3'!BV102</f>
        <v>84.079382376176127</v>
      </c>
      <c r="BV32" s="417">
        <f>'Recycling - Case 3'!BW102</f>
        <v>0.49378635898790341</v>
      </c>
      <c r="BW32" s="1144">
        <f>'Recycling - Case 3'!BX102</f>
        <v>45.764081347342724</v>
      </c>
      <c r="BX32" s="1101">
        <f>'Recycling - Case 3'!BY102</f>
        <v>84.079382376176127</v>
      </c>
      <c r="BY32" s="417">
        <f>'Recycling - Case 3'!BZ102</f>
        <v>0.49378635898790341</v>
      </c>
      <c r="BZ32" s="1144">
        <f>'Recycling - Case 3'!CA102</f>
        <v>45.764081347342724</v>
      </c>
      <c r="CA32" s="596">
        <v>2022</v>
      </c>
      <c r="CB32" s="649">
        <f>'Recycling - Case 1'!CB102</f>
        <v>0.10394016738010314</v>
      </c>
      <c r="CC32" s="417">
        <f>'Recycling - Case 1'!CC102</f>
        <v>0.11935240495334909</v>
      </c>
      <c r="CD32" s="417">
        <f>'Recycling - Case 1'!CD102</f>
        <v>0.10394016738010314</v>
      </c>
      <c r="CE32" s="525">
        <f>'Recycling - Case 1'!CE102</f>
        <v>0.11935240495334909</v>
      </c>
      <c r="CF32" s="649">
        <f>'Recycling - Case 2'!CB102</f>
        <v>0.15764324460297707</v>
      </c>
      <c r="CG32" s="417">
        <f>'Recycling - Case 2'!CC102</f>
        <v>0.24842959848266077</v>
      </c>
      <c r="CH32" s="417">
        <f>'Recycling - Case 2'!CD102</f>
        <v>0.15764324460297707</v>
      </c>
      <c r="CI32" s="525">
        <f>'Recycling - Case 2'!CE102</f>
        <v>0.24842959848266077</v>
      </c>
      <c r="CJ32" s="649">
        <f>'Recycling - Case 3'!CB102</f>
        <v>0.15764324460297707</v>
      </c>
      <c r="CK32" s="417">
        <f>'Recycling - Case 3'!CC102</f>
        <v>0.24842959848266077</v>
      </c>
      <c r="CL32" s="417">
        <f>'Recycling - Case 3'!CD102</f>
        <v>0.15764324460297707</v>
      </c>
      <c r="CM32" s="525">
        <f>'Recycling - Case 3'!CE102</f>
        <v>0.24842959848266077</v>
      </c>
    </row>
    <row r="33" spans="1:91">
      <c r="A33" s="4">
        <f>'Input data'!A122</f>
        <v>2022</v>
      </c>
      <c r="B33" s="4"/>
      <c r="C33" s="769">
        <f>'4A SWD Case 1'!BG92</f>
        <v>743.24173323537809</v>
      </c>
      <c r="D33" s="3">
        <f>'4B Biological treatment '!T86</f>
        <v>0.55842320665288137</v>
      </c>
      <c r="E33" s="1159">
        <f>'4B Biological treatment '!U86</f>
        <v>25.129044299379654</v>
      </c>
      <c r="F33" s="1159">
        <f>'4B Biological treatment '!W86</f>
        <v>1.5077426579627793</v>
      </c>
      <c r="G33" s="952">
        <f>'4C2 Open-burning '!R93</f>
        <v>29.615979043837584</v>
      </c>
      <c r="H33" s="952">
        <f>'4C2 Open-burning '!Z93</f>
        <v>9.9648702440185204</v>
      </c>
      <c r="I33" s="952">
        <f>'4C2 Open-burning '!AH93</f>
        <v>0.13872781262726636</v>
      </c>
      <c r="J33" s="987">
        <f>'4D Wastewater treatment and dis'!AV130</f>
        <v>148.88938056271107</v>
      </c>
      <c r="K33" s="770">
        <f>'4D Wastewater treatment and dis'!AW130</f>
        <v>3.0596873027184164</v>
      </c>
      <c r="L33" s="771">
        <f t="shared" si="69"/>
        <v>15608.076397942939</v>
      </c>
      <c r="M33" s="772">
        <f t="shared" si="70"/>
        <v>11.726887339710508</v>
      </c>
      <c r="N33" s="771">
        <f t="shared" si="71"/>
        <v>995.11015425543428</v>
      </c>
      <c r="O33" s="773">
        <f t="shared" si="72"/>
        <v>281.88387608267908</v>
      </c>
      <c r="P33" s="771">
        <f t="shared" si="73"/>
        <v>4075.1800556596418</v>
      </c>
      <c r="Q33" s="519">
        <f t="shared" si="74"/>
        <v>15608.076397942939</v>
      </c>
      <c r="R33" s="521">
        <f t="shared" si="75"/>
        <v>1006.8370415951448</v>
      </c>
      <c r="S33" s="518">
        <f t="shared" si="76"/>
        <v>281.88387608267908</v>
      </c>
      <c r="T33" s="519">
        <f t="shared" si="77"/>
        <v>4075.1800556596418</v>
      </c>
      <c r="U33" s="519">
        <f t="shared" si="78"/>
        <v>20971.977371280405</v>
      </c>
      <c r="V33" s="3"/>
      <c r="W33" s="596">
        <f t="shared" si="79"/>
        <v>2023</v>
      </c>
      <c r="X33" s="1101">
        <f t="shared" si="80"/>
        <v>15170.1941592652</v>
      </c>
      <c r="Y33" s="1102">
        <f t="shared" si="81"/>
        <v>1066.7762323953757</v>
      </c>
      <c r="Z33" s="1102">
        <f t="shared" si="82"/>
        <v>274.67843923294652</v>
      </c>
      <c r="AA33" s="1102">
        <f t="shared" si="83"/>
        <v>4156.4168668213024</v>
      </c>
      <c r="AB33" s="1144">
        <f t="shared" si="22"/>
        <v>20668.065697714825</v>
      </c>
      <c r="AC33" s="1425" t="str">
        <f>IF(OR('Recycling - Case 1'!AC103="No",'Recycling - Case 1'!T143="No"), "No", "Yes")</f>
        <v>Yes</v>
      </c>
      <c r="AD33" s="1101">
        <f t="shared" si="84"/>
        <v>15170.1941592652</v>
      </c>
      <c r="AE33" s="1102">
        <f t="shared" si="85"/>
        <v>1066.7762323953757</v>
      </c>
      <c r="AF33" s="1102">
        <f t="shared" si="86"/>
        <v>274.67843923294652</v>
      </c>
      <c r="AG33" s="1102">
        <f t="shared" si="87"/>
        <v>4156.4168668213024</v>
      </c>
      <c r="AH33" s="1144">
        <f t="shared" si="60"/>
        <v>20668.065697714825</v>
      </c>
      <c r="AI33" s="1425" t="str">
        <f>IF(OR('Recycling - Case 1'!AI14="No",'Recycling - Case 1'!Z143="No"), "No", "Yes")</f>
        <v>Yes</v>
      </c>
      <c r="AJ33" s="1101">
        <f t="shared" si="88"/>
        <v>14930.555499697757</v>
      </c>
      <c r="AK33" s="1102">
        <f t="shared" si="89"/>
        <v>1285.1788133219236</v>
      </c>
      <c r="AL33" s="1102">
        <f t="shared" si="90"/>
        <v>217.34002107405581</v>
      </c>
      <c r="AM33" s="1102">
        <f t="shared" si="91"/>
        <v>4473.1659836582639</v>
      </c>
      <c r="AN33" s="1144">
        <f t="shared" si="92"/>
        <v>20906.240317752003</v>
      </c>
      <c r="AO33" s="1418" t="str">
        <f>IF(OR('Recycling - Case 2'!AC103="No",'Recycling - Case 2'!T143="No"), "No", "Yes")</f>
        <v>No</v>
      </c>
      <c r="AP33" s="1101">
        <f t="shared" si="93"/>
        <v>14930.555499697757</v>
      </c>
      <c r="AQ33" s="1102">
        <f t="shared" si="94"/>
        <v>1285.1788133219236</v>
      </c>
      <c r="AR33" s="1102">
        <f t="shared" si="95"/>
        <v>217.34002107405581</v>
      </c>
      <c r="AS33" s="1102">
        <f t="shared" si="96"/>
        <v>4473.1659836582639</v>
      </c>
      <c r="AT33" s="1144">
        <f t="shared" si="37"/>
        <v>20906.240317752003</v>
      </c>
      <c r="AU33" s="1425" t="str">
        <f>IF(OR('Recycling - Case 2'!AC103="No",'Recycling - Case 2'!T183="No"), "No", "Yes")</f>
        <v>No</v>
      </c>
      <c r="AV33" s="1101">
        <f t="shared" si="63"/>
        <v>14930.665018375896</v>
      </c>
      <c r="AW33" s="1102">
        <f t="shared" si="64"/>
        <v>780.51625101913839</v>
      </c>
      <c r="AX33" s="1102">
        <f t="shared" si="65"/>
        <v>217.34002107405581</v>
      </c>
      <c r="AY33" s="1102">
        <f t="shared" si="66"/>
        <v>4473.1659836582639</v>
      </c>
      <c r="AZ33" s="1144">
        <f t="shared" si="67"/>
        <v>20401.687274127355</v>
      </c>
      <c r="BA33" s="1425" t="str">
        <f>IF(OR('Recycling - Case 3'!AC103="No",'Recycling - Case 3'!T143="No"), "No", "Yes")</f>
        <v>No</v>
      </c>
      <c r="BB33" s="1101">
        <f t="shared" si="97"/>
        <v>14930.665018375896</v>
      </c>
      <c r="BC33" s="1102">
        <f t="shared" si="98"/>
        <v>780.51625101913839</v>
      </c>
      <c r="BD33" s="1102">
        <f t="shared" si="99"/>
        <v>217.34002107405581</v>
      </c>
      <c r="BE33" s="1102">
        <f t="shared" si="100"/>
        <v>4473.1659836582639</v>
      </c>
      <c r="BF33" s="1144">
        <f t="shared" si="47"/>
        <v>20401.687274127355</v>
      </c>
      <c r="BG33" s="1425" t="str">
        <f>IF(OR('Recycling - Case 3'!AC103="No",'Recycling - Case 3'!T183="No"), "No", "Yes")</f>
        <v>No</v>
      </c>
      <c r="BH33" s="596">
        <f t="shared" si="48"/>
        <v>2023</v>
      </c>
      <c r="BI33" s="1102">
        <f>'Recycling - Case 1'!BV103</f>
        <v>94.1558059479229</v>
      </c>
      <c r="BJ33" s="417">
        <f>'Recycling - Case 1'!BW103</f>
        <v>0.38618101380033737</v>
      </c>
      <c r="BK33" s="1144">
        <f>'Recycling - Case 1'!BX103</f>
        <v>45.569695474175937</v>
      </c>
      <c r="BL33" s="1101">
        <f>'Recycling - Case 1'!BY103</f>
        <v>94.1558059479229</v>
      </c>
      <c r="BM33" s="417">
        <f>'Recycling - Case 1'!BZ103</f>
        <v>0.38618101380033737</v>
      </c>
      <c r="BN33" s="1144">
        <f>'Recycling - Case 1'!CA103</f>
        <v>45.569695474175937</v>
      </c>
      <c r="BO33" s="1102">
        <f>'Recycling - Case 2'!BV103</f>
        <v>83.98974440871261</v>
      </c>
      <c r="BP33" s="417">
        <f>'Recycling - Case 2'!BW103</f>
        <v>0.51322278306491953</v>
      </c>
      <c r="BQ33" s="1144">
        <f>'Recycling - Case 2'!BX103</f>
        <v>45.569695474175937</v>
      </c>
      <c r="BR33" s="1101">
        <f>'Recycling - Case 2'!BY103</f>
        <v>83.98974440871261</v>
      </c>
      <c r="BS33" s="417">
        <f>'Recycling - Case 2'!BZ103</f>
        <v>0.51322278306491953</v>
      </c>
      <c r="BT33" s="1144">
        <f>'Recycling - Case 2'!CA103</f>
        <v>45.569695474175937</v>
      </c>
      <c r="BU33" s="1102">
        <f>'Recycling - Case 3'!BV103</f>
        <v>83.98974440871261</v>
      </c>
      <c r="BV33" s="417">
        <f>'Recycling - Case 3'!BW103</f>
        <v>0.51322278306491953</v>
      </c>
      <c r="BW33" s="1144">
        <f>'Recycling - Case 3'!BX103</f>
        <v>45.569695474175937</v>
      </c>
      <c r="BX33" s="1101">
        <f>'Recycling - Case 3'!BY103</f>
        <v>83.98974440871261</v>
      </c>
      <c r="BY33" s="417">
        <f>'Recycling - Case 3'!BZ103</f>
        <v>0.51322278306491953</v>
      </c>
      <c r="BZ33" s="1144">
        <f>'Recycling - Case 3'!CA103</f>
        <v>45.569695474175937</v>
      </c>
      <c r="CA33" s="596">
        <v>2023</v>
      </c>
      <c r="CB33" s="649">
        <f>'Recycling - Case 1'!CB103</f>
        <v>0.11889879957863858</v>
      </c>
      <c r="CC33" s="417">
        <f>'Recycling - Case 1'!CC103</f>
        <v>0.14861875961590143</v>
      </c>
      <c r="CD33" s="417">
        <f>'Recycling - Case 1'!CD103</f>
        <v>0.11889879957863858</v>
      </c>
      <c r="CE33" s="525">
        <f>'Recycling - Case 1'!CE103</f>
        <v>0.14861875961590143</v>
      </c>
      <c r="CF33" s="649">
        <f>'Recycling - Case 2'!CB103</f>
        <v>0.17661362793734681</v>
      </c>
      <c r="CG33" s="417">
        <f>'Recycling - Case 2'!CC103</f>
        <v>0.25219312256056914</v>
      </c>
      <c r="CH33" s="417">
        <f>'Recycling - Case 2'!CD103</f>
        <v>0.17661362793734681</v>
      </c>
      <c r="CI33" s="525">
        <f>'Recycling - Case 2'!CE103</f>
        <v>0.25219312256056914</v>
      </c>
      <c r="CJ33" s="649">
        <f>'Recycling - Case 3'!CB103</f>
        <v>0.17661362793734681</v>
      </c>
      <c r="CK33" s="417">
        <f>'Recycling - Case 3'!CC103</f>
        <v>0.25219312256056914</v>
      </c>
      <c r="CL33" s="417">
        <f>'Recycling - Case 3'!CD103</f>
        <v>0.17661362793734681</v>
      </c>
      <c r="CM33" s="525">
        <f>'Recycling - Case 3'!CE103</f>
        <v>0.25219312256056914</v>
      </c>
    </row>
    <row r="34" spans="1:91">
      <c r="A34" s="4">
        <f>'Input data'!A123</f>
        <v>2023</v>
      </c>
      <c r="B34" s="4"/>
      <c r="C34" s="769">
        <f>'4A SWD Case 1'!BG93</f>
        <v>722.3901980602476</v>
      </c>
      <c r="D34" s="3">
        <f>'4B Biological treatment '!T87</f>
        <v>0.59166735019155625</v>
      </c>
      <c r="E34" s="1159">
        <f>'4B Biological treatment '!U87</f>
        <v>26.625030758620024</v>
      </c>
      <c r="F34" s="1159">
        <f>'4B Biological treatment '!W87</f>
        <v>1.5975018455172014</v>
      </c>
      <c r="G34" s="952">
        <f>'4C2 Open-burning '!R94</f>
        <v>28.858943665621116</v>
      </c>
      <c r="H34" s="952">
        <f>'4C2 Open-burning '!Z94</f>
        <v>9.710151016168842</v>
      </c>
      <c r="I34" s="952">
        <f>'4C2 Open-burning '!AH94</f>
        <v>0.13518169105735395</v>
      </c>
      <c r="J34" s="987">
        <f>'4D Wastewater treatment and dis'!AV131</f>
        <v>152.23774169979643</v>
      </c>
      <c r="K34" s="770">
        <f>'4D Wastewater treatment and dis'!AW131</f>
        <v>3.0949170681470224</v>
      </c>
      <c r="L34" s="771">
        <f t="shared" si="69"/>
        <v>15170.1941592652</v>
      </c>
      <c r="M34" s="772">
        <f t="shared" si="70"/>
        <v>12.425014354022681</v>
      </c>
      <c r="N34" s="771">
        <f t="shared" si="71"/>
        <v>1054.3512180413529</v>
      </c>
      <c r="O34" s="773">
        <f t="shared" si="72"/>
        <v>274.67843923294652</v>
      </c>
      <c r="P34" s="771">
        <f t="shared" si="73"/>
        <v>4156.4168668213024</v>
      </c>
      <c r="Q34" s="519">
        <f t="shared" si="74"/>
        <v>15170.1941592652</v>
      </c>
      <c r="R34" s="521">
        <f t="shared" si="75"/>
        <v>1066.7762323953757</v>
      </c>
      <c r="S34" s="518">
        <f t="shared" si="76"/>
        <v>274.67843923294652</v>
      </c>
      <c r="T34" s="519">
        <f t="shared" si="77"/>
        <v>4156.4168668213024</v>
      </c>
      <c r="U34" s="519">
        <f t="shared" si="78"/>
        <v>20668.065697714825</v>
      </c>
      <c r="V34" s="3"/>
      <c r="W34" s="596">
        <f t="shared" si="79"/>
        <v>2024</v>
      </c>
      <c r="X34" s="1101">
        <f t="shared" si="80"/>
        <v>14726.148395671133</v>
      </c>
      <c r="Y34" s="1102">
        <f t="shared" si="81"/>
        <v>1127.5694470757417</v>
      </c>
      <c r="Z34" s="1102">
        <f t="shared" si="82"/>
        <v>267.68465368255238</v>
      </c>
      <c r="AA34" s="1102">
        <f t="shared" si="83"/>
        <v>4238.9841554957311</v>
      </c>
      <c r="AB34" s="1144">
        <f t="shared" si="22"/>
        <v>20360.386651925161</v>
      </c>
      <c r="AC34" s="1425" t="str">
        <f>IF(OR('Recycling - Case 1'!AC104="No",'Recycling - Case 1'!T144="No"), "No", "Yes")</f>
        <v>Yes</v>
      </c>
      <c r="AD34" s="1101">
        <f t="shared" si="84"/>
        <v>14726.148395671133</v>
      </c>
      <c r="AE34" s="1102">
        <f t="shared" si="85"/>
        <v>1127.5694470757417</v>
      </c>
      <c r="AF34" s="1102">
        <f t="shared" si="86"/>
        <v>267.68465368255238</v>
      </c>
      <c r="AG34" s="1102">
        <f t="shared" si="87"/>
        <v>4238.9841554957311</v>
      </c>
      <c r="AH34" s="1144">
        <f t="shared" si="60"/>
        <v>20360.386651925161</v>
      </c>
      <c r="AI34" s="1425" t="str">
        <f>IF(OR('Recycling - Case 1'!AI15="No",'Recycling - Case 1'!Z144="No"), "No", "Yes")</f>
        <v>Yes</v>
      </c>
      <c r="AJ34" s="1101">
        <f t="shared" si="88"/>
        <v>14371.050792907918</v>
      </c>
      <c r="AK34" s="1102">
        <f t="shared" si="89"/>
        <v>1291.3713827706529</v>
      </c>
      <c r="AL34" s="1102">
        <f t="shared" si="90"/>
        <v>205.3038143886219</v>
      </c>
      <c r="AM34" s="1102">
        <f t="shared" si="91"/>
        <v>4612.7797461997052</v>
      </c>
      <c r="AN34" s="1144">
        <f t="shared" si="92"/>
        <v>20480.505736266896</v>
      </c>
      <c r="AO34" s="1418" t="str">
        <f>IF(OR('Recycling - Case 2'!AC104="No",'Recycling - Case 2'!T144="No"), "No", "Yes")</f>
        <v>No</v>
      </c>
      <c r="AP34" s="1101">
        <f t="shared" si="93"/>
        <v>14371.050792907918</v>
      </c>
      <c r="AQ34" s="1102">
        <f t="shared" si="94"/>
        <v>1291.3713827706529</v>
      </c>
      <c r="AR34" s="1102">
        <f t="shared" si="95"/>
        <v>205.3038143886219</v>
      </c>
      <c r="AS34" s="1102">
        <f t="shared" si="96"/>
        <v>4612.7797461997052</v>
      </c>
      <c r="AT34" s="1144">
        <f t="shared" si="37"/>
        <v>20480.505736266896</v>
      </c>
      <c r="AU34" s="1425" t="str">
        <f>IF(OR('Recycling - Case 2'!AC104="No",'Recycling - Case 2'!T184="No"), "No", "Yes")</f>
        <v>No</v>
      </c>
      <c r="AV34" s="1101">
        <f t="shared" si="63"/>
        <v>14371.202535529792</v>
      </c>
      <c r="AW34" s="1102">
        <f t="shared" si="64"/>
        <v>784.27712930330836</v>
      </c>
      <c r="AX34" s="1102">
        <f t="shared" si="65"/>
        <v>205.3038143886219</v>
      </c>
      <c r="AY34" s="1102">
        <f t="shared" si="66"/>
        <v>4612.7797461997052</v>
      </c>
      <c r="AZ34" s="1144">
        <f t="shared" si="67"/>
        <v>19973.563225421429</v>
      </c>
      <c r="BA34" s="1425" t="str">
        <f>IF(OR('Recycling - Case 3'!AC104="No",'Recycling - Case 3'!T144="No"), "No", "Yes")</f>
        <v>No</v>
      </c>
      <c r="BB34" s="1101">
        <f t="shared" si="97"/>
        <v>14371.202535529792</v>
      </c>
      <c r="BC34" s="1102">
        <f t="shared" si="98"/>
        <v>784.27712930330836</v>
      </c>
      <c r="BD34" s="1102">
        <f t="shared" si="99"/>
        <v>205.3038143886219</v>
      </c>
      <c r="BE34" s="1102">
        <f t="shared" si="100"/>
        <v>4612.7797461997052</v>
      </c>
      <c r="BF34" s="1144">
        <f t="shared" si="47"/>
        <v>19973.563225421429</v>
      </c>
      <c r="BG34" s="1425" t="str">
        <f>IF(OR('Recycling - Case 3'!AC104="No",'Recycling - Case 3'!T184="No"), "No", "Yes")</f>
        <v>No</v>
      </c>
      <c r="BH34" s="596">
        <f t="shared" si="48"/>
        <v>2024</v>
      </c>
      <c r="BI34" s="1102">
        <f>'Recycling - Case 1'!BV104</f>
        <v>92.503675184629756</v>
      </c>
      <c r="BJ34" s="417">
        <f>'Recycling - Case 1'!BW104</f>
        <v>0.40765833526081857</v>
      </c>
      <c r="BK34" s="1144">
        <f>'Recycling - Case 1'!BX104</f>
        <v>46.327457455900245</v>
      </c>
      <c r="BL34" s="1101">
        <f>'Recycling - Case 1'!BY104</f>
        <v>92.503675184629756</v>
      </c>
      <c r="BM34" s="417">
        <f>'Recycling - Case 1'!BZ104</f>
        <v>0.40765833526081857</v>
      </c>
      <c r="BN34" s="1144">
        <f>'Recycling - Case 1'!CA104</f>
        <v>46.327457455900245</v>
      </c>
      <c r="BO34" s="1102">
        <f>'Recycling - Case 2'!BV104</f>
        <v>84.909793177326478</v>
      </c>
      <c r="BP34" s="417">
        <f>'Recycling - Case 2'!BW104</f>
        <v>0.5296584716087146</v>
      </c>
      <c r="BQ34" s="1144">
        <f>'Recycling - Case 2'!BX104</f>
        <v>46.327457455900245</v>
      </c>
      <c r="BR34" s="1101">
        <f>'Recycling - Case 2'!BY104</f>
        <v>84.909793177326478</v>
      </c>
      <c r="BS34" s="417">
        <f>'Recycling - Case 2'!BZ104</f>
        <v>0.5296584716087146</v>
      </c>
      <c r="BT34" s="1144">
        <f>'Recycling - Case 2'!CA104</f>
        <v>46.327457455900245</v>
      </c>
      <c r="BU34" s="1102">
        <f>'Recycling - Case 3'!BV104</f>
        <v>84.909793177326478</v>
      </c>
      <c r="BV34" s="417">
        <f>'Recycling - Case 3'!BW104</f>
        <v>0.5296584716087146</v>
      </c>
      <c r="BW34" s="1144">
        <f>'Recycling - Case 3'!BX104</f>
        <v>46.327457455900245</v>
      </c>
      <c r="BX34" s="1101">
        <f>'Recycling - Case 3'!BY104</f>
        <v>84.909793177326478</v>
      </c>
      <c r="BY34" s="417">
        <f>'Recycling - Case 3'!BZ104</f>
        <v>0.5296584716087146</v>
      </c>
      <c r="BZ34" s="1144">
        <f>'Recycling - Case 3'!CA104</f>
        <v>46.327457455900245</v>
      </c>
      <c r="CA34" s="596">
        <v>2024</v>
      </c>
      <c r="CB34" s="649">
        <f>'Recycling - Case 1'!CB104</f>
        <v>0.13265100107403016</v>
      </c>
      <c r="CC34" s="417">
        <f>'Recycling - Case 1'!CC104</f>
        <v>0.18386322018205858</v>
      </c>
      <c r="CD34" s="417">
        <f>'Recycling - Case 1'!CD104</f>
        <v>0.13265100107403016</v>
      </c>
      <c r="CE34" s="525">
        <f>'Recycling - Case 1'!CE104</f>
        <v>0.18386322018205858</v>
      </c>
      <c r="CF34" s="649">
        <f>'Recycling - Case 2'!CB104</f>
        <v>0.19519681863773264</v>
      </c>
      <c r="CG34" s="417">
        <f>'Recycling - Case 2'!CC104</f>
        <v>0.25353406439254278</v>
      </c>
      <c r="CH34" s="417">
        <f>'Recycling - Case 2'!CD104</f>
        <v>0.19519681863773264</v>
      </c>
      <c r="CI34" s="525">
        <f>'Recycling - Case 2'!CE104</f>
        <v>0.25353406439254278</v>
      </c>
      <c r="CJ34" s="649">
        <f>'Recycling - Case 3'!CB104</f>
        <v>0.19519681863773264</v>
      </c>
      <c r="CK34" s="417">
        <f>'Recycling - Case 3'!CC104</f>
        <v>0.25353406439254278</v>
      </c>
      <c r="CL34" s="417">
        <f>'Recycling - Case 3'!CD104</f>
        <v>0.19519681863773264</v>
      </c>
      <c r="CM34" s="525">
        <f>'Recycling - Case 3'!CE104</f>
        <v>0.25353406439254278</v>
      </c>
    </row>
    <row r="35" spans="1:91">
      <c r="A35" s="4">
        <f>'Input data'!A124</f>
        <v>2024</v>
      </c>
      <c r="B35" s="4"/>
      <c r="C35" s="769">
        <f>'4A SWD Case 1'!BG94</f>
        <v>701.24516169862534</v>
      </c>
      <c r="D35" s="3">
        <f>'4B Biological treatment '!T88</f>
        <v>0.62538516199431049</v>
      </c>
      <c r="E35" s="1159">
        <f>'4B Biological treatment '!U88</f>
        <v>28.142332289743969</v>
      </c>
      <c r="F35" s="1159">
        <f>'4B Biological treatment '!W88</f>
        <v>1.6885399373846379</v>
      </c>
      <c r="G35" s="952">
        <f>'4C2 Open-burning '!R95</f>
        <v>28.124145318244857</v>
      </c>
      <c r="H35" s="952">
        <f>'4C2 Open-burning '!Z95</f>
        <v>9.462913868401909</v>
      </c>
      <c r="I35" s="952">
        <f>'4C2 Open-burning '!AH95</f>
        <v>0.13173973267054012</v>
      </c>
      <c r="J35" s="987">
        <f>'4D Wastewater treatment and dis'!AV132</f>
        <v>155.64347086664165</v>
      </c>
      <c r="K35" s="770">
        <f>'4D Wastewater treatment and dis'!AW132</f>
        <v>3.1305524751492158</v>
      </c>
      <c r="L35" s="771">
        <f t="shared" si="69"/>
        <v>14726.148395671133</v>
      </c>
      <c r="M35" s="772">
        <f t="shared" si="70"/>
        <v>13.133088401880521</v>
      </c>
      <c r="N35" s="771">
        <f t="shared" si="71"/>
        <v>1114.4363586738612</v>
      </c>
      <c r="O35" s="773">
        <f t="shared" si="72"/>
        <v>267.68465368255238</v>
      </c>
      <c r="P35" s="771">
        <f t="shared" si="73"/>
        <v>4238.9841554957311</v>
      </c>
      <c r="Q35" s="519">
        <f t="shared" si="74"/>
        <v>14726.148395671133</v>
      </c>
      <c r="R35" s="521">
        <f t="shared" si="75"/>
        <v>1127.5694470757417</v>
      </c>
      <c r="S35" s="518">
        <f t="shared" si="76"/>
        <v>267.68465368255238</v>
      </c>
      <c r="T35" s="519">
        <f t="shared" si="77"/>
        <v>4238.9841554957311</v>
      </c>
      <c r="U35" s="519">
        <f t="shared" si="78"/>
        <v>20360.386651925161</v>
      </c>
      <c r="V35" s="3"/>
      <c r="W35" s="596">
        <f t="shared" si="79"/>
        <v>2025</v>
      </c>
      <c r="X35" s="1101">
        <f t="shared" si="80"/>
        <v>14275.066424466902</v>
      </c>
      <c r="Y35" s="1102">
        <f t="shared" si="81"/>
        <v>1188.4041316561113</v>
      </c>
      <c r="Z35" s="1102">
        <f t="shared" si="82"/>
        <v>260.89544660619578</v>
      </c>
      <c r="AA35" s="1102">
        <f t="shared" si="83"/>
        <v>4322.9017903124422</v>
      </c>
      <c r="AB35" s="1144">
        <f t="shared" si="22"/>
        <v>20047.26779304165</v>
      </c>
      <c r="AC35" s="1425" t="str">
        <f>IF(OR('Recycling - Case 1'!AC105="No",'Recycling - Case 1'!T145="No"), "No", "Yes")</f>
        <v>Yes</v>
      </c>
      <c r="AD35" s="1101">
        <f t="shared" si="84"/>
        <v>14275.066424466902</v>
      </c>
      <c r="AE35" s="1102">
        <f t="shared" si="85"/>
        <v>1188.4041316561113</v>
      </c>
      <c r="AF35" s="1102">
        <f t="shared" si="86"/>
        <v>260.89544660619578</v>
      </c>
      <c r="AG35" s="1102">
        <f t="shared" si="87"/>
        <v>4322.9017903124422</v>
      </c>
      <c r="AH35" s="1144">
        <f t="shared" si="60"/>
        <v>20047.26779304165</v>
      </c>
      <c r="AI35" s="1425" t="str">
        <f>IF(OR('Recycling - Case 1'!AI16="No",'Recycling - Case 1'!Z145="No"), "No", "Yes")</f>
        <v>Yes</v>
      </c>
      <c r="AJ35" s="1101">
        <f t="shared" si="88"/>
        <v>13833.630992612654</v>
      </c>
      <c r="AK35" s="1102">
        <f t="shared" si="89"/>
        <v>1297.6054221193856</v>
      </c>
      <c r="AL35" s="1102">
        <f t="shared" si="90"/>
        <v>193.05753067442905</v>
      </c>
      <c r="AM35" s="1102">
        <f t="shared" si="91"/>
        <v>4755.015547311632</v>
      </c>
      <c r="AN35" s="1144">
        <f t="shared" si="92"/>
        <v>20079.309492718101</v>
      </c>
      <c r="AO35" s="1418" t="str">
        <f>IF(OR('Recycling - Case 2'!AC105="No",'Recycling - Case 2'!T145="No"), "No", "Yes")</f>
        <v>No</v>
      </c>
      <c r="AP35" s="1101">
        <f t="shared" si="93"/>
        <v>13833.630992612654</v>
      </c>
      <c r="AQ35" s="1102">
        <f t="shared" si="94"/>
        <v>1297.6054221193856</v>
      </c>
      <c r="AR35" s="1102">
        <f t="shared" si="95"/>
        <v>193.05753067442905</v>
      </c>
      <c r="AS35" s="1102">
        <f t="shared" si="96"/>
        <v>4755.015547311632</v>
      </c>
      <c r="AT35" s="1144">
        <f t="shared" si="37"/>
        <v>20079.309492718101</v>
      </c>
      <c r="AU35" s="1425" t="str">
        <f>IF(OR('Recycling - Case 2'!AC105="No",'Recycling - Case 2'!T185="No"), "No", "Yes")</f>
        <v>No</v>
      </c>
      <c r="AV35" s="1101">
        <f t="shared" si="63"/>
        <v>13833.831253427637</v>
      </c>
      <c r="AW35" s="1102">
        <f t="shared" si="64"/>
        <v>788.06319313406925</v>
      </c>
      <c r="AX35" s="1102">
        <f t="shared" si="65"/>
        <v>193.05753067442905</v>
      </c>
      <c r="AY35" s="1102">
        <f t="shared" si="66"/>
        <v>4755.015547311632</v>
      </c>
      <c r="AZ35" s="1144">
        <f t="shared" si="67"/>
        <v>19569.967524547767</v>
      </c>
      <c r="BA35" s="1425" t="str">
        <f>IF(OR('Recycling - Case 3'!AC105="No",'Recycling - Case 3'!T145="No"), "No", "Yes")</f>
        <v>No</v>
      </c>
      <c r="BB35" s="1101">
        <f t="shared" si="97"/>
        <v>13833.831253427637</v>
      </c>
      <c r="BC35" s="1102">
        <f t="shared" si="98"/>
        <v>788.06319313406925</v>
      </c>
      <c r="BD35" s="1102">
        <f t="shared" si="99"/>
        <v>193.05753067442905</v>
      </c>
      <c r="BE35" s="1102">
        <f t="shared" si="100"/>
        <v>4755.015547311632</v>
      </c>
      <c r="BF35" s="1144">
        <f t="shared" si="47"/>
        <v>19569.967524547767</v>
      </c>
      <c r="BG35" s="1425" t="str">
        <f>IF(OR('Recycling - Case 3'!AC105="No",'Recycling - Case 3'!T185="No"), "No", "Yes")</f>
        <v>No</v>
      </c>
      <c r="BH35" s="596">
        <f t="shared" si="48"/>
        <v>2025</v>
      </c>
      <c r="BI35" s="1102">
        <f>'Recycling - Case 1'!BV105</f>
        <v>91.037047043609661</v>
      </c>
      <c r="BJ35" s="417">
        <f>'Recycling - Case 1'!BW105</f>
        <v>0.42936690792905707</v>
      </c>
      <c r="BK35" s="1144">
        <f>'Recycling - Case 1'!BX105</f>
        <v>46.801820784301206</v>
      </c>
      <c r="BL35" s="1101">
        <f>'Recycling - Case 1'!BY105</f>
        <v>91.037047043609661</v>
      </c>
      <c r="BM35" s="417">
        <f>'Recycling - Case 1'!BZ105</f>
        <v>0.42936690792905707</v>
      </c>
      <c r="BN35" s="1144">
        <f>'Recycling - Case 1'!CA105</f>
        <v>46.801820784301206</v>
      </c>
      <c r="BO35" s="1102">
        <f>'Recycling - Case 2'!BV105</f>
        <v>85.550841073802417</v>
      </c>
      <c r="BP35" s="417">
        <f>'Recycling - Case 2'!BW105</f>
        <v>0.54714035986241105</v>
      </c>
      <c r="BQ35" s="1144">
        <f>'Recycling - Case 2'!BX105</f>
        <v>46.801820784301206</v>
      </c>
      <c r="BR35" s="1101">
        <f>'Recycling - Case 2'!BY105</f>
        <v>85.550841073802417</v>
      </c>
      <c r="BS35" s="417">
        <f>'Recycling - Case 2'!BZ105</f>
        <v>0.54714035986241105</v>
      </c>
      <c r="BT35" s="1144">
        <f>'Recycling - Case 2'!CA105</f>
        <v>46.801820784301206</v>
      </c>
      <c r="BU35" s="1102">
        <f>'Recycling - Case 3'!BV105</f>
        <v>85.550841073802417</v>
      </c>
      <c r="BV35" s="417">
        <f>'Recycling - Case 3'!BW105</f>
        <v>0.54714035986241105</v>
      </c>
      <c r="BW35" s="1144">
        <f>'Recycling - Case 3'!BX105</f>
        <v>46.801820784301206</v>
      </c>
      <c r="BX35" s="1101">
        <f>'Recycling - Case 3'!BY105</f>
        <v>85.550841073802417</v>
      </c>
      <c r="BY35" s="417">
        <f>'Recycling - Case 3'!BZ105</f>
        <v>0.54714035986241105</v>
      </c>
      <c r="BZ35" s="1144">
        <f>'Recycling - Case 3'!CA105</f>
        <v>46.801820784301206</v>
      </c>
      <c r="CA35" s="596">
        <v>2025</v>
      </c>
      <c r="CB35" s="649">
        <f>'Recycling - Case 1'!CB105</f>
        <v>0.14528032436176563</v>
      </c>
      <c r="CC35" s="417">
        <f>'Recycling - Case 1'!CC105</f>
        <v>0.21337360078530376</v>
      </c>
      <c r="CD35" s="417">
        <f>'Recycling - Case 1'!CD105</f>
        <v>0.14528032436176563</v>
      </c>
      <c r="CE35" s="525">
        <f>'Recycling - Case 1'!CE105</f>
        <v>0.21337360078530376</v>
      </c>
      <c r="CF35" s="649">
        <f>'Recycling - Case 2'!CB105</f>
        <v>0.21340034507035144</v>
      </c>
      <c r="CG35" s="417">
        <f>'Recycling - Case 2'!CC105</f>
        <v>0.25567796175396307</v>
      </c>
      <c r="CH35" s="417">
        <f>'Recycling - Case 2'!CD105</f>
        <v>0.21340034507035144</v>
      </c>
      <c r="CI35" s="525">
        <f>'Recycling - Case 2'!CE105</f>
        <v>0.25567796175396307</v>
      </c>
      <c r="CJ35" s="649">
        <f>'Recycling - Case 3'!CB105</f>
        <v>0.21340034507035144</v>
      </c>
      <c r="CK35" s="417">
        <f>'Recycling - Case 3'!CC105</f>
        <v>0.25567796175396307</v>
      </c>
      <c r="CL35" s="417">
        <f>'Recycling - Case 3'!CD105</f>
        <v>0.21340034507035144</v>
      </c>
      <c r="CM35" s="525">
        <f>'Recycling - Case 3'!CE105</f>
        <v>0.25567796175396307</v>
      </c>
    </row>
    <row r="36" spans="1:91">
      <c r="A36" s="4">
        <f>'Input data'!A125</f>
        <v>2025</v>
      </c>
      <c r="B36" s="4"/>
      <c r="C36" s="769">
        <f>'4A SWD Case 1'!BG95</f>
        <v>679.76506783175728</v>
      </c>
      <c r="D36" s="3">
        <f>'4B Biological treatment '!T89</f>
        <v>0.65912597429623498</v>
      </c>
      <c r="E36" s="1159">
        <f>'4B Biological treatment '!U89</f>
        <v>29.660668843330569</v>
      </c>
      <c r="F36" s="1159">
        <f>'4B Biological treatment '!W89</f>
        <v>1.7796401305998337</v>
      </c>
      <c r="G36" s="952">
        <f>'4C2 Open-burning '!R96</f>
        <v>27.410840899092218</v>
      </c>
      <c r="H36" s="952">
        <f>'4C2 Open-burning '!Z96</f>
        <v>9.222908769437602</v>
      </c>
      <c r="I36" s="952">
        <f>'4C2 Open-burning '!AH96</f>
        <v>0.1283984566093998</v>
      </c>
      <c r="J36" s="987">
        <f>'4D Wastewater treatment and dis'!AV133</f>
        <v>159.10744524111379</v>
      </c>
      <c r="K36" s="770">
        <f>'4D Wastewater treatment and dis'!AW133</f>
        <v>3.166598194351784</v>
      </c>
      <c r="L36" s="771">
        <f t="shared" si="69"/>
        <v>14275.066424466902</v>
      </c>
      <c r="M36" s="772">
        <f t="shared" si="70"/>
        <v>13.841645460220935</v>
      </c>
      <c r="N36" s="771">
        <f t="shared" si="71"/>
        <v>1174.5624861958904</v>
      </c>
      <c r="O36" s="773">
        <f t="shared" si="72"/>
        <v>260.89544660619578</v>
      </c>
      <c r="P36" s="771">
        <f t="shared" si="73"/>
        <v>4322.9017903124422</v>
      </c>
      <c r="Q36" s="519">
        <f t="shared" si="74"/>
        <v>14275.066424466902</v>
      </c>
      <c r="R36" s="521">
        <f t="shared" si="75"/>
        <v>1188.4041316561113</v>
      </c>
      <c r="S36" s="518">
        <f t="shared" si="76"/>
        <v>260.89544660619578</v>
      </c>
      <c r="T36" s="519">
        <f t="shared" si="77"/>
        <v>4322.9017903124422</v>
      </c>
      <c r="U36" s="519">
        <f t="shared" si="78"/>
        <v>20047.26779304165</v>
      </c>
      <c r="V36" s="3"/>
      <c r="W36" s="596">
        <f t="shared" si="79"/>
        <v>2026</v>
      </c>
      <c r="X36" s="1101">
        <f t="shared" si="80"/>
        <v>13821.314939858585</v>
      </c>
      <c r="Y36" s="1102">
        <f t="shared" si="81"/>
        <v>1249.4040748278808</v>
      </c>
      <c r="Z36" s="1102">
        <f t="shared" si="82"/>
        <v>254.421083403664</v>
      </c>
      <c r="AA36" s="1102">
        <f t="shared" si="83"/>
        <v>4400.9219620497197</v>
      </c>
      <c r="AB36" s="1144">
        <f t="shared" si="22"/>
        <v>19726.062060139848</v>
      </c>
      <c r="AC36" s="1425" t="str">
        <f>IF(OR('Recycling - Case 1'!AC106="No",'Recycling - Case 1'!T146="No"), "No", "Yes")</f>
        <v>Yes</v>
      </c>
      <c r="AD36" s="1101">
        <f t="shared" si="84"/>
        <v>13821.314939858585</v>
      </c>
      <c r="AE36" s="1102">
        <f t="shared" si="85"/>
        <v>1249.4040748278808</v>
      </c>
      <c r="AF36" s="1102">
        <f t="shared" si="86"/>
        <v>254.421083403664</v>
      </c>
      <c r="AG36" s="1102">
        <f t="shared" si="87"/>
        <v>4400.9219620497197</v>
      </c>
      <c r="AH36" s="1144">
        <f t="shared" si="60"/>
        <v>19726.062060139848</v>
      </c>
      <c r="AI36" s="1425" t="str">
        <f>IF(OR('Recycling - Case 1'!AI17="No",'Recycling - Case 1'!Z146="No"), "No", "Yes")</f>
        <v>Yes</v>
      </c>
      <c r="AJ36" s="1101">
        <f t="shared" si="88"/>
        <v>13316.661479087359</v>
      </c>
      <c r="AK36" s="1102">
        <f t="shared" si="89"/>
        <v>1304.0047200595179</v>
      </c>
      <c r="AL36" s="1102">
        <f t="shared" si="90"/>
        <v>180.70037146955198</v>
      </c>
      <c r="AM36" s="1102">
        <f t="shared" si="91"/>
        <v>4891.8365725125823</v>
      </c>
      <c r="AN36" s="1144">
        <f t="shared" si="92"/>
        <v>19693.203143129009</v>
      </c>
      <c r="AO36" s="1418" t="str">
        <f>IF(OR('Recycling - Case 2'!AC106="No",'Recycling - Case 2'!T146="No"), "No", "Yes")</f>
        <v>No</v>
      </c>
      <c r="AP36" s="1101">
        <f t="shared" si="93"/>
        <v>13316.661479087359</v>
      </c>
      <c r="AQ36" s="1102">
        <f t="shared" si="94"/>
        <v>1304.0047200595179</v>
      </c>
      <c r="AR36" s="1102">
        <f t="shared" si="95"/>
        <v>180.70037146955198</v>
      </c>
      <c r="AS36" s="1102">
        <f t="shared" si="96"/>
        <v>4891.8365725125823</v>
      </c>
      <c r="AT36" s="1144">
        <f t="shared" si="37"/>
        <v>19693.203143129009</v>
      </c>
      <c r="AU36" s="1425" t="str">
        <f>IF(OR('Recycling - Case 2'!AC106="No",'Recycling - Case 2'!T186="No"), "No", "Yes")</f>
        <v>No</v>
      </c>
      <c r="AV36" s="1101">
        <f t="shared" si="63"/>
        <v>13316.916380924082</v>
      </c>
      <c r="AW36" s="1102">
        <f t="shared" si="64"/>
        <v>791.94962199954057</v>
      </c>
      <c r="AX36" s="1102">
        <f t="shared" si="65"/>
        <v>180.70037146955198</v>
      </c>
      <c r="AY36" s="1102">
        <f t="shared" si="66"/>
        <v>4891.8365725125823</v>
      </c>
      <c r="AZ36" s="1144">
        <f t="shared" si="67"/>
        <v>19181.402946905757</v>
      </c>
      <c r="BA36" s="1425" t="str">
        <f>IF(OR('Recycling - Case 3'!AC106="No",'Recycling - Case 3'!T146="No"), "No", "Yes")</f>
        <v>No</v>
      </c>
      <c r="BB36" s="1101">
        <f t="shared" si="97"/>
        <v>13316.916380924082</v>
      </c>
      <c r="BC36" s="1102">
        <f t="shared" si="98"/>
        <v>791.94962199954057</v>
      </c>
      <c r="BD36" s="1102">
        <f t="shared" si="99"/>
        <v>180.70037146955198</v>
      </c>
      <c r="BE36" s="1102">
        <f t="shared" si="100"/>
        <v>4891.8365725125823</v>
      </c>
      <c r="BF36" s="1144">
        <f t="shared" si="47"/>
        <v>19181.402946905757</v>
      </c>
      <c r="BG36" s="1425" t="str">
        <f>IF(OR('Recycling - Case 3'!AC106="No",'Recycling - Case 3'!T186="No"), "No", "Yes")</f>
        <v>No</v>
      </c>
      <c r="BH36" s="596">
        <f t="shared" si="48"/>
        <v>2026</v>
      </c>
      <c r="BI36" s="1102">
        <f>'Recycling - Case 1'!BV106</f>
        <v>89.669595248859622</v>
      </c>
      <c r="BJ36" s="417">
        <f>'Recycling - Case 1'!BW106</f>
        <v>0.45074533683016904</v>
      </c>
      <c r="BK36" s="1144">
        <f>'Recycling - Case 1'!BX106</f>
        <v>46.479674028888766</v>
      </c>
      <c r="BL36" s="1101">
        <f>'Recycling - Case 1'!BY106</f>
        <v>89.669595248859622</v>
      </c>
      <c r="BM36" s="417">
        <f>'Recycling - Case 1'!BZ106</f>
        <v>0.45074533683016904</v>
      </c>
      <c r="BN36" s="1144">
        <f>'Recycling - Case 1'!CA106</f>
        <v>46.479674028888766</v>
      </c>
      <c r="BO36" s="1102">
        <f>'Recycling - Case 2'!BV106</f>
        <v>85.394959666711983</v>
      </c>
      <c r="BP36" s="417">
        <f>'Recycling - Case 2'!BW106</f>
        <v>0.56715372180911028</v>
      </c>
      <c r="BQ36" s="1144">
        <f>'Recycling - Case 2'!BX106</f>
        <v>46.479674028888766</v>
      </c>
      <c r="BR36" s="1101">
        <f>'Recycling - Case 2'!BY106</f>
        <v>85.394959666711983</v>
      </c>
      <c r="BS36" s="417">
        <f>'Recycling - Case 2'!BZ106</f>
        <v>0.56715372180911028</v>
      </c>
      <c r="BT36" s="1144">
        <f>'Recycling - Case 2'!CA106</f>
        <v>46.479674028888766</v>
      </c>
      <c r="BU36" s="1102">
        <f>'Recycling - Case 3'!BV106</f>
        <v>85.394959666711983</v>
      </c>
      <c r="BV36" s="417">
        <f>'Recycling - Case 3'!BW106</f>
        <v>0.56715372180911028</v>
      </c>
      <c r="BW36" s="1144">
        <f>'Recycling - Case 3'!BX106</f>
        <v>46.479674028888766</v>
      </c>
      <c r="BX36" s="1101">
        <f>'Recycling - Case 3'!BY106</f>
        <v>85.394959666711983</v>
      </c>
      <c r="BY36" s="417">
        <f>'Recycling - Case 3'!BZ106</f>
        <v>0.56715372180911028</v>
      </c>
      <c r="BZ36" s="1144">
        <f>'Recycling - Case 3'!CA106</f>
        <v>46.479674028888766</v>
      </c>
      <c r="CA36" s="596">
        <v>2026</v>
      </c>
      <c r="CB36" s="649">
        <f>'Recycling - Case 1'!CB106</f>
        <v>0.15588583154405877</v>
      </c>
      <c r="CC36" s="417">
        <f>'Recycling - Case 1'!CC106</f>
        <v>0.23424757410658759</v>
      </c>
      <c r="CD36" s="417">
        <f>'Recycling - Case 1'!CD106</f>
        <v>0.15588583154405877</v>
      </c>
      <c r="CE36" s="525">
        <f>'Recycling - Case 1'!CE106</f>
        <v>0.23424757410658759</v>
      </c>
      <c r="CF36" s="649">
        <f>'Recycling - Case 2'!CB106</f>
        <v>0.23044140465623386</v>
      </c>
      <c r="CG36" s="417">
        <f>'Recycling - Case 2'!CC106</f>
        <v>0.26019189518724284</v>
      </c>
      <c r="CH36" s="417">
        <f>'Recycling - Case 2'!CD106</f>
        <v>0.23044140465623386</v>
      </c>
      <c r="CI36" s="525">
        <f>'Recycling - Case 2'!CE106</f>
        <v>0.26019189518724284</v>
      </c>
      <c r="CJ36" s="649">
        <f>'Recycling - Case 3'!CB106</f>
        <v>0.23044140465623386</v>
      </c>
      <c r="CK36" s="417">
        <f>'Recycling - Case 3'!CC106</f>
        <v>0.26019189518724284</v>
      </c>
      <c r="CL36" s="417">
        <f>'Recycling - Case 3'!CD106</f>
        <v>0.23044140465623386</v>
      </c>
      <c r="CM36" s="525">
        <f>'Recycling - Case 3'!CE106</f>
        <v>0.26019189518724284</v>
      </c>
    </row>
    <row r="37" spans="1:91">
      <c r="A37" s="4">
        <f>'Input data'!A126</f>
        <v>2026</v>
      </c>
      <c r="B37" s="4"/>
      <c r="C37" s="769">
        <f>'4A SWD Case 1'!BG96</f>
        <v>658.15785427898027</v>
      </c>
      <c r="D37" s="3">
        <f>'4B Biological treatment '!T90</f>
        <v>0.69295844416410479</v>
      </c>
      <c r="E37" s="1159">
        <f>'4B Biological treatment '!U90</f>
        <v>31.18312998738471</v>
      </c>
      <c r="F37" s="1159">
        <f>'4B Biological treatment '!W90</f>
        <v>1.8709877992430826</v>
      </c>
      <c r="G37" s="952">
        <f>'4C2 Open-burning '!R97</f>
        <v>26.730615383560647</v>
      </c>
      <c r="H37" s="952">
        <f>'4C2 Open-burning '!Z97</f>
        <v>8.9940337088188294</v>
      </c>
      <c r="I37" s="952">
        <f>'4C2 Open-burning '!AH97</f>
        <v>0.12521212946744487</v>
      </c>
      <c r="J37" s="987">
        <f>'4D Wastewater treatment and dis'!AV134</f>
        <v>162.36241909655723</v>
      </c>
      <c r="K37" s="770">
        <f>'4D Wastewater treatment and dis'!AW134</f>
        <v>3.1977779387807019</v>
      </c>
      <c r="L37" s="771">
        <f t="shared" si="69"/>
        <v>13821.314939858585</v>
      </c>
      <c r="M37" s="772">
        <f t="shared" si="70"/>
        <v>14.5521273274462</v>
      </c>
      <c r="N37" s="771">
        <f t="shared" si="71"/>
        <v>1234.8519475004346</v>
      </c>
      <c r="O37" s="773">
        <f t="shared" si="72"/>
        <v>254.421083403664</v>
      </c>
      <c r="P37" s="771">
        <f t="shared" si="73"/>
        <v>4400.9219620497197</v>
      </c>
      <c r="Q37" s="519">
        <f t="shared" si="74"/>
        <v>13821.314939858585</v>
      </c>
      <c r="R37" s="521">
        <f t="shared" si="75"/>
        <v>1249.4040748278808</v>
      </c>
      <c r="S37" s="518">
        <f t="shared" si="76"/>
        <v>254.421083403664</v>
      </c>
      <c r="T37" s="519">
        <f t="shared" si="77"/>
        <v>4400.9219620497197</v>
      </c>
      <c r="U37" s="519">
        <f t="shared" si="78"/>
        <v>19726.062060139848</v>
      </c>
      <c r="V37" s="3"/>
      <c r="W37" s="596">
        <f t="shared" si="79"/>
        <v>2027</v>
      </c>
      <c r="X37" s="1101">
        <f t="shared" si="80"/>
        <v>13370.300388870033</v>
      </c>
      <c r="Y37" s="1102">
        <f t="shared" si="81"/>
        <v>1310.2521636662286</v>
      </c>
      <c r="Z37" s="1102">
        <f t="shared" si="82"/>
        <v>248.16184383159901</v>
      </c>
      <c r="AA37" s="1102">
        <f t="shared" si="83"/>
        <v>4480.0594606132472</v>
      </c>
      <c r="AB37" s="1144">
        <f t="shared" si="22"/>
        <v>19408.773856981104</v>
      </c>
      <c r="AC37" s="1425" t="str">
        <f>IF(OR('Recycling - Case 1'!AC107="No",'Recycling - Case 1'!T147="No"), "No", "Yes")</f>
        <v>Yes</v>
      </c>
      <c r="AD37" s="1101">
        <f t="shared" si="84"/>
        <v>13370.300388870033</v>
      </c>
      <c r="AE37" s="1102">
        <f t="shared" si="85"/>
        <v>1310.2521636662286</v>
      </c>
      <c r="AF37" s="1102">
        <f t="shared" si="86"/>
        <v>248.16184383159901</v>
      </c>
      <c r="AG37" s="1102">
        <f t="shared" si="87"/>
        <v>4480.0594606132472</v>
      </c>
      <c r="AH37" s="1144">
        <f t="shared" si="60"/>
        <v>19408.773856981104</v>
      </c>
      <c r="AI37" s="1425" t="str">
        <f>IF(OR('Recycling - Case 1'!AI18="No",'Recycling - Case 1'!Z147="No"), "No", "Yes")</f>
        <v>Yes</v>
      </c>
      <c r="AJ37" s="1101">
        <f t="shared" si="88"/>
        <v>12818.497423850999</v>
      </c>
      <c r="AK37" s="1102">
        <f t="shared" si="89"/>
        <v>1310.2521636662286</v>
      </c>
      <c r="AL37" s="1102">
        <f t="shared" si="90"/>
        <v>168.10228643963038</v>
      </c>
      <c r="AM37" s="1102">
        <f t="shared" si="91"/>
        <v>5030.8909891052281</v>
      </c>
      <c r="AN37" s="1144">
        <f t="shared" si="92"/>
        <v>19327.742863062085</v>
      </c>
      <c r="AO37" s="1418" t="str">
        <f>IF(OR('Recycling - Case 2'!AC107="No",'Recycling - Case 2'!T147="No"), "No", "Yes")</f>
        <v>No</v>
      </c>
      <c r="AP37" s="1101">
        <f t="shared" si="93"/>
        <v>12818.497423850999</v>
      </c>
      <c r="AQ37" s="1102">
        <f t="shared" si="94"/>
        <v>1310.2521636662286</v>
      </c>
      <c r="AR37" s="1102">
        <f t="shared" si="95"/>
        <v>168.10228643963038</v>
      </c>
      <c r="AS37" s="1102">
        <f t="shared" si="96"/>
        <v>5030.8909891052281</v>
      </c>
      <c r="AT37" s="1144">
        <f t="shared" si="37"/>
        <v>19327.742863062085</v>
      </c>
      <c r="AU37" s="1425" t="str">
        <f>IF(OR('Recycling - Case 2'!AC107="No",'Recycling - Case 2'!T187="No"), "No", "Yes")</f>
        <v>No</v>
      </c>
      <c r="AV37" s="1101">
        <f t="shared" si="63"/>
        <v>12818.812807035578</v>
      </c>
      <c r="AW37" s="1102">
        <f t="shared" si="64"/>
        <v>795.74382651942346</v>
      </c>
      <c r="AX37" s="1102">
        <f t="shared" si="65"/>
        <v>168.10228643963038</v>
      </c>
      <c r="AY37" s="1102">
        <f t="shared" si="66"/>
        <v>5030.8909891052281</v>
      </c>
      <c r="AZ37" s="1144">
        <f t="shared" si="67"/>
        <v>18813.54990909986</v>
      </c>
      <c r="BA37" s="1425" t="str">
        <f>IF(OR('Recycling - Case 3'!AC107="No",'Recycling - Case 3'!T147="No"), "No", "Yes")</f>
        <v>No</v>
      </c>
      <c r="BB37" s="1101">
        <f t="shared" si="97"/>
        <v>12818.812807035578</v>
      </c>
      <c r="BC37" s="1102">
        <f t="shared" si="98"/>
        <v>795.74382651942346</v>
      </c>
      <c r="BD37" s="1102">
        <f t="shared" si="99"/>
        <v>168.10228643963038</v>
      </c>
      <c r="BE37" s="1102">
        <f t="shared" si="100"/>
        <v>5030.8909891052281</v>
      </c>
      <c r="BF37" s="1144">
        <f t="shared" si="47"/>
        <v>18813.54990909986</v>
      </c>
      <c r="BG37" s="1425" t="str">
        <f>IF(OR('Recycling - Case 3'!AC107="No",'Recycling - Case 3'!T187="No"), "No", "Yes")</f>
        <v>No</v>
      </c>
      <c r="BH37" s="596">
        <f t="shared" si="48"/>
        <v>2027</v>
      </c>
      <c r="BI37" s="1102">
        <f>'Recycling - Case 1'!BV107</f>
        <v>88.401400463402908</v>
      </c>
      <c r="BJ37" s="417">
        <f>'Recycling - Case 1'!BW107</f>
        <v>0.47179359455982506</v>
      </c>
      <c r="BK37" s="1144">
        <f>'Recycling - Case 1'!BX107</f>
        <v>45.641833264745635</v>
      </c>
      <c r="BL37" s="1101">
        <f>'Recycling - Case 1'!BY107</f>
        <v>88.401400463402908</v>
      </c>
      <c r="BM37" s="417">
        <f>'Recycling - Case 1'!BZ107</f>
        <v>0.47179359455982506</v>
      </c>
      <c r="BN37" s="1144">
        <f>'Recycling - Case 1'!CA107</f>
        <v>45.641833264745635</v>
      </c>
      <c r="BO37" s="1102">
        <f>'Recycling - Case 2'!BV107</f>
        <v>84.714299917584299</v>
      </c>
      <c r="BP37" s="417">
        <f>'Recycling - Case 2'!BW107</f>
        <v>0.58861328543473979</v>
      </c>
      <c r="BQ37" s="1144">
        <f>'Recycling - Case 2'!BX107</f>
        <v>45.641833264745635</v>
      </c>
      <c r="BR37" s="1101">
        <f>'Recycling - Case 2'!BY107</f>
        <v>84.714299917584299</v>
      </c>
      <c r="BS37" s="417">
        <f>'Recycling - Case 2'!BZ107</f>
        <v>0.58861328543473979</v>
      </c>
      <c r="BT37" s="1144">
        <f>'Recycling - Case 2'!CA107</f>
        <v>45.641833264745635</v>
      </c>
      <c r="BU37" s="1102">
        <f>'Recycling - Case 3'!BV107</f>
        <v>84.714299917584299</v>
      </c>
      <c r="BV37" s="417">
        <f>'Recycling - Case 3'!BW107</f>
        <v>0.58861328543473979</v>
      </c>
      <c r="BW37" s="1144">
        <f>'Recycling - Case 3'!BX107</f>
        <v>45.641833264745635</v>
      </c>
      <c r="BX37" s="1101">
        <f>'Recycling - Case 3'!BY107</f>
        <v>84.714299917584299</v>
      </c>
      <c r="BY37" s="417">
        <f>'Recycling - Case 3'!BZ107</f>
        <v>0.58861328543473979</v>
      </c>
      <c r="BZ37" s="1144">
        <f>'Recycling - Case 3'!CA107</f>
        <v>45.641833264745635</v>
      </c>
      <c r="CA37" s="596">
        <v>2027</v>
      </c>
      <c r="CB37" s="649">
        <f>'Recycling - Case 1'!CB107</f>
        <v>0.16554621920854717</v>
      </c>
      <c r="CC37" s="417">
        <f>'Recycling - Case 1'!CC107</f>
        <v>0.24934254852117821</v>
      </c>
      <c r="CD37" s="417">
        <f>'Recycling - Case 1'!CD107</f>
        <v>0.16554621920854717</v>
      </c>
      <c r="CE37" s="525">
        <f>'Recycling - Case 1'!CE107</f>
        <v>0.24934254852117821</v>
      </c>
      <c r="CF37" s="649">
        <f>'Recycling - Case 2'!CB107</f>
        <v>0.24719384179753368</v>
      </c>
      <c r="CG37" s="417">
        <f>'Recycling - Case 2'!CC107</f>
        <v>0.26611459038514973</v>
      </c>
      <c r="CH37" s="417">
        <f>'Recycling - Case 2'!CD107</f>
        <v>0.24719384179753368</v>
      </c>
      <c r="CI37" s="525">
        <f>'Recycling - Case 2'!CE107</f>
        <v>0.26611459038514973</v>
      </c>
      <c r="CJ37" s="649">
        <f>'Recycling - Case 3'!CB107</f>
        <v>0.24719384179753368</v>
      </c>
      <c r="CK37" s="417">
        <f>'Recycling - Case 3'!CC107</f>
        <v>0.26611459038514973</v>
      </c>
      <c r="CL37" s="417">
        <f>'Recycling - Case 3'!CD107</f>
        <v>0.24719384179753368</v>
      </c>
      <c r="CM37" s="525">
        <f>'Recycling - Case 3'!CE107</f>
        <v>0.26611459038514973</v>
      </c>
    </row>
    <row r="38" spans="1:91">
      <c r="A38" s="4">
        <f>'Input data'!A127</f>
        <v>2027</v>
      </c>
      <c r="B38" s="4"/>
      <c r="C38" s="769">
        <f>'4A SWD Case 1'!BG97</f>
        <v>636.68097089857304</v>
      </c>
      <c r="D38" s="3">
        <f>'4B Biological treatment '!T91</f>
        <v>0.72670669088531825</v>
      </c>
      <c r="E38" s="1159">
        <f>'4B Biological treatment '!U91</f>
        <v>32.701801089839321</v>
      </c>
      <c r="F38" s="1159">
        <f>'4B Biological treatment '!W91</f>
        <v>1.9621080653903591</v>
      </c>
      <c r="G38" s="952">
        <f>'4C2 Open-burning '!R98</f>
        <v>26.072991717486669</v>
      </c>
      <c r="H38" s="952">
        <f>'4C2 Open-burning '!Z98</f>
        <v>8.7727634785784918</v>
      </c>
      <c r="I38" s="952">
        <f>'4C2 Open-burning '!AH98</f>
        <v>0.12213167439988395</v>
      </c>
      <c r="J38" s="987">
        <f>'4D Wastewater treatment and dis'!AV135</f>
        <v>165.66606694292278</v>
      </c>
      <c r="K38" s="770">
        <f>'4D Wastewater treatment and dis'!AW135</f>
        <v>3.2292646929415123</v>
      </c>
      <c r="L38" s="771">
        <f t="shared" si="69"/>
        <v>13370.300388870033</v>
      </c>
      <c r="M38" s="772">
        <f t="shared" si="70"/>
        <v>15.260840508591683</v>
      </c>
      <c r="N38" s="771">
        <f t="shared" si="71"/>
        <v>1294.991323157637</v>
      </c>
      <c r="O38" s="773">
        <f t="shared" si="72"/>
        <v>248.16184383159901</v>
      </c>
      <c r="P38" s="771">
        <f t="shared" si="73"/>
        <v>4480.0594606132472</v>
      </c>
      <c r="Q38" s="519">
        <f t="shared" si="74"/>
        <v>13370.300388870033</v>
      </c>
      <c r="R38" s="521">
        <f t="shared" si="75"/>
        <v>1310.2521636662286</v>
      </c>
      <c r="S38" s="518">
        <f t="shared" si="76"/>
        <v>248.16184383159901</v>
      </c>
      <c r="T38" s="519">
        <f t="shared" si="77"/>
        <v>4480.0594606132472</v>
      </c>
      <c r="U38" s="519">
        <f t="shared" si="78"/>
        <v>19408.773856981104</v>
      </c>
      <c r="V38" s="3"/>
      <c r="W38" s="596">
        <f t="shared" si="79"/>
        <v>2028</v>
      </c>
      <c r="X38" s="1101">
        <f t="shared" si="80"/>
        <v>12925.461126301338</v>
      </c>
      <c r="Y38" s="1102">
        <f t="shared" si="81"/>
        <v>1316.7945238254483</v>
      </c>
      <c r="Z38" s="1102">
        <f t="shared" si="82"/>
        <v>234.55354113759998</v>
      </c>
      <c r="AA38" s="1102">
        <f t="shared" si="83"/>
        <v>4560.3287251503234</v>
      </c>
      <c r="AB38" s="1144">
        <f t="shared" si="22"/>
        <v>19037.137916414711</v>
      </c>
      <c r="AC38" s="1425" t="str">
        <f>IF(OR('Recycling - Case 1'!AC108="No",'Recycling - Case 1'!T148="No"), "No", "Yes")</f>
        <v>Yes</v>
      </c>
      <c r="AD38" s="1101">
        <f t="shared" si="84"/>
        <v>12925.461126301338</v>
      </c>
      <c r="AE38" s="1102">
        <f t="shared" si="85"/>
        <v>1316.7945238254483</v>
      </c>
      <c r="AF38" s="1102">
        <f t="shared" si="86"/>
        <v>234.55354113759998</v>
      </c>
      <c r="AG38" s="1102">
        <f t="shared" si="87"/>
        <v>4560.3287251503234</v>
      </c>
      <c r="AH38" s="1144">
        <f t="shared" si="60"/>
        <v>19037.137916414711</v>
      </c>
      <c r="AI38" s="1425" t="str">
        <f>IF(OR('Recycling - Case 1'!AI19="No",'Recycling - Case 1'!Z148="No"), "No", "Yes")</f>
        <v>Yes</v>
      </c>
      <c r="AJ38" s="1101">
        <f t="shared" si="88"/>
        <v>12337.64995714311</v>
      </c>
      <c r="AK38" s="1102">
        <f t="shared" si="89"/>
        <v>1316.7945238254483</v>
      </c>
      <c r="AL38" s="1102">
        <f t="shared" si="90"/>
        <v>155.25457728774188</v>
      </c>
      <c r="AM38" s="1102">
        <f t="shared" si="91"/>
        <v>5172.2095138882814</v>
      </c>
      <c r="AN38" s="1144">
        <f t="shared" si="92"/>
        <v>18981.908572144581</v>
      </c>
      <c r="AO38" s="1418" t="str">
        <f>IF(OR('Recycling - Case 2'!AC108="No",'Recycling - Case 2'!T148="No"), "No", "Yes")</f>
        <v>No</v>
      </c>
      <c r="AP38" s="1101">
        <f t="shared" si="93"/>
        <v>12337.64995714311</v>
      </c>
      <c r="AQ38" s="1102">
        <f t="shared" si="94"/>
        <v>1316.7945238254483</v>
      </c>
      <c r="AR38" s="1102">
        <f t="shared" si="95"/>
        <v>155.25457728774188</v>
      </c>
      <c r="AS38" s="1102">
        <f t="shared" si="96"/>
        <v>5172.2095138882814</v>
      </c>
      <c r="AT38" s="1144">
        <f t="shared" si="37"/>
        <v>18981.908572144581</v>
      </c>
      <c r="AU38" s="1425" t="str">
        <f>IF(OR('Recycling - Case 2'!AC108="No",'Recycling - Case 2'!T188="No"), "No", "Yes")</f>
        <v>No</v>
      </c>
      <c r="AV38" s="1101">
        <f t="shared" si="63"/>
        <v>12338.031493135888</v>
      </c>
      <c r="AW38" s="1102">
        <f t="shared" si="64"/>
        <v>799.71714009365837</v>
      </c>
      <c r="AX38" s="1102">
        <f t="shared" si="65"/>
        <v>155.25457728774188</v>
      </c>
      <c r="AY38" s="1102">
        <f t="shared" si="66"/>
        <v>5172.2095138882814</v>
      </c>
      <c r="AZ38" s="1144">
        <f t="shared" si="67"/>
        <v>18465.21272440557</v>
      </c>
      <c r="BA38" s="1425" t="str">
        <f>IF(OR('Recycling - Case 3'!AC108="No",'Recycling - Case 3'!T148="No"), "No", "Yes")</f>
        <v>No</v>
      </c>
      <c r="BB38" s="1101">
        <f t="shared" si="97"/>
        <v>12338.031493135888</v>
      </c>
      <c r="BC38" s="1102">
        <f t="shared" si="98"/>
        <v>799.71714009365837</v>
      </c>
      <c r="BD38" s="1102">
        <f t="shared" si="99"/>
        <v>155.25457728774188</v>
      </c>
      <c r="BE38" s="1102">
        <f t="shared" si="100"/>
        <v>5172.2095138882814</v>
      </c>
      <c r="BF38" s="1144">
        <f t="shared" si="47"/>
        <v>18465.21272440557</v>
      </c>
      <c r="BG38" s="1425" t="str">
        <f>IF(OR('Recycling - Case 3'!AC108="No",'Recycling - Case 3'!T188="No"), "No", "Yes")</f>
        <v>No</v>
      </c>
      <c r="BH38" s="596">
        <f t="shared" si="48"/>
        <v>2028</v>
      </c>
      <c r="BI38" s="1102">
        <f>'Recycling - Case 1'!BV108</f>
        <v>86.867056487076852</v>
      </c>
      <c r="BJ38" s="417">
        <f>'Recycling - Case 1'!BW108</f>
        <v>0.49037403173060734</v>
      </c>
      <c r="BK38" s="1144">
        <f>'Recycling - Case 1'!BX108</f>
        <v>44.757313865039073</v>
      </c>
      <c r="BL38" s="1101">
        <f>'Recycling - Case 1'!BY108</f>
        <v>86.867056487076852</v>
      </c>
      <c r="BM38" s="417">
        <f>'Recycling - Case 1'!BZ108</f>
        <v>0.49037403173060734</v>
      </c>
      <c r="BN38" s="1144">
        <f>'Recycling - Case 1'!CA108</f>
        <v>44.757313865039073</v>
      </c>
      <c r="BO38" s="1102">
        <f>'Recycling - Case 2'!BV108</f>
        <v>84.007051611717188</v>
      </c>
      <c r="BP38" s="417">
        <f>'Recycling - Case 2'!BW108</f>
        <v>0.61014019370274497</v>
      </c>
      <c r="BQ38" s="1144">
        <f>'Recycling - Case 2'!BX108</f>
        <v>44.757313865039073</v>
      </c>
      <c r="BR38" s="1101">
        <f>'Recycling - Case 2'!BY108</f>
        <v>84.007051611717188</v>
      </c>
      <c r="BS38" s="417">
        <f>'Recycling - Case 2'!BZ108</f>
        <v>0.61014019370274497</v>
      </c>
      <c r="BT38" s="1144">
        <f>'Recycling - Case 2'!CA108</f>
        <v>44.757313865039073</v>
      </c>
      <c r="BU38" s="1102">
        <f>'Recycling - Case 3'!BV108</f>
        <v>84.007051611717188</v>
      </c>
      <c r="BV38" s="417">
        <f>'Recycling - Case 3'!BW108</f>
        <v>0.61014019370274497</v>
      </c>
      <c r="BW38" s="1144">
        <f>'Recycling - Case 3'!BX108</f>
        <v>44.757313865039073</v>
      </c>
      <c r="BX38" s="1101">
        <f>'Recycling - Case 3'!BY108</f>
        <v>84.007051611717188</v>
      </c>
      <c r="BY38" s="417">
        <f>'Recycling - Case 3'!BZ108</f>
        <v>0.61014019370274497</v>
      </c>
      <c r="BZ38" s="1144">
        <f>'Recycling - Case 3'!CA108</f>
        <v>44.757313865039073</v>
      </c>
      <c r="CA38" s="596">
        <v>2028</v>
      </c>
      <c r="CB38" s="649">
        <f>'Recycling - Case 1'!CB108</f>
        <v>0.18787758011779954</v>
      </c>
      <c r="CC38" s="417">
        <f>'Recycling - Case 1'!CC108</f>
        <v>0.2634201562795454</v>
      </c>
      <c r="CD38" s="417">
        <f>'Recycling - Case 1'!CD108</f>
        <v>0.18787758011779954</v>
      </c>
      <c r="CE38" s="525">
        <f>'Recycling - Case 1'!CE108</f>
        <v>0.2634201562795454</v>
      </c>
      <c r="CF38" s="649">
        <f>'Recycling - Case 2'!CB108</f>
        <v>0.26366335378378059</v>
      </c>
      <c r="CG38" s="417">
        <f>'Recycling - Case 2'!CC108</f>
        <v>0.27232153985756047</v>
      </c>
      <c r="CH38" s="417">
        <f>'Recycling - Case 2'!CD108</f>
        <v>0.26366335378378059</v>
      </c>
      <c r="CI38" s="525">
        <f>'Recycling - Case 2'!CE108</f>
        <v>0.27232153985756047</v>
      </c>
      <c r="CJ38" s="649">
        <f>'Recycling - Case 3'!CB108</f>
        <v>0.26366335378378059</v>
      </c>
      <c r="CK38" s="417">
        <f>'Recycling - Case 3'!CC108</f>
        <v>0.27232153985756047</v>
      </c>
      <c r="CL38" s="417">
        <f>'Recycling - Case 3'!CD108</f>
        <v>0.26366335378378059</v>
      </c>
      <c r="CM38" s="525">
        <f>'Recycling - Case 3'!CE108</f>
        <v>0.27232153985756047</v>
      </c>
    </row>
    <row r="39" spans="1:91">
      <c r="A39" s="4">
        <f>'Input data'!A128</f>
        <v>2028</v>
      </c>
      <c r="B39" s="4"/>
      <c r="C39" s="769">
        <f>'4A SWD Case 1'!BG98</f>
        <v>615.49814887149228</v>
      </c>
      <c r="D39" s="3">
        <f>'4B Biological treatment '!T92</f>
        <v>0.73033528775676571</v>
      </c>
      <c r="E39" s="1159">
        <f>'4B Biological treatment '!U92</f>
        <v>32.865087949054455</v>
      </c>
      <c r="F39" s="1159">
        <f>'4B Biological treatment '!W92</f>
        <v>1.971905276943267</v>
      </c>
      <c r="G39" s="952">
        <f>'4C2 Open-burning '!R99</f>
        <v>24.643242655537975</v>
      </c>
      <c r="H39" s="952">
        <f>'4C2 Open-burning '!Z99</f>
        <v>8.2916966915329837</v>
      </c>
      <c r="I39" s="952">
        <f>'4C2 Open-burning '!AH99</f>
        <v>0.115434412773772</v>
      </c>
      <c r="J39" s="987">
        <f>'4D Wastewater treatment and dis'!AV136</f>
        <v>169.01903173407416</v>
      </c>
      <c r="K39" s="770">
        <f>'4D Wastewater treatment and dis'!AW136</f>
        <v>3.2610614797895683</v>
      </c>
      <c r="L39" s="771">
        <f t="shared" si="69"/>
        <v>12925.461126301338</v>
      </c>
      <c r="M39" s="772">
        <f t="shared" si="70"/>
        <v>15.33704104289208</v>
      </c>
      <c r="N39" s="771">
        <f t="shared" si="71"/>
        <v>1301.4574827825563</v>
      </c>
      <c r="O39" s="773">
        <f t="shared" si="72"/>
        <v>234.55354113759998</v>
      </c>
      <c r="P39" s="771">
        <f t="shared" si="73"/>
        <v>4560.3287251503234</v>
      </c>
      <c r="Q39" s="519">
        <f t="shared" si="74"/>
        <v>12925.461126301338</v>
      </c>
      <c r="R39" s="521">
        <f t="shared" si="75"/>
        <v>1316.7945238254483</v>
      </c>
      <c r="S39" s="518">
        <f t="shared" si="76"/>
        <v>234.55354113759998</v>
      </c>
      <c r="T39" s="519">
        <f t="shared" si="77"/>
        <v>4560.3287251503234</v>
      </c>
      <c r="U39" s="519">
        <f t="shared" si="78"/>
        <v>19037.137916414711</v>
      </c>
      <c r="V39" s="3"/>
      <c r="W39" s="596">
        <f t="shared" si="79"/>
        <v>2029</v>
      </c>
      <c r="X39" s="1101">
        <f t="shared" si="80"/>
        <v>12492.652687680757</v>
      </c>
      <c r="Y39" s="1102">
        <f t="shared" si="81"/>
        <v>1323.0557112105857</v>
      </c>
      <c r="Z39" s="1102">
        <f t="shared" si="82"/>
        <v>221.70018656133303</v>
      </c>
      <c r="AA39" s="1102">
        <f t="shared" si="83"/>
        <v>4641.7443708292039</v>
      </c>
      <c r="AB39" s="1144">
        <f t="shared" si="22"/>
        <v>18679.15295628188</v>
      </c>
      <c r="AC39" s="1425" t="str">
        <f>IF(OR('Recycling - Case 1'!AC109="No",'Recycling - Case 1'!T149="No"), "No", "Yes")</f>
        <v>Yes</v>
      </c>
      <c r="AD39" s="1101">
        <f t="shared" si="84"/>
        <v>12492.652687680757</v>
      </c>
      <c r="AE39" s="1102">
        <f t="shared" si="85"/>
        <v>1323.0557112105857</v>
      </c>
      <c r="AF39" s="1102">
        <f t="shared" si="86"/>
        <v>221.70018656133303</v>
      </c>
      <c r="AG39" s="1102">
        <f t="shared" si="87"/>
        <v>4641.7443708292039</v>
      </c>
      <c r="AH39" s="1144">
        <f t="shared" si="60"/>
        <v>18679.15295628188</v>
      </c>
      <c r="AI39" s="1425" t="str">
        <f>IF(OR('Recycling - Case 1'!AI20="No",'Recycling - Case 1'!Z149="No"), "No", "Yes")</f>
        <v>Yes</v>
      </c>
      <c r="AJ39" s="1101">
        <f t="shared" si="88"/>
        <v>11872.692270105777</v>
      </c>
      <c r="AK39" s="1102">
        <f t="shared" si="89"/>
        <v>1323.0557112105857</v>
      </c>
      <c r="AL39" s="1102">
        <f t="shared" si="90"/>
        <v>142.1481547216269</v>
      </c>
      <c r="AM39" s="1102">
        <f t="shared" si="91"/>
        <v>5315.8232520302154</v>
      </c>
      <c r="AN39" s="1144">
        <f t="shared" si="92"/>
        <v>18653.719388068203</v>
      </c>
      <c r="AO39" s="1418" t="str">
        <f>IF(OR('Recycling - Case 2'!AC109="No",'Recycling - Case 2'!T149="No"), "No", "Yes")</f>
        <v>No</v>
      </c>
      <c r="AP39" s="1101">
        <f t="shared" si="93"/>
        <v>11872.692270105777</v>
      </c>
      <c r="AQ39" s="1102">
        <f t="shared" si="94"/>
        <v>1323.0557112105857</v>
      </c>
      <c r="AR39" s="1102">
        <f t="shared" si="95"/>
        <v>142.1481547216269</v>
      </c>
      <c r="AS39" s="1102">
        <f t="shared" si="96"/>
        <v>5315.8232520302154</v>
      </c>
      <c r="AT39" s="1144">
        <f t="shared" si="37"/>
        <v>18653.719388068203</v>
      </c>
      <c r="AU39" s="1425" t="str">
        <f>IF(OR('Recycling - Case 2'!AC109="No",'Recycling - Case 2'!T189="No"), "No", "Yes")</f>
        <v>No</v>
      </c>
      <c r="AV39" s="1101">
        <f t="shared" si="63"/>
        <v>11873.145473832952</v>
      </c>
      <c r="AW39" s="1102">
        <f t="shared" si="64"/>
        <v>803.51969150060529</v>
      </c>
      <c r="AX39" s="1102">
        <f t="shared" si="65"/>
        <v>142.1481547216269</v>
      </c>
      <c r="AY39" s="1102">
        <f t="shared" si="66"/>
        <v>5315.8232520302154</v>
      </c>
      <c r="AZ39" s="1144">
        <f t="shared" si="67"/>
        <v>18134.636572085401</v>
      </c>
      <c r="BA39" s="1425" t="str">
        <f>IF(OR('Recycling - Case 3'!AC109="No",'Recycling - Case 3'!T149="No"), "No", "Yes")</f>
        <v>No</v>
      </c>
      <c r="BB39" s="1101">
        <f t="shared" si="97"/>
        <v>11873.145473832952</v>
      </c>
      <c r="BC39" s="1102">
        <f t="shared" si="98"/>
        <v>803.51969150060529</v>
      </c>
      <c r="BD39" s="1102">
        <f t="shared" si="99"/>
        <v>142.1481547216269</v>
      </c>
      <c r="BE39" s="1102">
        <f t="shared" si="100"/>
        <v>5315.8232520302154</v>
      </c>
      <c r="BF39" s="1144">
        <f t="shared" si="47"/>
        <v>18134.636572085401</v>
      </c>
      <c r="BG39" s="1425" t="str">
        <f>IF(OR('Recycling - Case 3'!AC109="No",'Recycling - Case 3'!T189="No"), "No", "Yes")</f>
        <v>No</v>
      </c>
      <c r="BH39" s="596">
        <f t="shared" si="48"/>
        <v>2029</v>
      </c>
      <c r="BI39" s="1102">
        <f>'Recycling - Case 1'!BV109</f>
        <v>85.327222271885603</v>
      </c>
      <c r="BJ39" s="417">
        <f>'Recycling - Case 1'!BW109</f>
        <v>0.50811577608664127</v>
      </c>
      <c r="BK39" s="1144">
        <f>'Recycling - Case 1'!BX109</f>
        <v>43.023314860788631</v>
      </c>
      <c r="BL39" s="1101">
        <f>'Recycling - Case 1'!BY109</f>
        <v>85.327222271885603</v>
      </c>
      <c r="BM39" s="417">
        <f>'Recycling - Case 1'!BZ109</f>
        <v>0.50811577608664127</v>
      </c>
      <c r="BN39" s="1144">
        <f>'Recycling - Case 1'!CA109</f>
        <v>43.023314860788631</v>
      </c>
      <c r="BO39" s="1102">
        <f>'Recycling - Case 2'!BV109</f>
        <v>82.432704697692955</v>
      </c>
      <c r="BP39" s="417">
        <f>'Recycling - Case 2'!BW109</f>
        <v>0.63405469836360973</v>
      </c>
      <c r="BQ39" s="1144">
        <f>'Recycling - Case 2'!BX109</f>
        <v>43.023314860788631</v>
      </c>
      <c r="BR39" s="1101">
        <f>'Recycling - Case 2'!BY109</f>
        <v>82.432704697692955</v>
      </c>
      <c r="BS39" s="417">
        <f>'Recycling - Case 2'!BZ109</f>
        <v>0.63405469836360973</v>
      </c>
      <c r="BT39" s="1144">
        <f>'Recycling - Case 2'!CA109</f>
        <v>43.023314860788631</v>
      </c>
      <c r="BU39" s="1102">
        <f>'Recycling - Case 3'!BV109</f>
        <v>82.432704697692955</v>
      </c>
      <c r="BV39" s="417">
        <f>'Recycling - Case 3'!BW109</f>
        <v>0.63405469836360973</v>
      </c>
      <c r="BW39" s="1144">
        <f>'Recycling - Case 3'!BX109</f>
        <v>43.023314860788631</v>
      </c>
      <c r="BX39" s="1101">
        <f>'Recycling - Case 3'!BY109</f>
        <v>82.432704697692955</v>
      </c>
      <c r="BY39" s="417">
        <f>'Recycling - Case 3'!BZ109</f>
        <v>0.63405469836360973</v>
      </c>
      <c r="BZ39" s="1144">
        <f>'Recycling - Case 3'!CA109</f>
        <v>43.023314860788631</v>
      </c>
      <c r="CA39" s="596">
        <v>2029</v>
      </c>
      <c r="CB39" s="649">
        <f>'Recycling - Case 1'!CB109</f>
        <v>0.20894363003364869</v>
      </c>
      <c r="CC39" s="417">
        <f>'Recycling - Case 1'!CC109</f>
        <v>0.27039131778212488</v>
      </c>
      <c r="CD39" s="417">
        <f>'Recycling - Case 1'!CD109</f>
        <v>0.20894363003364869</v>
      </c>
      <c r="CE39" s="525">
        <f>'Recycling - Case 1'!CE109</f>
        <v>0.27039131778212488</v>
      </c>
      <c r="CF39" s="649">
        <f>'Recycling - Case 2'!CB109</f>
        <v>0.27985563375052358</v>
      </c>
      <c r="CG39" s="417">
        <f>'Recycling - Case 2'!CC109</f>
        <v>0.28108743763378785</v>
      </c>
      <c r="CH39" s="417">
        <f>'Recycling - Case 2'!CD109</f>
        <v>0.27985563375052358</v>
      </c>
      <c r="CI39" s="525">
        <f>'Recycling - Case 2'!CE109</f>
        <v>0.28108743763378785</v>
      </c>
      <c r="CJ39" s="649">
        <f>'Recycling - Case 3'!CB109</f>
        <v>0.27985563375052358</v>
      </c>
      <c r="CK39" s="417">
        <f>'Recycling - Case 3'!CC109</f>
        <v>0.28108743763378785</v>
      </c>
      <c r="CL39" s="417">
        <f>'Recycling - Case 3'!CD109</f>
        <v>0.27985563375052358</v>
      </c>
      <c r="CM39" s="525">
        <f>'Recycling - Case 3'!CE109</f>
        <v>0.28108743763378785</v>
      </c>
    </row>
    <row r="40" spans="1:91">
      <c r="A40" s="4">
        <f>'Input data'!A129</f>
        <v>2029</v>
      </c>
      <c r="B40" s="4"/>
      <c r="C40" s="769">
        <f>'4A SWD Case 1'!BG99</f>
        <v>594.8882232228932</v>
      </c>
      <c r="D40" s="3">
        <f>'4B Biological treatment '!T93</f>
        <v>0.73380793744347517</v>
      </c>
      <c r="E40" s="1159">
        <f>'4B Biological treatment '!U93</f>
        <v>33.021357184956379</v>
      </c>
      <c r="F40" s="1159">
        <f>'4B Biological treatment '!W93</f>
        <v>1.9812814310973828</v>
      </c>
      <c r="G40" s="952">
        <f>'4C2 Open-burning '!R100</f>
        <v>23.292811814782528</v>
      </c>
      <c r="H40" s="952">
        <f>'4C2 Open-burning '!Z100</f>
        <v>7.837318057562114</v>
      </c>
      <c r="I40" s="952">
        <f>'4C2 Open-burning '!AH100</f>
        <v>0.10910869528305192</v>
      </c>
      <c r="J40" s="987">
        <f>'4D Wastewater treatment and dis'!AV137</f>
        <v>172.42196436643172</v>
      </c>
      <c r="K40" s="770">
        <f>'4D Wastewater treatment and dis'!AW137</f>
        <v>3.2931713520456056</v>
      </c>
      <c r="L40" s="771">
        <f t="shared" si="69"/>
        <v>12492.652687680757</v>
      </c>
      <c r="M40" s="772">
        <f t="shared" si="70"/>
        <v>15.409966686312979</v>
      </c>
      <c r="N40" s="771">
        <f t="shared" si="71"/>
        <v>1307.6457445242727</v>
      </c>
      <c r="O40" s="773">
        <f t="shared" si="72"/>
        <v>221.70018656133303</v>
      </c>
      <c r="P40" s="771">
        <f t="shared" si="73"/>
        <v>4641.7443708292039</v>
      </c>
      <c r="Q40" s="519">
        <f t="shared" si="74"/>
        <v>12492.652687680757</v>
      </c>
      <c r="R40" s="521">
        <f t="shared" si="75"/>
        <v>1323.0557112105857</v>
      </c>
      <c r="S40" s="518">
        <f t="shared" si="76"/>
        <v>221.70018656133303</v>
      </c>
      <c r="T40" s="519">
        <f t="shared" si="77"/>
        <v>4641.7443708292039</v>
      </c>
      <c r="U40" s="519">
        <f t="shared" si="78"/>
        <v>18679.15295628188</v>
      </c>
      <c r="V40" s="3"/>
      <c r="W40" s="596">
        <f t="shared" si="79"/>
        <v>2030</v>
      </c>
      <c r="X40" s="1101">
        <f t="shared" si="80"/>
        <v>12074.805156807537</v>
      </c>
      <c r="Y40" s="1102">
        <f t="shared" si="81"/>
        <v>1329.5054032746282</v>
      </c>
      <c r="Z40" s="1102">
        <f t="shared" si="82"/>
        <v>209.55929653855324</v>
      </c>
      <c r="AA40" s="1102">
        <f t="shared" si="83"/>
        <v>4724.3211909055435</v>
      </c>
      <c r="AB40" s="1144">
        <f t="shared" si="22"/>
        <v>18338.191047526263</v>
      </c>
      <c r="AC40" s="1425" t="str">
        <f>IF(OR('Recycling - Case 1'!AC110="No",'Recycling - Case 1'!T150="No"), "No", "Yes")</f>
        <v>Yes</v>
      </c>
      <c r="AD40" s="1101">
        <f t="shared" si="84"/>
        <v>12074.805156807537</v>
      </c>
      <c r="AE40" s="1102">
        <f t="shared" si="85"/>
        <v>1329.5054032746282</v>
      </c>
      <c r="AF40" s="1102">
        <f t="shared" si="86"/>
        <v>209.55929653855324</v>
      </c>
      <c r="AG40" s="1102">
        <f t="shared" si="87"/>
        <v>4724.3211909055435</v>
      </c>
      <c r="AH40" s="1144">
        <f t="shared" si="60"/>
        <v>18338.191047526263</v>
      </c>
      <c r="AI40" s="1425" t="str">
        <f>IF(OR('Recycling - Case 1'!AI21="No",'Recycling - Case 1'!Z150="No"), "No", "Yes")</f>
        <v>Yes</v>
      </c>
      <c r="AJ40" s="1101">
        <f t="shared" si="88"/>
        <v>11422.256197995202</v>
      </c>
      <c r="AK40" s="1102">
        <f t="shared" si="89"/>
        <v>1329.5054032746282</v>
      </c>
      <c r="AL40" s="1102">
        <f t="shared" si="90"/>
        <v>128.77351562592733</v>
      </c>
      <c r="AM40" s="1102">
        <f t="shared" si="91"/>
        <v>5461.7637017393099</v>
      </c>
      <c r="AN40" s="1144">
        <f t="shared" si="92"/>
        <v>18342.29881863507</v>
      </c>
      <c r="AO40" s="1418" t="str">
        <f>IF(OR('Recycling - Case 2'!AC110="No",'Recycling - Case 2'!T150="No"), "No", "Yes")</f>
        <v>No</v>
      </c>
      <c r="AP40" s="1101">
        <f t="shared" si="93"/>
        <v>11422.256197995202</v>
      </c>
      <c r="AQ40" s="1102">
        <f t="shared" si="94"/>
        <v>1329.5054032746282</v>
      </c>
      <c r="AR40" s="1102">
        <f t="shared" si="95"/>
        <v>128.77351562592733</v>
      </c>
      <c r="AS40" s="1102">
        <f t="shared" si="96"/>
        <v>5461.7637017393099</v>
      </c>
      <c r="AT40" s="1144">
        <f t="shared" si="37"/>
        <v>18342.29881863507</v>
      </c>
      <c r="AU40" s="1425" t="str">
        <f>IF(OR('Recycling - Case 2'!AC110="No",'Recycling - Case 2'!T190="No"), "No", "Yes")</f>
        <v>No</v>
      </c>
      <c r="AV40" s="1101">
        <f t="shared" si="63"/>
        <v>11422.786439494865</v>
      </c>
      <c r="AW40" s="1102">
        <f t="shared" si="64"/>
        <v>807.43672578242808</v>
      </c>
      <c r="AX40" s="1102">
        <f t="shared" si="65"/>
        <v>128.77351562592733</v>
      </c>
      <c r="AY40" s="1102">
        <f t="shared" si="66"/>
        <v>5461.7637017393099</v>
      </c>
      <c r="AZ40" s="1144">
        <f t="shared" si="67"/>
        <v>17820.760382642533</v>
      </c>
      <c r="BA40" s="1425" t="str">
        <f>IF(OR('Recycling - Case 3'!AC110="No",'Recycling - Case 3'!T150="No"), "No", "Yes")</f>
        <v>No</v>
      </c>
      <c r="BB40" s="1101">
        <f t="shared" si="97"/>
        <v>11422.786439494865</v>
      </c>
      <c r="BC40" s="1102">
        <f t="shared" si="98"/>
        <v>807.43672578242808</v>
      </c>
      <c r="BD40" s="1102">
        <f t="shared" si="99"/>
        <v>128.77351562592733</v>
      </c>
      <c r="BE40" s="1102">
        <f t="shared" si="100"/>
        <v>5461.7637017393099</v>
      </c>
      <c r="BF40" s="1144">
        <f t="shared" si="47"/>
        <v>17820.760382642533</v>
      </c>
      <c r="BG40" s="1425" t="str">
        <f>IF(OR('Recycling - Case 3'!AC110="No",'Recycling - Case 3'!T190="No"), "No", "Yes")</f>
        <v>No</v>
      </c>
      <c r="BH40" s="596">
        <f t="shared" si="48"/>
        <v>2030</v>
      </c>
      <c r="BI40" s="1102">
        <f>'Recycling - Case 1'!BV110</f>
        <v>83.991490455063186</v>
      </c>
      <c r="BJ40" s="417">
        <f>'Recycling - Case 1'!BW110</f>
        <v>0.52623926901169349</v>
      </c>
      <c r="BK40" s="1144">
        <f>'Recycling - Case 1'!BX110</f>
        <v>41.579903969008512</v>
      </c>
      <c r="BL40" s="1101">
        <f>'Recycling - Case 1'!BY110</f>
        <v>83.991490455063186</v>
      </c>
      <c r="BM40" s="417">
        <f>'Recycling - Case 1'!BZ110</f>
        <v>0.52623926901169349</v>
      </c>
      <c r="BN40" s="1144">
        <f>'Recycling - Case 1'!CA110</f>
        <v>41.579903969008512</v>
      </c>
      <c r="BO40" s="1102">
        <f>'Recycling - Case 2'!BV110</f>
        <v>81.161992798500165</v>
      </c>
      <c r="BP40" s="417">
        <f>'Recycling - Case 2'!BW110</f>
        <v>0.65691588381958144</v>
      </c>
      <c r="BQ40" s="1144">
        <f>'Recycling - Case 2'!BX110</f>
        <v>41.579903969008512</v>
      </c>
      <c r="BR40" s="1101">
        <f>'Recycling - Case 2'!BY110</f>
        <v>81.161992798500165</v>
      </c>
      <c r="BS40" s="417">
        <f>'Recycling - Case 2'!BZ110</f>
        <v>0.65691588381958144</v>
      </c>
      <c r="BT40" s="1144">
        <f>'Recycling - Case 2'!CA110</f>
        <v>41.579903969008512</v>
      </c>
      <c r="BU40" s="1102">
        <f>'Recycling - Case 3'!BV110</f>
        <v>81.161992798500165</v>
      </c>
      <c r="BV40" s="417">
        <f>'Recycling - Case 3'!BW110</f>
        <v>0.65691588381958144</v>
      </c>
      <c r="BW40" s="1144">
        <f>'Recycling - Case 3'!BX110</f>
        <v>41.579903969008512</v>
      </c>
      <c r="BX40" s="1101">
        <f>'Recycling - Case 3'!BY110</f>
        <v>81.161992798500165</v>
      </c>
      <c r="BY40" s="417">
        <f>'Recycling - Case 3'!BZ110</f>
        <v>0.65691588381958144</v>
      </c>
      <c r="BZ40" s="1144">
        <f>'Recycling - Case 3'!CA110</f>
        <v>41.579903969008512</v>
      </c>
      <c r="CA40" s="596">
        <v>2030</v>
      </c>
      <c r="CB40" s="649">
        <f>'Recycling - Case 1'!CB110</f>
        <v>0.22882200098597416</v>
      </c>
      <c r="CC40" s="417">
        <f>'Recycling - Case 1'!CC110</f>
        <v>0.27807349992019603</v>
      </c>
      <c r="CD40" s="417">
        <f>'Recycling - Case 1'!CD110</f>
        <v>0.22882200098597416</v>
      </c>
      <c r="CE40" s="525">
        <f>'Recycling - Case 1'!CE110</f>
        <v>0.27807349992019603</v>
      </c>
      <c r="CF40" s="649">
        <f>'Recycling - Case 2'!CB110</f>
        <v>0.29577637461695849</v>
      </c>
      <c r="CG40" s="417">
        <f>'Recycling - Case 2'!CC110</f>
        <v>0.28913089147421367</v>
      </c>
      <c r="CH40" s="417">
        <f>'Recycling - Case 2'!CD110</f>
        <v>0.29577637461695849</v>
      </c>
      <c r="CI40" s="525">
        <f>'Recycling - Case 2'!CE110</f>
        <v>0.28913089147421367</v>
      </c>
      <c r="CJ40" s="649">
        <f>'Recycling - Case 3'!CB110</f>
        <v>0.29577637461695849</v>
      </c>
      <c r="CK40" s="417">
        <f>'Recycling - Case 3'!CC110</f>
        <v>0.28913089147421367</v>
      </c>
      <c r="CL40" s="417">
        <f>'Recycling - Case 3'!CD110</f>
        <v>0.29577637461695849</v>
      </c>
      <c r="CM40" s="525">
        <f>'Recycling - Case 3'!CE110</f>
        <v>0.28913089147421367</v>
      </c>
    </row>
    <row r="41" spans="1:91">
      <c r="A41" s="4">
        <f>'Input data'!A130</f>
        <v>2030</v>
      </c>
      <c r="B41" s="4"/>
      <c r="C41" s="769">
        <f>'4A SWD Case 1'!BG100</f>
        <v>574.99072175273989</v>
      </c>
      <c r="D41" s="3">
        <f>'4B Biological treatment '!T94</f>
        <v>0.73738513770084768</v>
      </c>
      <c r="E41" s="1159">
        <f>'4B Biological treatment '!U94</f>
        <v>33.182331196538144</v>
      </c>
      <c r="F41" s="1159">
        <f>'4B Biological treatment '!W94</f>
        <v>1.9909398717922886</v>
      </c>
      <c r="G41" s="952">
        <f>'4C2 Open-burning '!R101</f>
        <v>22.017235682209698</v>
      </c>
      <c r="H41" s="952">
        <f>'4C2 Open-burning '!Z101</f>
        <v>7.4081257411899131</v>
      </c>
      <c r="I41" s="952">
        <f>'4C2 Open-burning '!AH101</f>
        <v>0.10313361384308185</v>
      </c>
      <c r="J41" s="987">
        <f>'4D Wastewater treatment and dis'!AV138</f>
        <v>175.87552377304826</v>
      </c>
      <c r="K41" s="770">
        <f>'4D Wastewater treatment and dis'!AW138</f>
        <v>3.3255973924888065</v>
      </c>
      <c r="L41" s="771">
        <f t="shared" si="69"/>
        <v>12074.805156807537</v>
      </c>
      <c r="M41" s="772">
        <f t="shared" si="70"/>
        <v>15.485087891717802</v>
      </c>
      <c r="N41" s="771">
        <f t="shared" si="71"/>
        <v>1314.0203153829104</v>
      </c>
      <c r="O41" s="773">
        <f t="shared" si="72"/>
        <v>209.55929653855324</v>
      </c>
      <c r="P41" s="771">
        <f t="shared" si="73"/>
        <v>4724.3211909055435</v>
      </c>
      <c r="Q41" s="519">
        <f t="shared" si="74"/>
        <v>12074.805156807537</v>
      </c>
      <c r="R41" s="521">
        <f t="shared" si="75"/>
        <v>1329.5054032746282</v>
      </c>
      <c r="S41" s="518">
        <f t="shared" si="76"/>
        <v>209.55929653855324</v>
      </c>
      <c r="T41" s="519">
        <f t="shared" si="77"/>
        <v>4724.3211909055435</v>
      </c>
      <c r="U41" s="519">
        <f t="shared" si="78"/>
        <v>18338.191047526263</v>
      </c>
      <c r="V41" s="3"/>
      <c r="W41" s="596">
        <f t="shared" si="79"/>
        <v>2031</v>
      </c>
      <c r="X41" s="1101">
        <f t="shared" si="80"/>
        <v>11670.942580452182</v>
      </c>
      <c r="Y41" s="1102">
        <f t="shared" si="81"/>
        <v>1337.0746474464886</v>
      </c>
      <c r="Z41" s="1102">
        <f t="shared" si="82"/>
        <v>199.12484182484837</v>
      </c>
      <c r="AA41" s="1102">
        <f t="shared" si="83"/>
        <v>4801.8266337074856</v>
      </c>
      <c r="AB41" s="1144">
        <f t="shared" si="22"/>
        <v>18008.968703431005</v>
      </c>
      <c r="AC41" s="1425" t="str">
        <f>IF(OR('Recycling - Case 1'!AC111="No",'Recycling - Case 1'!T151="No"), "No", "Yes")</f>
        <v>Yes</v>
      </c>
      <c r="AD41" s="1101">
        <f t="shared" si="84"/>
        <v>11670.942580452182</v>
      </c>
      <c r="AE41" s="1102">
        <f t="shared" si="85"/>
        <v>1337.0746474464886</v>
      </c>
      <c r="AF41" s="1102">
        <f t="shared" si="86"/>
        <v>199.12484182484837</v>
      </c>
      <c r="AG41" s="1102">
        <f t="shared" si="87"/>
        <v>4801.8266337074856</v>
      </c>
      <c r="AH41" s="1144">
        <f t="shared" si="60"/>
        <v>18008.968703431005</v>
      </c>
      <c r="AI41" s="1425" t="str">
        <f>IF(OR('Recycling - Case 1'!AI22="No",'Recycling - Case 1'!Z151="No"), "No", "Yes")</f>
        <v>Yes</v>
      </c>
      <c r="AJ41" s="1101">
        <f t="shared" si="88"/>
        <v>10985.028945155034</v>
      </c>
      <c r="AK41" s="1102">
        <f t="shared" si="89"/>
        <v>1337.0746474464886</v>
      </c>
      <c r="AL41" s="1102">
        <f t="shared" si="90"/>
        <v>113.56951234567336</v>
      </c>
      <c r="AM41" s="1102">
        <f t="shared" si="91"/>
        <v>5508.3758769951792</v>
      </c>
      <c r="AN41" s="1144">
        <f t="shared" si="92"/>
        <v>17944.048981942375</v>
      </c>
      <c r="AO41" s="1418" t="str">
        <f>IF(OR('Recycling - Case 2'!AC111="No",'Recycling - Case 2'!T151="No"), "No", "Yes")</f>
        <v>No</v>
      </c>
      <c r="AP41" s="1101">
        <f t="shared" si="93"/>
        <v>10985.028945155034</v>
      </c>
      <c r="AQ41" s="1102">
        <f t="shared" si="94"/>
        <v>1337.0746474464886</v>
      </c>
      <c r="AR41" s="1102">
        <f t="shared" si="95"/>
        <v>113.56951234567336</v>
      </c>
      <c r="AS41" s="1102">
        <f t="shared" si="96"/>
        <v>5508.3758769951792</v>
      </c>
      <c r="AT41" s="1144">
        <f t="shared" si="37"/>
        <v>17944.048981942375</v>
      </c>
      <c r="AU41" s="1425" t="str">
        <f>IF(OR('Recycling - Case 2'!AC111="No",'Recycling - Case 2'!T191="No"), "No", "Yes")</f>
        <v>No</v>
      </c>
      <c r="AV41" s="1101">
        <f t="shared" si="63"/>
        <v>10985.64146057801</v>
      </c>
      <c r="AW41" s="1102">
        <f t="shared" si="64"/>
        <v>812.03368771708529</v>
      </c>
      <c r="AX41" s="1102">
        <f t="shared" si="65"/>
        <v>113.56951234567336</v>
      </c>
      <c r="AY41" s="1102">
        <f t="shared" si="66"/>
        <v>5508.3758769951792</v>
      </c>
      <c r="AZ41" s="1144">
        <f t="shared" si="67"/>
        <v>17419.620537635947</v>
      </c>
      <c r="BA41" s="1425" t="str">
        <f>IF(OR('Recycling - Case 3'!AC111="No",'Recycling - Case 3'!T151="No"), "No", "Yes")</f>
        <v>No</v>
      </c>
      <c r="BB41" s="1101">
        <f t="shared" si="97"/>
        <v>10985.64146057801</v>
      </c>
      <c r="BC41" s="1102">
        <f t="shared" si="98"/>
        <v>812.03368771708529</v>
      </c>
      <c r="BD41" s="1102">
        <f t="shared" si="99"/>
        <v>113.56951234567336</v>
      </c>
      <c r="BE41" s="1102">
        <f t="shared" si="100"/>
        <v>5508.3758769951792</v>
      </c>
      <c r="BF41" s="1144">
        <f t="shared" si="47"/>
        <v>17419.620537635947</v>
      </c>
      <c r="BG41" s="1425" t="str">
        <f>IF(OR('Recycling - Case 3'!AC111="No",'Recycling - Case 3'!T191="No"), "No", "Yes")</f>
        <v>No</v>
      </c>
      <c r="BH41" s="596">
        <f t="shared" si="48"/>
        <v>2031</v>
      </c>
      <c r="BI41" s="1102">
        <f>'Recycling - Case 1'!BV111</f>
        <v>82.7128751616263</v>
      </c>
      <c r="BJ41" s="417">
        <f>'Recycling - Case 1'!BW111</f>
        <v>0.53660139717192534</v>
      </c>
      <c r="BK41" s="1144">
        <f>'Recycling - Case 1'!BX111</f>
        <v>40.172018684421317</v>
      </c>
      <c r="BL41" s="1101">
        <f>'Recycling - Case 1'!BY111</f>
        <v>82.7128751616263</v>
      </c>
      <c r="BM41" s="417">
        <f>'Recycling - Case 1'!BZ111</f>
        <v>0.53660139717192534</v>
      </c>
      <c r="BN41" s="1144">
        <f>'Recycling - Case 1'!CA111</f>
        <v>40.172018684421317</v>
      </c>
      <c r="BO41" s="1102">
        <f>'Recycling - Case 2'!BV111</f>
        <v>79.855439947937498</v>
      </c>
      <c r="BP41" s="417">
        <f>'Recycling - Case 2'!BW111</f>
        <v>0.66606735284547747</v>
      </c>
      <c r="BQ41" s="1144">
        <f>'Recycling - Case 2'!BX111</f>
        <v>40.172018684421317</v>
      </c>
      <c r="BR41" s="1101">
        <f>'Recycling - Case 2'!BY111</f>
        <v>79.855439947937498</v>
      </c>
      <c r="BS41" s="417">
        <f>'Recycling - Case 2'!BZ111</f>
        <v>0.66606735284547747</v>
      </c>
      <c r="BT41" s="1144">
        <f>'Recycling - Case 2'!CA111</f>
        <v>40.172018684421317</v>
      </c>
      <c r="BU41" s="1102">
        <f>'Recycling - Case 3'!BV111</f>
        <v>79.855439947937498</v>
      </c>
      <c r="BV41" s="417">
        <f>'Recycling - Case 3'!BW111</f>
        <v>0.66606735284547747</v>
      </c>
      <c r="BW41" s="1144">
        <f>'Recycling - Case 3'!BX111</f>
        <v>40.172018684421317</v>
      </c>
      <c r="BX41" s="1101">
        <f>'Recycling - Case 3'!BY111</f>
        <v>79.855439947937498</v>
      </c>
      <c r="BY41" s="417">
        <f>'Recycling - Case 3'!BZ111</f>
        <v>0.66606735284547747</v>
      </c>
      <c r="BZ41" s="1144">
        <f>'Recycling - Case 3'!CA111</f>
        <v>40.172018684421317</v>
      </c>
      <c r="CA41" s="596">
        <v>2031</v>
      </c>
      <c r="CB41" s="649">
        <f>'Recycling - Case 1'!CB111</f>
        <v>0.24572749882361522</v>
      </c>
      <c r="CC41" s="417">
        <f>'Recycling - Case 1'!CC111</f>
        <v>0.28744228100760905</v>
      </c>
      <c r="CD41" s="417">
        <f>'Recycling - Case 1'!CD111</f>
        <v>0.24572749882361522</v>
      </c>
      <c r="CE41" s="525">
        <f>'Recycling - Case 1'!CE111</f>
        <v>0.28744228100760905</v>
      </c>
      <c r="CF41" s="649">
        <f>'Recycling - Case 2'!CB111</f>
        <v>0.31568192095747505</v>
      </c>
      <c r="CG41" s="417">
        <f>'Recycling - Case 2'!CC111</f>
        <v>0.29768776097259209</v>
      </c>
      <c r="CH41" s="417">
        <f>'Recycling - Case 2'!CD111</f>
        <v>0.31568192095747505</v>
      </c>
      <c r="CI41" s="525">
        <f>'Recycling - Case 2'!CE111</f>
        <v>0.29768776097259209</v>
      </c>
      <c r="CJ41" s="649">
        <f>'Recycling - Case 3'!CB111</f>
        <v>0.31568192095747505</v>
      </c>
      <c r="CK41" s="417">
        <f>'Recycling - Case 3'!CC111</f>
        <v>0.29768776097259209</v>
      </c>
      <c r="CL41" s="417">
        <f>'Recycling - Case 3'!CD111</f>
        <v>0.31568192095747505</v>
      </c>
      <c r="CM41" s="525">
        <f>'Recycling - Case 3'!CE111</f>
        <v>0.29768776097259209</v>
      </c>
    </row>
    <row r="42" spans="1:91">
      <c r="A42" s="4">
        <f>'Input data'!A131</f>
        <v>2031</v>
      </c>
      <c r="B42" s="4"/>
      <c r="C42" s="769">
        <f>'4A SWD Case 1'!BG101</f>
        <v>555.75917049772295</v>
      </c>
      <c r="D42" s="3">
        <f>'4B Biological treatment '!T95</f>
        <v>0.74158327645395927</v>
      </c>
      <c r="E42" s="1159">
        <f>'4B Biological treatment '!U95</f>
        <v>33.371247440428164</v>
      </c>
      <c r="F42" s="1159">
        <f>'4B Biological treatment '!W95</f>
        <v>2.0022748464256899</v>
      </c>
      <c r="G42" s="952">
        <f>'4C2 Open-burning '!R102</f>
        <v>20.920945264930513</v>
      </c>
      <c r="H42" s="952">
        <f>'4C2 Open-burning '!Z102</f>
        <v>7.0392575791150502</v>
      </c>
      <c r="I42" s="952">
        <f>'4C2 Open-burning '!AH102</f>
        <v>9.7998346446780099E-2</v>
      </c>
      <c r="J42" s="987">
        <f>'4D Wastewater treatment and dis'!AV139</f>
        <v>179.14729338241924</v>
      </c>
      <c r="K42" s="770">
        <f>'4D Wastewater treatment and dis'!AW139</f>
        <v>3.3539789441183268</v>
      </c>
      <c r="L42" s="771">
        <f t="shared" si="69"/>
        <v>11670.942580452182</v>
      </c>
      <c r="M42" s="772">
        <f t="shared" si="70"/>
        <v>15.573248805533146</v>
      </c>
      <c r="N42" s="771">
        <f t="shared" si="71"/>
        <v>1321.5013986409554</v>
      </c>
      <c r="O42" s="773">
        <f t="shared" si="72"/>
        <v>199.12484182484837</v>
      </c>
      <c r="P42" s="771">
        <f t="shared" si="73"/>
        <v>4801.8266337074856</v>
      </c>
      <c r="Q42" s="519">
        <f t="shared" si="74"/>
        <v>11670.942580452182</v>
      </c>
      <c r="R42" s="521">
        <f t="shared" si="75"/>
        <v>1337.0746474464886</v>
      </c>
      <c r="S42" s="518">
        <f t="shared" si="76"/>
        <v>199.12484182484837</v>
      </c>
      <c r="T42" s="519">
        <f t="shared" si="77"/>
        <v>4801.8266337074856</v>
      </c>
      <c r="U42" s="519">
        <f t="shared" si="78"/>
        <v>18008.968703431005</v>
      </c>
      <c r="V42" s="3"/>
      <c r="W42" s="596">
        <f t="shared" si="79"/>
        <v>2032</v>
      </c>
      <c r="X42" s="1101">
        <f t="shared" si="80"/>
        <v>11280.256108535979</v>
      </c>
      <c r="Y42" s="1102">
        <f t="shared" si="81"/>
        <v>1345.2125487669348</v>
      </c>
      <c r="Z42" s="1102">
        <f t="shared" si="82"/>
        <v>188.7479302250164</v>
      </c>
      <c r="AA42" s="1102">
        <f t="shared" si="83"/>
        <v>4880.3108912879725</v>
      </c>
      <c r="AB42" s="1144">
        <f t="shared" si="22"/>
        <v>17694.5274788159</v>
      </c>
      <c r="AC42" s="1425" t="str">
        <f>IF(OR('Recycling - Case 1'!AC112="No",'Recycling - Case 1'!T152="No"), "No", "Yes")</f>
        <v>Yes</v>
      </c>
      <c r="AD42" s="1101">
        <f t="shared" si="84"/>
        <v>11280.256108535979</v>
      </c>
      <c r="AE42" s="1102">
        <f t="shared" si="85"/>
        <v>1345.2125487669348</v>
      </c>
      <c r="AF42" s="1102">
        <f t="shared" si="86"/>
        <v>188.7479302250164</v>
      </c>
      <c r="AG42" s="1102">
        <f t="shared" si="87"/>
        <v>4880.3108912879725</v>
      </c>
      <c r="AH42" s="1144">
        <f t="shared" si="60"/>
        <v>17694.5274788159</v>
      </c>
      <c r="AI42" s="1425" t="str">
        <f>IF(OR('Recycling - Case 1'!AI23="No",'Recycling - Case 1'!Z152="No"), "No", "Yes")</f>
        <v>Yes</v>
      </c>
      <c r="AJ42" s="1101">
        <f t="shared" si="88"/>
        <v>10557.121915202695</v>
      </c>
      <c r="AK42" s="1102">
        <f t="shared" si="89"/>
        <v>1345.2125487669348</v>
      </c>
      <c r="AL42" s="1102">
        <f t="shared" si="90"/>
        <v>98.459981517794233</v>
      </c>
      <c r="AM42" s="1102">
        <f t="shared" si="91"/>
        <v>5555.3858532180511</v>
      </c>
      <c r="AN42" s="1144">
        <f t="shared" si="92"/>
        <v>17556.180298705476</v>
      </c>
      <c r="AO42" s="1418" t="str">
        <f>IF(OR('Recycling - Case 2'!AC112="No",'Recycling - Case 2'!T152="No"), "No", "Yes")</f>
        <v>No</v>
      </c>
      <c r="AP42" s="1101">
        <f t="shared" si="93"/>
        <v>10557.121915202695</v>
      </c>
      <c r="AQ42" s="1102">
        <f t="shared" si="94"/>
        <v>1345.2125487669348</v>
      </c>
      <c r="AR42" s="1102">
        <f t="shared" si="95"/>
        <v>98.459981517794233</v>
      </c>
      <c r="AS42" s="1102">
        <f t="shared" si="96"/>
        <v>5555.3858532180511</v>
      </c>
      <c r="AT42" s="1144">
        <f t="shared" si="37"/>
        <v>17556.180298705476</v>
      </c>
      <c r="AU42" s="1425" t="str">
        <f>IF(OR('Recycling - Case 2'!AC112="No",'Recycling - Case 2'!T192="No"), "No", "Yes")</f>
        <v>No</v>
      </c>
      <c r="AV42" s="1101">
        <f t="shared" si="63"/>
        <v>10557.812878965282</v>
      </c>
      <c r="AW42" s="1102">
        <f t="shared" si="64"/>
        <v>816.97600715462772</v>
      </c>
      <c r="AX42" s="1102">
        <f t="shared" si="65"/>
        <v>98.459981517794233</v>
      </c>
      <c r="AY42" s="1102">
        <f t="shared" si="66"/>
        <v>5555.3858532180511</v>
      </c>
      <c r="AZ42" s="1144">
        <f t="shared" si="67"/>
        <v>17028.634720855756</v>
      </c>
      <c r="BA42" s="1425" t="str">
        <f>IF(OR('Recycling - Case 3'!AC112="No",'Recycling - Case 3'!T152="No"), "No", "Yes")</f>
        <v>No</v>
      </c>
      <c r="BB42" s="1101">
        <f t="shared" si="97"/>
        <v>10557.812878965282</v>
      </c>
      <c r="BC42" s="1102">
        <f t="shared" si="98"/>
        <v>816.97600715462772</v>
      </c>
      <c r="BD42" s="1102">
        <f t="shared" si="99"/>
        <v>98.459981517794233</v>
      </c>
      <c r="BE42" s="1102">
        <f t="shared" si="100"/>
        <v>5555.3858532180511</v>
      </c>
      <c r="BF42" s="1144">
        <f t="shared" si="47"/>
        <v>17028.634720855756</v>
      </c>
      <c r="BG42" s="1425" t="str">
        <f>IF(OR('Recycling - Case 3'!AC112="No",'Recycling - Case 3'!T192="No"), "No", "Yes")</f>
        <v>No</v>
      </c>
      <c r="BH42" s="596">
        <f t="shared" si="48"/>
        <v>2032</v>
      </c>
      <c r="BI42" s="1102">
        <f>'Recycling - Case 1'!BV112</f>
        <v>81.689430706585838</v>
      </c>
      <c r="BJ42" s="417">
        <f>'Recycling - Case 1'!BW112</f>
        <v>0.54818874482218549</v>
      </c>
      <c r="BK42" s="1144">
        <f>'Recycling - Case 1'!BX112</f>
        <v>39.638613148632608</v>
      </c>
      <c r="BL42" s="1101">
        <f>'Recycling - Case 1'!BY112</f>
        <v>81.689430706585838</v>
      </c>
      <c r="BM42" s="417">
        <f>'Recycling - Case 1'!BZ112</f>
        <v>0.54818874482218549</v>
      </c>
      <c r="BN42" s="1144">
        <f>'Recycling - Case 1'!CA112</f>
        <v>39.638613148632608</v>
      </c>
      <c r="BO42" s="1102">
        <f>'Recycling - Case 2'!BV112</f>
        <v>79.462075583852211</v>
      </c>
      <c r="BP42" s="417">
        <f>'Recycling - Case 2'!BW112</f>
        <v>0.67264919781609989</v>
      </c>
      <c r="BQ42" s="1144">
        <f>'Recycling - Case 2'!BX112</f>
        <v>39.638613148632608</v>
      </c>
      <c r="BR42" s="1101">
        <f>'Recycling - Case 2'!BY112</f>
        <v>79.462075583852211</v>
      </c>
      <c r="BS42" s="417">
        <f>'Recycling - Case 2'!BZ112</f>
        <v>0.67264919781609989</v>
      </c>
      <c r="BT42" s="1144">
        <f>'Recycling - Case 2'!CA112</f>
        <v>39.638613148632608</v>
      </c>
      <c r="BU42" s="1102">
        <f>'Recycling - Case 3'!BV112</f>
        <v>79.462075583852211</v>
      </c>
      <c r="BV42" s="417">
        <f>'Recycling - Case 3'!BW112</f>
        <v>0.67264919781609989</v>
      </c>
      <c r="BW42" s="1144">
        <f>'Recycling - Case 3'!BX112</f>
        <v>39.638613148632608</v>
      </c>
      <c r="BX42" s="1101">
        <f>'Recycling - Case 3'!BY112</f>
        <v>79.462075583852211</v>
      </c>
      <c r="BY42" s="417">
        <f>'Recycling - Case 3'!BZ112</f>
        <v>0.67264919781609989</v>
      </c>
      <c r="BZ42" s="1144">
        <f>'Recycling - Case 3'!CA112</f>
        <v>39.638613148632608</v>
      </c>
      <c r="CA42" s="596">
        <v>2032</v>
      </c>
      <c r="CB42" s="649">
        <f>'Recycling - Case 1'!CB112</f>
        <v>0.26236415346842734</v>
      </c>
      <c r="CC42" s="417">
        <f>'Recycling - Case 1'!CC112</f>
        <v>0.30172134476474588</v>
      </c>
      <c r="CD42" s="417">
        <f>'Recycling - Case 1'!CD112</f>
        <v>0.26236415346842734</v>
      </c>
      <c r="CE42" s="525">
        <f>'Recycling - Case 1'!CE112</f>
        <v>0.30172134476474588</v>
      </c>
      <c r="CF42" s="649">
        <f>'Recycling - Case 2'!CB112</f>
        <v>0.33524737223917422</v>
      </c>
      <c r="CG42" s="417">
        <f>'Recycling - Case 2'!CC112</f>
        <v>0.3034807025407471</v>
      </c>
      <c r="CH42" s="417">
        <f>'Recycling - Case 2'!CD112</f>
        <v>0.33524737223917422</v>
      </c>
      <c r="CI42" s="525">
        <f>'Recycling - Case 2'!CE112</f>
        <v>0.3034807025407471</v>
      </c>
      <c r="CJ42" s="649">
        <f>'Recycling - Case 3'!CB112</f>
        <v>0.33524737223917422</v>
      </c>
      <c r="CK42" s="417">
        <f>'Recycling - Case 3'!CC112</f>
        <v>0.3034807025407471</v>
      </c>
      <c r="CL42" s="417">
        <f>'Recycling - Case 3'!CD112</f>
        <v>0.33524737223917422</v>
      </c>
      <c r="CM42" s="525">
        <f>'Recycling - Case 3'!CE112</f>
        <v>0.3034807025407471</v>
      </c>
    </row>
    <row r="43" spans="1:91">
      <c r="A43" s="4">
        <f>'Input data'!A132</f>
        <v>2032</v>
      </c>
      <c r="B43" s="4"/>
      <c r="C43" s="769">
        <f>'4A SWD Case 1'!BG102</f>
        <v>537.15505278742762</v>
      </c>
      <c r="D43" s="3">
        <f>'4B Biological treatment '!T96</f>
        <v>0.74609681018687468</v>
      </c>
      <c r="E43" s="1159">
        <f>'4B Biological treatment '!U96</f>
        <v>33.574356458409355</v>
      </c>
      <c r="F43" s="1159">
        <f>'4B Biological treatment '!W96</f>
        <v>2.0144613875045616</v>
      </c>
      <c r="G43" s="952">
        <f>'4C2 Open-burning '!R103</f>
        <v>19.830700584208724</v>
      </c>
      <c r="H43" s="952">
        <f>'4C2 Open-burning '!Z103</f>
        <v>6.6724236222992763</v>
      </c>
      <c r="I43" s="952">
        <f>'4C2 Open-burning '!AH103</f>
        <v>9.2891398621041524E-2</v>
      </c>
      <c r="J43" s="987">
        <f>'4D Wastewater treatment and dis'!AV140</f>
        <v>182.4620976517032</v>
      </c>
      <c r="K43" s="770">
        <f>'4D Wastewater treatment and dis'!AW140</f>
        <v>3.3826027116200144</v>
      </c>
      <c r="L43" s="771">
        <f t="shared" si="69"/>
        <v>11280.256108535979</v>
      </c>
      <c r="M43" s="772">
        <f t="shared" si="70"/>
        <v>15.668033013924369</v>
      </c>
      <c r="N43" s="771">
        <f t="shared" si="71"/>
        <v>1329.5445157530105</v>
      </c>
      <c r="O43" s="773">
        <f t="shared" si="72"/>
        <v>188.7479302250164</v>
      </c>
      <c r="P43" s="771">
        <f t="shared" si="73"/>
        <v>4880.3108912879725</v>
      </c>
      <c r="Q43" s="519">
        <f t="shared" si="74"/>
        <v>11280.256108535979</v>
      </c>
      <c r="R43" s="521">
        <f t="shared" si="75"/>
        <v>1345.2125487669348</v>
      </c>
      <c r="S43" s="518">
        <f t="shared" si="76"/>
        <v>188.7479302250164</v>
      </c>
      <c r="T43" s="519">
        <f t="shared" si="77"/>
        <v>4880.3108912879725</v>
      </c>
      <c r="U43" s="519">
        <f t="shared" si="78"/>
        <v>17694.5274788159</v>
      </c>
      <c r="V43" s="3"/>
      <c r="W43" s="596">
        <f t="shared" si="79"/>
        <v>2033</v>
      </c>
      <c r="X43" s="1101">
        <f t="shared" si="80"/>
        <v>10899.157669216975</v>
      </c>
      <c r="Y43" s="1102">
        <f t="shared" si="81"/>
        <v>1353.6255678652083</v>
      </c>
      <c r="Z43" s="1102">
        <f t="shared" si="82"/>
        <v>178.42741871714372</v>
      </c>
      <c r="AA43" s="1102">
        <f t="shared" si="83"/>
        <v>4959.7850255740987</v>
      </c>
      <c r="AB43" s="1144">
        <f t="shared" si="22"/>
        <v>17390.995681373424</v>
      </c>
      <c r="AC43" s="1425" t="str">
        <f>IF(OR('Recycling - Case 1'!AC113="No",'Recycling - Case 1'!T153="No"), "No", "Yes")</f>
        <v>No</v>
      </c>
      <c r="AD43" s="1101">
        <f t="shared" si="84"/>
        <v>10899.157669216975</v>
      </c>
      <c r="AE43" s="1102">
        <f t="shared" si="85"/>
        <v>1353.6255678652083</v>
      </c>
      <c r="AF43" s="1102">
        <f t="shared" si="86"/>
        <v>178.42741871714372</v>
      </c>
      <c r="AG43" s="1102">
        <f t="shared" si="87"/>
        <v>4959.7850255740987</v>
      </c>
      <c r="AH43" s="1144">
        <f t="shared" si="60"/>
        <v>17390.995681373424</v>
      </c>
      <c r="AI43" s="1425" t="str">
        <f>IF(OR('Recycling - Case 1'!AI24="No",'Recycling - Case 1'!Z153="No"), "No", "Yes")</f>
        <v>Yes</v>
      </c>
      <c r="AJ43" s="1101">
        <f t="shared" si="88"/>
        <v>10138.032175267153</v>
      </c>
      <c r="AK43" s="1102">
        <f t="shared" si="89"/>
        <v>1353.6255678652083</v>
      </c>
      <c r="AL43" s="1102">
        <f t="shared" si="90"/>
        <v>98.168119205727166</v>
      </c>
      <c r="AM43" s="1102">
        <f t="shared" si="91"/>
        <v>5602.7970253494477</v>
      </c>
      <c r="AN43" s="1144">
        <f t="shared" si="92"/>
        <v>17192.622887687539</v>
      </c>
      <c r="AO43" s="1418" t="str">
        <f>IF(OR('Recycling - Case 2'!AC113="No",'Recycling - Case 2'!T153="No"), "No", "Yes")</f>
        <v>No</v>
      </c>
      <c r="AP43" s="1101">
        <f t="shared" si="93"/>
        <v>10138.032175267153</v>
      </c>
      <c r="AQ43" s="1102">
        <f t="shared" si="94"/>
        <v>1353.6255678652083</v>
      </c>
      <c r="AR43" s="1102">
        <f t="shared" si="95"/>
        <v>98.168119205727166</v>
      </c>
      <c r="AS43" s="1102">
        <f t="shared" si="96"/>
        <v>5602.7970253494477</v>
      </c>
      <c r="AT43" s="1144">
        <f t="shared" si="37"/>
        <v>17192.622887687539</v>
      </c>
      <c r="AU43" s="1425" t="str">
        <f>IF(OR('Recycling - Case 2'!AC113="No",'Recycling - Case 2'!T193="No"), "No", "Yes")</f>
        <v>No</v>
      </c>
      <c r="AV43" s="1101">
        <f t="shared" si="63"/>
        <v>10138.797992811658</v>
      </c>
      <c r="AW43" s="1102">
        <f t="shared" si="64"/>
        <v>822.08541143228138</v>
      </c>
      <c r="AX43" s="1102">
        <f t="shared" si="65"/>
        <v>98.168119205727166</v>
      </c>
      <c r="AY43" s="1102">
        <f t="shared" si="66"/>
        <v>5602.7970253494477</v>
      </c>
      <c r="AZ43" s="1144">
        <f t="shared" si="67"/>
        <v>16661.848548799113</v>
      </c>
      <c r="BA43" s="1425" t="str">
        <f>IF(OR('Recycling - Case 3'!AC113="No",'Recycling - Case 3'!T153="No"), "No", "Yes")</f>
        <v>No</v>
      </c>
      <c r="BB43" s="1101">
        <f t="shared" si="97"/>
        <v>10138.797992811658</v>
      </c>
      <c r="BC43" s="1102">
        <f t="shared" si="98"/>
        <v>822.08541143228138</v>
      </c>
      <c r="BD43" s="1102">
        <f t="shared" si="99"/>
        <v>98.168119205727166</v>
      </c>
      <c r="BE43" s="1102">
        <f t="shared" si="100"/>
        <v>5602.7970253494477</v>
      </c>
      <c r="BF43" s="1144">
        <f t="shared" si="47"/>
        <v>16661.848548799113</v>
      </c>
      <c r="BG43" s="1425" t="str">
        <f>IF(OR('Recycling - Case 3'!AC113="No",'Recycling - Case 3'!T193="No"), "No", "Yes")</f>
        <v>No</v>
      </c>
      <c r="BH43" s="596">
        <f t="shared" si="48"/>
        <v>2033</v>
      </c>
      <c r="BI43" s="1102">
        <f>'Recycling - Case 1'!BV113</f>
        <v>80.940508363506183</v>
      </c>
      <c r="BJ43" s="417">
        <f>'Recycling - Case 1'!BW113</f>
        <v>0.55761066488085442</v>
      </c>
      <c r="BK43" s="1144">
        <f>'Recycling - Case 1'!BX113</f>
        <v>38.783300848650036</v>
      </c>
      <c r="BL43" s="1101">
        <f>'Recycling - Case 1'!BY113</f>
        <v>80.940508363506183</v>
      </c>
      <c r="BM43" s="417">
        <f>'Recycling - Case 1'!BZ113</f>
        <v>0.55761066488085442</v>
      </c>
      <c r="BN43" s="1144">
        <f>'Recycling - Case 1'!CA113</f>
        <v>38.783300848650036</v>
      </c>
      <c r="BO43" s="1102">
        <f>'Recycling - Case 2'!BV113</f>
        <v>79.234102818055973</v>
      </c>
      <c r="BP43" s="417">
        <f>'Recycling - Case 2'!BW113</f>
        <v>0.67818419217625725</v>
      </c>
      <c r="BQ43" s="1144">
        <f>'Recycling - Case 2'!BX113</f>
        <v>38.783300848650036</v>
      </c>
      <c r="BR43" s="1101">
        <f>'Recycling - Case 2'!BY113</f>
        <v>79.234102818055973</v>
      </c>
      <c r="BS43" s="417">
        <f>'Recycling - Case 2'!BZ113</f>
        <v>0.67818419217625725</v>
      </c>
      <c r="BT43" s="1144">
        <f>'Recycling - Case 2'!CA113</f>
        <v>38.783300848650036</v>
      </c>
      <c r="BU43" s="1102">
        <f>'Recycling - Case 3'!BV113</f>
        <v>79.234102818055973</v>
      </c>
      <c r="BV43" s="417">
        <f>'Recycling - Case 3'!BW113</f>
        <v>0.67818419217625725</v>
      </c>
      <c r="BW43" s="1144">
        <f>'Recycling - Case 3'!BX113</f>
        <v>38.783300848650036</v>
      </c>
      <c r="BX43" s="1101">
        <f>'Recycling - Case 3'!BY113</f>
        <v>79.234102818055973</v>
      </c>
      <c r="BY43" s="417">
        <f>'Recycling - Case 3'!BZ113</f>
        <v>0.67818419217625725</v>
      </c>
      <c r="BZ43" s="1144">
        <f>'Recycling - Case 3'!CA113</f>
        <v>38.783300848650036</v>
      </c>
      <c r="CA43" s="596">
        <v>2033</v>
      </c>
      <c r="CB43" s="649">
        <f>'Recycling - Case 1'!CB113</f>
        <v>0.27873582031809607</v>
      </c>
      <c r="CC43" s="417">
        <f>'Recycling - Case 1'!CC113</f>
        <v>0.31044629548126956</v>
      </c>
      <c r="CD43" s="417">
        <f>'Recycling - Case 1'!CD113</f>
        <v>0.27873582031809607</v>
      </c>
      <c r="CE43" s="525">
        <f>'Recycling - Case 1'!CE113</f>
        <v>0.31044629548126956</v>
      </c>
      <c r="CF43" s="649">
        <f>'Recycling - Case 2'!CB113</f>
        <v>0.33818146943254268</v>
      </c>
      <c r="CG43" s="417">
        <f>'Recycling - Case 2'!CC113</f>
        <v>0.31044629548126956</v>
      </c>
      <c r="CH43" s="417">
        <f>'Recycling - Case 2'!CD113</f>
        <v>0.33818146943254268</v>
      </c>
      <c r="CI43" s="525">
        <f>'Recycling - Case 2'!CE113</f>
        <v>0.31044629548126956</v>
      </c>
      <c r="CJ43" s="649">
        <f>'Recycling - Case 3'!CB113</f>
        <v>0.33818146943254268</v>
      </c>
      <c r="CK43" s="417">
        <f>'Recycling - Case 3'!CC113</f>
        <v>0.31044629548126956</v>
      </c>
      <c r="CL43" s="417">
        <f>'Recycling - Case 3'!CD113</f>
        <v>0.33818146943254268</v>
      </c>
      <c r="CM43" s="525">
        <f>'Recycling - Case 3'!CE113</f>
        <v>0.31044629548126956</v>
      </c>
    </row>
    <row r="44" spans="1:91">
      <c r="A44" s="4">
        <f>'Input data'!A133</f>
        <v>2033</v>
      </c>
      <c r="B44" s="4"/>
      <c r="C44" s="769">
        <f>'4A SWD Case 1'!BG103</f>
        <v>519.00750805795121</v>
      </c>
      <c r="D44" s="3">
        <f>'4B Biological treatment '!T97</f>
        <v>0.75076293281486894</v>
      </c>
      <c r="E44" s="1159">
        <f>'4B Biological treatment '!U97</f>
        <v>33.784331976669094</v>
      </c>
      <c r="F44" s="1159">
        <f>'4B Biological treatment '!W97</f>
        <v>2.0270599186001457</v>
      </c>
      <c r="G44" s="952">
        <f>'4C2 Open-burning '!R104</f>
        <v>18.746381549056849</v>
      </c>
      <c r="H44" s="952">
        <f>'4C2 Open-burning '!Z104</f>
        <v>6.3075834638019295</v>
      </c>
      <c r="I44" s="952">
        <f>'4C2 Open-burning '!AH104</f>
        <v>8.7812207833052797E-2</v>
      </c>
      <c r="J44" s="987">
        <f>'4D Wastewater treatment and dis'!AV141</f>
        <v>185.8204328244677</v>
      </c>
      <c r="K44" s="770">
        <f>'4D Wastewater treatment and dis'!AW141</f>
        <v>3.4114707621299263</v>
      </c>
      <c r="L44" s="771">
        <f t="shared" si="69"/>
        <v>10899.157669216975</v>
      </c>
      <c r="M44" s="772">
        <f t="shared" si="70"/>
        <v>15.766021589112247</v>
      </c>
      <c r="N44" s="771">
        <f t="shared" si="71"/>
        <v>1337.8595462760961</v>
      </c>
      <c r="O44" s="773">
        <f t="shared" si="72"/>
        <v>178.42741871714372</v>
      </c>
      <c r="P44" s="771">
        <f t="shared" si="73"/>
        <v>4959.7850255740987</v>
      </c>
      <c r="Q44" s="519">
        <f t="shared" si="74"/>
        <v>10899.157669216975</v>
      </c>
      <c r="R44" s="521">
        <f t="shared" si="75"/>
        <v>1353.6255678652083</v>
      </c>
      <c r="S44" s="518">
        <f t="shared" si="76"/>
        <v>178.42741871714372</v>
      </c>
      <c r="T44" s="519">
        <f t="shared" si="77"/>
        <v>4959.7850255740987</v>
      </c>
      <c r="U44" s="519">
        <f t="shared" si="78"/>
        <v>17390.995681373424</v>
      </c>
      <c r="V44" s="3"/>
      <c r="W44" s="596">
        <f t="shared" si="79"/>
        <v>2034</v>
      </c>
      <c r="X44" s="1101">
        <f t="shared" si="80"/>
        <v>10529.40798463992</v>
      </c>
      <c r="Y44" s="1102">
        <f t="shared" si="81"/>
        <v>1355.5154577081698</v>
      </c>
      <c r="Z44" s="1102">
        <f t="shared" si="82"/>
        <v>168.16219083511854</v>
      </c>
      <c r="AA44" s="1102">
        <f t="shared" si="83"/>
        <v>5040.2602160131582</v>
      </c>
      <c r="AB44" s="1144">
        <f t="shared" si="22"/>
        <v>17093.345849196368</v>
      </c>
      <c r="AC44" s="1425" t="str">
        <f>IF(OR('Recycling - Case 1'!AC114="No",'Recycling - Case 1'!T154="No"), "No", "Yes")</f>
        <v>No</v>
      </c>
      <c r="AD44" s="1101">
        <f t="shared" si="84"/>
        <v>10529.40798463992</v>
      </c>
      <c r="AE44" s="1102">
        <f t="shared" si="85"/>
        <v>1355.5154577081698</v>
      </c>
      <c r="AF44" s="1102">
        <f t="shared" si="86"/>
        <v>168.16219083511854</v>
      </c>
      <c r="AG44" s="1102">
        <f t="shared" si="87"/>
        <v>5040.2602160131582</v>
      </c>
      <c r="AH44" s="1144">
        <f t="shared" si="60"/>
        <v>17093.345849196368</v>
      </c>
      <c r="AI44" s="1425" t="str">
        <f>IF(OR('Recycling - Case 1'!AI25="No",'Recycling - Case 1'!Z154="No"), "No", "Yes")</f>
        <v>Yes</v>
      </c>
      <c r="AJ44" s="1101">
        <f t="shared" si="88"/>
        <v>9739.6247971303746</v>
      </c>
      <c r="AK44" s="1102">
        <f t="shared" si="89"/>
        <v>1355.5154577081698</v>
      </c>
      <c r="AL44" s="1102">
        <f t="shared" si="90"/>
        <v>97.880430060004471</v>
      </c>
      <c r="AM44" s="1102">
        <f t="shared" si="91"/>
        <v>5650.6128173042498</v>
      </c>
      <c r="AN44" s="1144">
        <f t="shared" si="92"/>
        <v>16843.6335022028</v>
      </c>
      <c r="AO44" s="1418" t="str">
        <f>IF(OR('Recycling - Case 2'!AC114="No",'Recycling - Case 2'!T154="No"), "No", "Yes")</f>
        <v>No</v>
      </c>
      <c r="AP44" s="1101">
        <f t="shared" si="93"/>
        <v>9739.6247971303746</v>
      </c>
      <c r="AQ44" s="1102">
        <f t="shared" si="94"/>
        <v>1355.5154577081698</v>
      </c>
      <c r="AR44" s="1102">
        <f t="shared" si="95"/>
        <v>97.880430060004471</v>
      </c>
      <c r="AS44" s="1102">
        <f t="shared" si="96"/>
        <v>5650.6128173042498</v>
      </c>
      <c r="AT44" s="1144">
        <f t="shared" si="37"/>
        <v>16843.6335022028</v>
      </c>
      <c r="AU44" s="1425" t="str">
        <f>IF(OR('Recycling - Case 2'!AC114="No",'Recycling - Case 2'!T194="No"), "No", "Yes")</f>
        <v>No</v>
      </c>
      <c r="AV44" s="1101">
        <f t="shared" si="63"/>
        <v>9740.4620915415217</v>
      </c>
      <c r="AW44" s="1102">
        <f t="shared" si="64"/>
        <v>823.23318147001999</v>
      </c>
      <c r="AX44" s="1102">
        <f t="shared" si="65"/>
        <v>97.880430060004471</v>
      </c>
      <c r="AY44" s="1102">
        <f t="shared" si="66"/>
        <v>5650.6128173042498</v>
      </c>
      <c r="AZ44" s="1144">
        <f t="shared" si="67"/>
        <v>16312.188520375796</v>
      </c>
      <c r="BA44" s="1425" t="str">
        <f>IF(OR('Recycling - Case 3'!AC114="No",'Recycling - Case 3'!T154="No"), "No", "Yes")</f>
        <v>No</v>
      </c>
      <c r="BB44" s="1101">
        <f t="shared" si="97"/>
        <v>9740.4620915415217</v>
      </c>
      <c r="BC44" s="1102">
        <f t="shared" si="98"/>
        <v>823.23318147001999</v>
      </c>
      <c r="BD44" s="1102">
        <f t="shared" si="99"/>
        <v>97.880430060004471</v>
      </c>
      <c r="BE44" s="1102">
        <f t="shared" si="100"/>
        <v>5650.6128173042498</v>
      </c>
      <c r="BF44" s="1144">
        <f t="shared" si="47"/>
        <v>16312.188520375796</v>
      </c>
      <c r="BG44" s="1425" t="str">
        <f>IF(OR('Recycling - Case 3'!AC114="No",'Recycling - Case 3'!T194="No"), "No", "Yes")</f>
        <v>No</v>
      </c>
      <c r="BH44" s="596">
        <f t="shared" si="48"/>
        <v>2034</v>
      </c>
      <c r="BI44" s="1102">
        <f>'Recycling - Case 1'!BV114</f>
        <v>80.240628361242258</v>
      </c>
      <c r="BJ44" s="417">
        <f>'Recycling - Case 1'!BW114</f>
        <v>0.5623612296209447</v>
      </c>
      <c r="BK44" s="1144">
        <f>'Recycling - Case 1'!BX114</f>
        <v>38.249557304784318</v>
      </c>
      <c r="BL44" s="1101">
        <f>'Recycling - Case 1'!BY114</f>
        <v>80.240628361242258</v>
      </c>
      <c r="BM44" s="417">
        <f>'Recycling - Case 1'!BZ114</f>
        <v>0.5623612296209447</v>
      </c>
      <c r="BN44" s="1144">
        <f>'Recycling - Case 1'!CA114</f>
        <v>38.249557304784318</v>
      </c>
      <c r="BO44" s="1102">
        <f>'Recycling - Case 2'!BV114</f>
        <v>78.901898908481755</v>
      </c>
      <c r="BP44" s="417">
        <f>'Recycling - Case 2'!BW114</f>
        <v>0.68088802642801638</v>
      </c>
      <c r="BQ44" s="1144">
        <f>'Recycling - Case 2'!BX114</f>
        <v>38.249557304784318</v>
      </c>
      <c r="BR44" s="1101">
        <f>'Recycling - Case 2'!BY114</f>
        <v>78.901898908481755</v>
      </c>
      <c r="BS44" s="417">
        <f>'Recycling - Case 2'!BZ114</f>
        <v>0.68088802642801638</v>
      </c>
      <c r="BT44" s="1144">
        <f>'Recycling - Case 2'!CA114</f>
        <v>38.249557304784318</v>
      </c>
      <c r="BU44" s="1102">
        <f>'Recycling - Case 3'!BV114</f>
        <v>78.901898908481755</v>
      </c>
      <c r="BV44" s="417">
        <f>'Recycling - Case 3'!BW114</f>
        <v>0.68088802642801638</v>
      </c>
      <c r="BW44" s="1144">
        <f>'Recycling - Case 3'!BX114</f>
        <v>38.249557304784318</v>
      </c>
      <c r="BX44" s="1101">
        <f>'Recycling - Case 3'!BY114</f>
        <v>78.901898908481755</v>
      </c>
      <c r="BY44" s="417">
        <f>'Recycling - Case 3'!BZ114</f>
        <v>0.68088802642801638</v>
      </c>
      <c r="BZ44" s="1144">
        <f>'Recycling - Case 3'!CA114</f>
        <v>38.249557304784318</v>
      </c>
      <c r="CA44" s="596">
        <v>2034</v>
      </c>
      <c r="CB44" s="649">
        <f>'Recycling - Case 1'!CB114</f>
        <v>0.29484629303664733</v>
      </c>
      <c r="CC44" s="417">
        <f>'Recycling - Case 1'!CC114</f>
        <v>0.31322500466537995</v>
      </c>
      <c r="CD44" s="417">
        <f>'Recycling - Case 1'!CD114</f>
        <v>0.29484629303664733</v>
      </c>
      <c r="CE44" s="525">
        <f>'Recycling - Case 1'!CE114</f>
        <v>0.31322500466537995</v>
      </c>
      <c r="CF44" s="649">
        <f>'Recycling - Case 2'!CB114</f>
        <v>0.34108865163413971</v>
      </c>
      <c r="CG44" s="417">
        <f>'Recycling - Case 2'!CC114</f>
        <v>0.31322500466537995</v>
      </c>
      <c r="CH44" s="417">
        <f>'Recycling - Case 2'!CD114</f>
        <v>0.34108865163413971</v>
      </c>
      <c r="CI44" s="525">
        <f>'Recycling - Case 2'!CE114</f>
        <v>0.31322500466537995</v>
      </c>
      <c r="CJ44" s="649">
        <f>'Recycling - Case 3'!CB114</f>
        <v>0.34108865163413971</v>
      </c>
      <c r="CK44" s="417">
        <f>'Recycling - Case 3'!CC114</f>
        <v>0.31322500466537995</v>
      </c>
      <c r="CL44" s="417">
        <f>'Recycling - Case 3'!CD114</f>
        <v>0.34108865163413971</v>
      </c>
      <c r="CM44" s="525">
        <f>'Recycling - Case 3'!CE114</f>
        <v>0.31322500466537995</v>
      </c>
    </row>
    <row r="45" spans="1:91">
      <c r="A45" s="4">
        <f>'Input data'!A134</f>
        <v>2034</v>
      </c>
      <c r="B45" s="4"/>
      <c r="C45" s="769">
        <f>'4A SWD Case 1'!BG104</f>
        <v>501.40038022094853</v>
      </c>
      <c r="D45" s="3">
        <f>'4B Biological treatment '!T98</f>
        <v>0.75181112463015531</v>
      </c>
      <c r="E45" s="1159">
        <f>'4B Biological treatment '!U98</f>
        <v>33.83150060835699</v>
      </c>
      <c r="F45" s="1159">
        <f>'4B Biological treatment '!W98</f>
        <v>2.0298900365014192</v>
      </c>
      <c r="G45" s="952">
        <f>'4C2 Open-burning '!R105</f>
        <v>17.667870858558523</v>
      </c>
      <c r="H45" s="952">
        <f>'4C2 Open-burning '!Z105</f>
        <v>5.9446976354558663</v>
      </c>
      <c r="I45" s="952">
        <f>'4C2 Open-burning '!AH105</f>
        <v>8.2760224619312345E-2</v>
      </c>
      <c r="J45" s="987">
        <f>'4D Wastewater treatment and dis'!AV142</f>
        <v>189.22280048005791</v>
      </c>
      <c r="K45" s="770">
        <f>'4D Wastewater treatment and dis'!AW142</f>
        <v>3.4405851804256198</v>
      </c>
      <c r="L45" s="771">
        <f t="shared" si="69"/>
        <v>10529.40798463992</v>
      </c>
      <c r="M45" s="772">
        <f t="shared" si="70"/>
        <v>15.788033617233262</v>
      </c>
      <c r="N45" s="771">
        <f t="shared" si="71"/>
        <v>1339.7274240909367</v>
      </c>
      <c r="O45" s="773">
        <f t="shared" si="72"/>
        <v>168.16219083511854</v>
      </c>
      <c r="P45" s="771">
        <f t="shared" si="73"/>
        <v>5040.2602160131582</v>
      </c>
      <c r="Q45" s="519">
        <f t="shared" si="74"/>
        <v>10529.40798463992</v>
      </c>
      <c r="R45" s="521">
        <f t="shared" si="75"/>
        <v>1355.5154577081698</v>
      </c>
      <c r="S45" s="518">
        <f t="shared" si="76"/>
        <v>168.16219083511854</v>
      </c>
      <c r="T45" s="519">
        <f t="shared" si="77"/>
        <v>5040.2602160131582</v>
      </c>
      <c r="U45" s="519">
        <f t="shared" si="78"/>
        <v>17093.345849196368</v>
      </c>
      <c r="V45" s="3"/>
      <c r="W45" s="596">
        <f t="shared" si="79"/>
        <v>2035</v>
      </c>
      <c r="X45" s="1101">
        <f t="shared" si="80"/>
        <v>10170.948625475119</v>
      </c>
      <c r="Y45" s="1102">
        <f t="shared" si="81"/>
        <v>1037.0246536402469</v>
      </c>
      <c r="Z45" s="1102">
        <f t="shared" si="82"/>
        <v>157.95115591721603</v>
      </c>
      <c r="AA45" s="1102">
        <f t="shared" si="83"/>
        <v>5121.7477607728442</v>
      </c>
      <c r="AB45" s="1144">
        <f t="shared" si="22"/>
        <v>16487.672195805426</v>
      </c>
      <c r="AC45" s="1425" t="str">
        <f>IF(OR('Recycling - Case 1'!AC115="No",'Recycling - Case 1'!T155="No"), "No", "Yes")</f>
        <v>No</v>
      </c>
      <c r="AD45" s="1101">
        <f t="shared" si="84"/>
        <v>10170.948625475119</v>
      </c>
      <c r="AE45" s="1102">
        <f t="shared" si="85"/>
        <v>1037.0246536402469</v>
      </c>
      <c r="AF45" s="1102">
        <f t="shared" si="86"/>
        <v>157.95115591721603</v>
      </c>
      <c r="AG45" s="1102">
        <f t="shared" si="87"/>
        <v>5121.7477607728442</v>
      </c>
      <c r="AH45" s="1144">
        <f t="shared" si="60"/>
        <v>16487.672195805426</v>
      </c>
      <c r="AI45" s="1425" t="str">
        <f>IF(OR('Recycling - Case 1'!AI26="No",'Recycling - Case 1'!Z155="No"), "No", "Yes")</f>
        <v>Yes</v>
      </c>
      <c r="AJ45" s="1101">
        <f t="shared" si="88"/>
        <v>9360.8913886165319</v>
      </c>
      <c r="AK45" s="1102">
        <f t="shared" si="89"/>
        <v>1037.0246536402469</v>
      </c>
      <c r="AL45" s="1102">
        <f t="shared" si="90"/>
        <v>97.596835379073497</v>
      </c>
      <c r="AM45" s="1102">
        <f t="shared" si="91"/>
        <v>5698.8366822179532</v>
      </c>
      <c r="AN45" s="1144">
        <f t="shared" si="92"/>
        <v>16194.349559853807</v>
      </c>
      <c r="AO45" s="1418" t="str">
        <f>IF(OR('Recycling - Case 2'!AC115="No",'Recycling - Case 2'!T155="No"), "No", "Yes")</f>
        <v>No</v>
      </c>
      <c r="AP45" s="1101">
        <f t="shared" si="93"/>
        <v>9360.8913886165319</v>
      </c>
      <c r="AQ45" s="1102">
        <f t="shared" si="94"/>
        <v>1037.0246536402469</v>
      </c>
      <c r="AR45" s="1102">
        <f t="shared" si="95"/>
        <v>97.596835379073497</v>
      </c>
      <c r="AS45" s="1102">
        <f t="shared" si="96"/>
        <v>5698.8366822179532</v>
      </c>
      <c r="AT45" s="1144">
        <f t="shared" si="37"/>
        <v>16194.349559853807</v>
      </c>
      <c r="AU45" s="1425" t="str">
        <f>IF(OR('Recycling - Case 2'!AC115="No",'Recycling - Case 2'!T195="No"), "No", "Yes")</f>
        <v>No</v>
      </c>
      <c r="AV45" s="1101">
        <f t="shared" si="63"/>
        <v>9361.7969880178971</v>
      </c>
      <c r="AW45" s="1102">
        <f t="shared" si="64"/>
        <v>629.80698598783727</v>
      </c>
      <c r="AX45" s="1102">
        <f t="shared" si="65"/>
        <v>97.596835379073497</v>
      </c>
      <c r="AY45" s="1102">
        <f t="shared" si="66"/>
        <v>5698.8366822179532</v>
      </c>
      <c r="AZ45" s="1144">
        <f t="shared" si="67"/>
        <v>15788.037491602761</v>
      </c>
      <c r="BA45" s="1425" t="str">
        <f>IF(OR('Recycling - Case 3'!AC115="No",'Recycling - Case 3'!T155="No"), "No", "Yes")</f>
        <v>No</v>
      </c>
      <c r="BB45" s="1101">
        <f t="shared" si="97"/>
        <v>9361.7969880178971</v>
      </c>
      <c r="BC45" s="1102">
        <f t="shared" si="98"/>
        <v>629.80698598783727</v>
      </c>
      <c r="BD45" s="1102">
        <f t="shared" si="99"/>
        <v>97.596835379073497</v>
      </c>
      <c r="BE45" s="1102">
        <f t="shared" si="100"/>
        <v>5698.8366822179532</v>
      </c>
      <c r="BF45" s="1144">
        <f t="shared" si="47"/>
        <v>15788.037491602761</v>
      </c>
      <c r="BG45" s="1425" t="str">
        <f>IF(OR('Recycling - Case 3'!AC115="No",'Recycling - Case 3'!T195="No"), "No", "Yes")</f>
        <v>No</v>
      </c>
      <c r="BH45" s="596">
        <f t="shared" si="48"/>
        <v>2035</v>
      </c>
      <c r="BI45" s="1102">
        <f>'Recycling - Case 1'!BV115</f>
        <v>58.306851367295017</v>
      </c>
      <c r="BJ45" s="417">
        <f>'Recycling - Case 1'!BW115</f>
        <v>0.41609074911414473</v>
      </c>
      <c r="BK45" s="1144">
        <f>'Recycling - Case 1'!BX115</f>
        <v>38.181094662935671</v>
      </c>
      <c r="BL45" s="1101">
        <f>'Recycling - Case 1'!BY115</f>
        <v>58.306851367295017</v>
      </c>
      <c r="BM45" s="417">
        <f>'Recycling - Case 1'!BZ115</f>
        <v>0.41609074911414473</v>
      </c>
      <c r="BN45" s="1144">
        <f>'Recycling - Case 1'!CA115</f>
        <v>38.181094662935671</v>
      </c>
      <c r="BO45" s="1102">
        <f>'Recycling - Case 2'!BV115</f>
        <v>57.335458454380252</v>
      </c>
      <c r="BP45" s="417">
        <f>'Recycling - Case 2'!BW115</f>
        <v>0.57468647235887615</v>
      </c>
      <c r="BQ45" s="1144">
        <f>'Recycling - Case 2'!BX115</f>
        <v>38.181094662935671</v>
      </c>
      <c r="BR45" s="1101">
        <f>'Recycling - Case 2'!BY115</f>
        <v>57.335458454380252</v>
      </c>
      <c r="BS45" s="417">
        <f>'Recycling - Case 2'!BZ115</f>
        <v>0.57468647235887615</v>
      </c>
      <c r="BT45" s="1144">
        <f>'Recycling - Case 2'!CA115</f>
        <v>38.181094662935671</v>
      </c>
      <c r="BU45" s="1102">
        <f>'Recycling - Case 3'!BV115</f>
        <v>57.335458454380252</v>
      </c>
      <c r="BV45" s="417">
        <f>'Recycling - Case 3'!BW115</f>
        <v>0.57468647235887615</v>
      </c>
      <c r="BW45" s="1144">
        <f>'Recycling - Case 3'!BX115</f>
        <v>38.181094662935671</v>
      </c>
      <c r="BX45" s="1101">
        <f>'Recycling - Case 3'!BY115</f>
        <v>57.335458454380252</v>
      </c>
      <c r="BY45" s="417">
        <f>'Recycling - Case 3'!BZ115</f>
        <v>0.57468647235887615</v>
      </c>
      <c r="BZ45" s="1144">
        <f>'Recycling - Case 3'!CA115</f>
        <v>38.181094662935671</v>
      </c>
      <c r="CA45" s="596">
        <v>2035</v>
      </c>
      <c r="CB45" s="649">
        <f>'Recycling - Case 1'!CB115</f>
        <v>0.31069930485615582</v>
      </c>
      <c r="CC45" s="417">
        <f>'Recycling - Case 1'!CC115</f>
        <v>0</v>
      </c>
      <c r="CD45" s="417">
        <f>'Recycling - Case 1'!CD115</f>
        <v>0.31069930485615582</v>
      </c>
      <c r="CE45" s="525">
        <f>'Recycling - Case 1'!CE115</f>
        <v>0</v>
      </c>
      <c r="CF45" s="649">
        <f>'Recycling - Case 2'!CB115</f>
        <v>0.34396919974586804</v>
      </c>
      <c r="CG45" s="417">
        <f>'Recycling - Case 2'!CC115</f>
        <v>0</v>
      </c>
      <c r="CH45" s="417">
        <f>'Recycling - Case 2'!CD115</f>
        <v>0.34396919974586804</v>
      </c>
      <c r="CI45" s="525">
        <f>'Recycling - Case 2'!CE115</f>
        <v>0</v>
      </c>
      <c r="CJ45" s="649">
        <f>'Recycling - Case 3'!CB115</f>
        <v>0.34396919974586804</v>
      </c>
      <c r="CK45" s="417">
        <f>'Recycling - Case 3'!CC115</f>
        <v>0</v>
      </c>
      <c r="CL45" s="417">
        <f>'Recycling - Case 3'!CD115</f>
        <v>0.34396919974586804</v>
      </c>
      <c r="CM45" s="525">
        <f>'Recycling - Case 3'!CE115</f>
        <v>0</v>
      </c>
    </row>
    <row r="46" spans="1:91">
      <c r="A46" s="4">
        <f>'Input data'!A135</f>
        <v>2035</v>
      </c>
      <c r="B46" s="4"/>
      <c r="C46" s="769">
        <f>'4A SWD Case 1'!BG105</f>
        <v>484.33088692738664</v>
      </c>
      <c r="D46" s="3">
        <f>'4B Biological treatment '!T99</f>
        <v>0.5751661972491664</v>
      </c>
      <c r="E46" s="1159">
        <f>'4B Biological treatment '!U99</f>
        <v>25.882478876212485</v>
      </c>
      <c r="F46" s="1159">
        <f>'4B Biological treatment '!W99</f>
        <v>1.5529487325727491</v>
      </c>
      <c r="G46" s="952">
        <f>'4C2 Open-burning '!R106</f>
        <v>16.595053922921537</v>
      </c>
      <c r="H46" s="952">
        <f>'4C2 Open-burning '!Z106</f>
        <v>5.5837275813042186</v>
      </c>
      <c r="I46" s="952">
        <f>'4C2 Open-burning '!AH106</f>
        <v>7.773491221582543E-2</v>
      </c>
      <c r="J46" s="987">
        <f>'4D Wastewater treatment and dis'!AV143</f>
        <v>192.66970758852685</v>
      </c>
      <c r="K46" s="770">
        <f>'4D Wastewater treatment and dis'!AW143</f>
        <v>3.4699480690767106</v>
      </c>
      <c r="L46" s="771">
        <f t="shared" si="69"/>
        <v>10170.948625475119</v>
      </c>
      <c r="M46" s="772">
        <f t="shared" si="70"/>
        <v>12.078490142232495</v>
      </c>
      <c r="N46" s="771">
        <f t="shared" si="71"/>
        <v>1024.9461634980144</v>
      </c>
      <c r="O46" s="773">
        <f t="shared" si="72"/>
        <v>157.95115591721603</v>
      </c>
      <c r="P46" s="771">
        <f t="shared" si="73"/>
        <v>5121.7477607728442</v>
      </c>
      <c r="Q46" s="519">
        <f t="shared" si="74"/>
        <v>10170.948625475119</v>
      </c>
      <c r="R46" s="521">
        <f t="shared" si="75"/>
        <v>1037.0246536402469</v>
      </c>
      <c r="S46" s="518">
        <f t="shared" si="76"/>
        <v>157.95115591721603</v>
      </c>
      <c r="T46" s="519">
        <f t="shared" si="77"/>
        <v>5121.7477607728442</v>
      </c>
      <c r="U46" s="519">
        <f t="shared" si="78"/>
        <v>16487.672195805426</v>
      </c>
      <c r="V46" s="3"/>
      <c r="W46" s="596">
        <f t="shared" si="79"/>
        <v>2036</v>
      </c>
      <c r="X46" s="1101">
        <f t="shared" si="80"/>
        <v>9749.6602756849043</v>
      </c>
      <c r="Y46" s="1102">
        <f t="shared" si="81"/>
        <v>1037.0246536402469</v>
      </c>
      <c r="Z46" s="1102">
        <f t="shared" si="82"/>
        <v>147.84395852682215</v>
      </c>
      <c r="AA46" s="1102">
        <f t="shared" si="83"/>
        <v>5197.9991360271206</v>
      </c>
      <c r="AB46" s="1144">
        <f t="shared" si="22"/>
        <v>16132.528023879095</v>
      </c>
      <c r="AC46" s="1425" t="str">
        <f>IF(OR('Recycling - Case 1'!AC116="No",'Recycling - Case 1'!T156="No"), "No", "Yes")</f>
        <v>No</v>
      </c>
      <c r="AD46" s="1101">
        <f t="shared" si="84"/>
        <v>9749.6602756849043</v>
      </c>
      <c r="AE46" s="1102">
        <f t="shared" si="85"/>
        <v>1037.0246536402469</v>
      </c>
      <c r="AF46" s="1102">
        <f t="shared" si="86"/>
        <v>147.84395852682215</v>
      </c>
      <c r="AG46" s="1102">
        <f t="shared" si="87"/>
        <v>5197.9991360271206</v>
      </c>
      <c r="AH46" s="1144">
        <f t="shared" si="60"/>
        <v>16132.528023879095</v>
      </c>
      <c r="AI46" s="1425" t="str">
        <f>IF(OR('Recycling - Case 1'!AI27="No",'Recycling - Case 1'!Z156="No"), "No", "Yes")</f>
        <v>Yes</v>
      </c>
      <c r="AJ46" s="1101">
        <f t="shared" si="88"/>
        <v>8927.4565027726148</v>
      </c>
      <c r="AK46" s="1102">
        <f t="shared" si="89"/>
        <v>1037.0246536402469</v>
      </c>
      <c r="AL46" s="1102">
        <f t="shared" si="90"/>
        <v>97.356613290882166</v>
      </c>
      <c r="AM46" s="1102">
        <f t="shared" si="91"/>
        <v>5740.5587570983689</v>
      </c>
      <c r="AN46" s="1144">
        <f t="shared" si="92"/>
        <v>15802.396526802113</v>
      </c>
      <c r="AO46" s="1418" t="str">
        <f>IF(OR('Recycling - Case 2'!AC116="No",'Recycling - Case 2'!T156="No"), "No", "Yes")</f>
        <v>No</v>
      </c>
      <c r="AP46" s="1101">
        <f t="shared" si="93"/>
        <v>8927.4565027726148</v>
      </c>
      <c r="AQ46" s="1102">
        <f t="shared" si="94"/>
        <v>1037.0246536402469</v>
      </c>
      <c r="AR46" s="1102">
        <f t="shared" si="95"/>
        <v>97.356613290882166</v>
      </c>
      <c r="AS46" s="1102">
        <f t="shared" si="96"/>
        <v>5740.5587570983689</v>
      </c>
      <c r="AT46" s="1144">
        <f t="shared" si="37"/>
        <v>15802.396526802113</v>
      </c>
      <c r="AU46" s="1425" t="str">
        <f>IF(OR('Recycling - Case 2'!AC116="No",'Recycling - Case 2'!T196="No"), "No", "Yes")</f>
        <v>No</v>
      </c>
      <c r="AV46" s="1101">
        <f t="shared" si="63"/>
        <v>8928.427428457635</v>
      </c>
      <c r="AW46" s="1102">
        <f t="shared" si="64"/>
        <v>629.80698598783727</v>
      </c>
      <c r="AX46" s="1102">
        <f t="shared" si="65"/>
        <v>97.356613290882166</v>
      </c>
      <c r="AY46" s="1102">
        <f t="shared" si="66"/>
        <v>5740.5587570983689</v>
      </c>
      <c r="AZ46" s="1144">
        <f t="shared" si="67"/>
        <v>15396.149784834724</v>
      </c>
      <c r="BA46" s="1425" t="str">
        <f>IF(OR('Recycling - Case 3'!AC116="No",'Recycling - Case 3'!T156="No"), "No", "Yes")</f>
        <v>No</v>
      </c>
      <c r="BB46" s="1101">
        <f t="shared" si="97"/>
        <v>8928.427428457635</v>
      </c>
      <c r="BC46" s="1102">
        <f t="shared" si="98"/>
        <v>629.80698598783727</v>
      </c>
      <c r="BD46" s="1102">
        <f t="shared" si="99"/>
        <v>97.356613290882166</v>
      </c>
      <c r="BE46" s="1102">
        <f t="shared" si="100"/>
        <v>5740.5587570983689</v>
      </c>
      <c r="BF46" s="1144">
        <f t="shared" si="47"/>
        <v>15396.149784834724</v>
      </c>
      <c r="BG46" s="1425" t="str">
        <f>IF(OR('Recycling - Case 3'!AC116="No",'Recycling - Case 3'!T196="No"), "No", "Yes")</f>
        <v>No</v>
      </c>
      <c r="BH46" s="596">
        <f t="shared" si="48"/>
        <v>2036</v>
      </c>
      <c r="BI46" s="1102">
        <f>'Recycling - Case 1'!BV116</f>
        <v>53.117866314010143</v>
      </c>
      <c r="BJ46" s="417">
        <f>'Recycling - Case 1'!BW116</f>
        <v>0.43486511239483194</v>
      </c>
      <c r="BK46" s="1144">
        <f>'Recycling - Case 1'!BX116</f>
        <v>32.537026437175776</v>
      </c>
      <c r="BL46" s="1101">
        <f>'Recycling - Case 1'!BY116</f>
        <v>53.117866314010143</v>
      </c>
      <c r="BM46" s="417">
        <f>'Recycling - Case 1'!BZ116</f>
        <v>0.43486511239483194</v>
      </c>
      <c r="BN46" s="1144">
        <f>'Recycling - Case 1'!CA116</f>
        <v>32.537026437175776</v>
      </c>
      <c r="BO46" s="1102">
        <f>'Recycling - Case 2'!BV116</f>
        <v>51.759519628866023</v>
      </c>
      <c r="BP46" s="417">
        <f>'Recycling - Case 2'!BW116</f>
        <v>0.59429482133395761</v>
      </c>
      <c r="BQ46" s="1144">
        <f>'Recycling - Case 2'!BX116</f>
        <v>32.537026437175776</v>
      </c>
      <c r="BR46" s="1101">
        <f>'Recycling - Case 2'!BY116</f>
        <v>51.759519628866023</v>
      </c>
      <c r="BS46" s="417">
        <f>'Recycling - Case 2'!BZ116</f>
        <v>0.59429482133395761</v>
      </c>
      <c r="BT46" s="1144">
        <f>'Recycling - Case 2'!CA116</f>
        <v>32.537026437175776</v>
      </c>
      <c r="BU46" s="1102">
        <f>'Recycling - Case 3'!BV116</f>
        <v>51.759519628866023</v>
      </c>
      <c r="BV46" s="417">
        <f>'Recycling - Case 3'!BW116</f>
        <v>0.59429482133395761</v>
      </c>
      <c r="BW46" s="1144">
        <f>'Recycling - Case 3'!BX116</f>
        <v>32.537026437175776</v>
      </c>
      <c r="BX46" s="1101">
        <f>'Recycling - Case 3'!BY116</f>
        <v>51.759519628866023</v>
      </c>
      <c r="BY46" s="417">
        <f>'Recycling - Case 3'!BZ116</f>
        <v>0.59429482133395761</v>
      </c>
      <c r="BZ46" s="1144">
        <f>'Recycling - Case 3'!CA116</f>
        <v>32.537026437175776</v>
      </c>
      <c r="CA46" s="596">
        <v>2036</v>
      </c>
      <c r="CB46" s="649">
        <f>'Recycling - Case 1'!CB116</f>
        <v>0.32580167937132221</v>
      </c>
      <c r="CC46" s="417">
        <f>'Recycling - Case 1'!CC116</f>
        <v>-2.310957952632342E-2</v>
      </c>
      <c r="CD46" s="417">
        <f>'Recycling - Case 1'!CD116</f>
        <v>0.32580167937132221</v>
      </c>
      <c r="CE46" s="525">
        <f>'Recycling - Case 1'!CE116</f>
        <v>-2.310957952632342E-2</v>
      </c>
      <c r="CF46" s="649">
        <f>'Recycling - Case 2'!CB116</f>
        <v>0.34642074566368197</v>
      </c>
      <c r="CG46" s="417">
        <f>'Recycling - Case 2'!CC116</f>
        <v>0</v>
      </c>
      <c r="CH46" s="417">
        <f>'Recycling - Case 2'!CD116</f>
        <v>0.34642074566368197</v>
      </c>
      <c r="CI46" s="525">
        <f>'Recycling - Case 2'!CE116</f>
        <v>0</v>
      </c>
      <c r="CJ46" s="649">
        <f>'Recycling - Case 3'!CB116</f>
        <v>0.34642074566368197</v>
      </c>
      <c r="CK46" s="417">
        <f>'Recycling - Case 3'!CC116</f>
        <v>0</v>
      </c>
      <c r="CL46" s="417">
        <f>'Recycling - Case 3'!CD116</f>
        <v>0.34642074566368197</v>
      </c>
      <c r="CM46" s="525">
        <f>'Recycling - Case 3'!CE116</f>
        <v>0</v>
      </c>
    </row>
    <row r="47" spans="1:91">
      <c r="A47" s="4">
        <f>'Input data'!A136</f>
        <v>2036</v>
      </c>
      <c r="B47" s="4"/>
      <c r="C47" s="769">
        <f>'4A SWD Case 1'!BG106</f>
        <v>464.26953693737636</v>
      </c>
      <c r="D47" s="3">
        <f>'4B Biological treatment '!T100</f>
        <v>0.5751661972491664</v>
      </c>
      <c r="E47" s="1159">
        <f>'4B Biological treatment '!U100</f>
        <v>25.882478876212485</v>
      </c>
      <c r="F47" s="1159">
        <f>'4B Biological treatment '!W100</f>
        <v>1.5529487325727491</v>
      </c>
      <c r="G47" s="952">
        <f>'4C2 Open-burning '!R107</f>
        <v>15.533146621710603</v>
      </c>
      <c r="H47" s="952">
        <f>'4C2 Open-burning '!Z107</f>
        <v>5.2264282851344142</v>
      </c>
      <c r="I47" s="952">
        <f>'4C2 Open-burning '!AH107</f>
        <v>7.2760702958996254E-2</v>
      </c>
      <c r="J47" s="987">
        <f>'4D Wastewater treatment and dis'!AV144</f>
        <v>195.92571354716031</v>
      </c>
      <c r="K47" s="770">
        <f>'4D Wastewater treatment and dis'!AW144</f>
        <v>3.4953521017314642</v>
      </c>
      <c r="L47" s="771">
        <f t="shared" si="69"/>
        <v>9749.6602756849043</v>
      </c>
      <c r="M47" s="772">
        <f t="shared" si="70"/>
        <v>12.078490142232495</v>
      </c>
      <c r="N47" s="771">
        <f t="shared" si="71"/>
        <v>1024.9461634980144</v>
      </c>
      <c r="O47" s="773">
        <f t="shared" si="72"/>
        <v>147.84395852682215</v>
      </c>
      <c r="P47" s="771">
        <f t="shared" si="73"/>
        <v>5197.9991360271206</v>
      </c>
      <c r="Q47" s="519">
        <f t="shared" si="74"/>
        <v>9749.6602756849043</v>
      </c>
      <c r="R47" s="521">
        <f t="shared" si="75"/>
        <v>1037.0246536402469</v>
      </c>
      <c r="S47" s="518">
        <f t="shared" si="76"/>
        <v>147.84395852682215</v>
      </c>
      <c r="T47" s="519">
        <f t="shared" si="77"/>
        <v>5197.9991360271206</v>
      </c>
      <c r="U47" s="519">
        <f t="shared" si="78"/>
        <v>16132.528023879095</v>
      </c>
      <c r="V47" s="3"/>
      <c r="W47" s="596">
        <f t="shared" si="79"/>
        <v>2037</v>
      </c>
      <c r="X47" s="1101">
        <f t="shared" si="80"/>
        <v>9415.2382956061429</v>
      </c>
      <c r="Y47" s="1102">
        <f t="shared" si="81"/>
        <v>1037.0246536402469</v>
      </c>
      <c r="Z47" s="1102">
        <f t="shared" si="82"/>
        <v>144.25651033931339</v>
      </c>
      <c r="AA47" s="1102">
        <f t="shared" si="83"/>
        <v>5275.0924855187541</v>
      </c>
      <c r="AB47" s="1144">
        <f t="shared" si="22"/>
        <v>15871.611945104458</v>
      </c>
      <c r="AC47" s="1425" t="str">
        <f>IF(OR('Recycling - Case 1'!AC117="No",'Recycling - Case 1'!T157="No"), "No", "Yes")</f>
        <v>No</v>
      </c>
      <c r="AD47" s="1101">
        <f t="shared" si="84"/>
        <v>9415.2382956061429</v>
      </c>
      <c r="AE47" s="1102">
        <f t="shared" si="85"/>
        <v>1037.0246536402469</v>
      </c>
      <c r="AF47" s="1102">
        <f t="shared" si="86"/>
        <v>144.25651033931339</v>
      </c>
      <c r="AG47" s="1102">
        <f t="shared" si="87"/>
        <v>5275.0924855187541</v>
      </c>
      <c r="AH47" s="1144">
        <f t="shared" si="60"/>
        <v>15871.611945104458</v>
      </c>
      <c r="AI47" s="1425" t="str">
        <f>IF(OR('Recycling - Case 1'!AI28="No",'Recycling - Case 1'!Z157="No"), "No", "Yes")</f>
        <v>Yes</v>
      </c>
      <c r="AJ47" s="1101">
        <f t="shared" si="88"/>
        <v>8515.3639489577072</v>
      </c>
      <c r="AK47" s="1102">
        <f t="shared" si="89"/>
        <v>1037.0246536402469</v>
      </c>
      <c r="AL47" s="1102">
        <f t="shared" si="90"/>
        <v>97.11930396370947</v>
      </c>
      <c r="AM47" s="1102">
        <f t="shared" si="91"/>
        <v>5782.5862858160108</v>
      </c>
      <c r="AN47" s="1144">
        <f t="shared" si="92"/>
        <v>15432.094192377674</v>
      </c>
      <c r="AO47" s="1418" t="str">
        <f>IF(OR('Recycling - Case 2'!AC117="No",'Recycling - Case 2'!T157="No"), "No", "Yes")</f>
        <v>No</v>
      </c>
      <c r="AP47" s="1101">
        <f t="shared" si="93"/>
        <v>8515.3639489577072</v>
      </c>
      <c r="AQ47" s="1102">
        <f t="shared" si="94"/>
        <v>1037.0246536402469</v>
      </c>
      <c r="AR47" s="1102">
        <f t="shared" si="95"/>
        <v>97.11930396370947</v>
      </c>
      <c r="AS47" s="1102">
        <f t="shared" si="96"/>
        <v>5782.5862858160108</v>
      </c>
      <c r="AT47" s="1144">
        <f t="shared" si="37"/>
        <v>15432.094192377674</v>
      </c>
      <c r="AU47" s="1425" t="str">
        <f>IF(OR('Recycling - Case 2'!AC117="No",'Recycling - Case 2'!T197="No"), "No", "Yes")</f>
        <v>No</v>
      </c>
      <c r="AV47" s="1101">
        <f t="shared" si="63"/>
        <v>8516.3972609868997</v>
      </c>
      <c r="AW47" s="1102">
        <f t="shared" si="64"/>
        <v>629.80698598783727</v>
      </c>
      <c r="AX47" s="1102">
        <f t="shared" si="65"/>
        <v>97.11930396370947</v>
      </c>
      <c r="AY47" s="1102">
        <f t="shared" si="66"/>
        <v>5782.5862858160108</v>
      </c>
      <c r="AZ47" s="1144">
        <f t="shared" si="67"/>
        <v>15025.909836754458</v>
      </c>
      <c r="BA47" s="1425" t="str">
        <f>IF(OR('Recycling - Case 3'!AC117="No",'Recycling - Case 3'!T157="No"), "No", "Yes")</f>
        <v>No</v>
      </c>
      <c r="BB47" s="1101">
        <f t="shared" si="97"/>
        <v>8516.3972609868997</v>
      </c>
      <c r="BC47" s="1102">
        <f t="shared" si="98"/>
        <v>629.80698598783727</v>
      </c>
      <c r="BD47" s="1102">
        <f t="shared" si="99"/>
        <v>97.11930396370947</v>
      </c>
      <c r="BE47" s="1102">
        <f t="shared" si="100"/>
        <v>5782.5862858160108</v>
      </c>
      <c r="BF47" s="1144">
        <f t="shared" si="47"/>
        <v>15025.909836754458</v>
      </c>
      <c r="BG47" s="1425" t="str">
        <f>IF(OR('Recycling - Case 3'!AC117="No",'Recycling - Case 3'!T197="No"), "No", "Yes")</f>
        <v>No</v>
      </c>
      <c r="BH47" s="596">
        <f t="shared" si="48"/>
        <v>2037</v>
      </c>
      <c r="BI47" s="1102">
        <f>'Recycling - Case 1'!BV117</f>
        <v>48.021012563928778</v>
      </c>
      <c r="BJ47" s="417">
        <f>'Recycling - Case 1'!BW117</f>
        <v>0.46060432130398071</v>
      </c>
      <c r="BK47" s="1144">
        <f>'Recycling - Case 1'!BX117</f>
        <v>27.502394556130181</v>
      </c>
      <c r="BL47" s="1101">
        <f>'Recycling - Case 1'!BY117</f>
        <v>48.021012563928778</v>
      </c>
      <c r="BM47" s="417">
        <f>'Recycling - Case 1'!BZ117</f>
        <v>0.46060432130398071</v>
      </c>
      <c r="BN47" s="1144">
        <f>'Recycling - Case 1'!CA117</f>
        <v>27.502394556130181</v>
      </c>
      <c r="BO47" s="1102">
        <f>'Recycling - Case 2'!BV117</f>
        <v>46.793558277866452</v>
      </c>
      <c r="BP47" s="417">
        <f>'Recycling - Case 2'!BW117</f>
        <v>0.61579485100678721</v>
      </c>
      <c r="BQ47" s="1144">
        <f>'Recycling - Case 2'!BX117</f>
        <v>27.502394556130181</v>
      </c>
      <c r="BR47" s="1101">
        <f>'Recycling - Case 2'!BY117</f>
        <v>46.793558277866452</v>
      </c>
      <c r="BS47" s="417">
        <f>'Recycling - Case 2'!BZ117</f>
        <v>0.61579485100678721</v>
      </c>
      <c r="BT47" s="1144">
        <f>'Recycling - Case 2'!CA117</f>
        <v>27.502394556130181</v>
      </c>
      <c r="BU47" s="1102">
        <f>'Recycling - Case 3'!BV117</f>
        <v>46.793558277866452</v>
      </c>
      <c r="BV47" s="417">
        <f>'Recycling - Case 3'!BW117</f>
        <v>0.61579485100678721</v>
      </c>
      <c r="BW47" s="1144">
        <f>'Recycling - Case 3'!BX117</f>
        <v>27.502394556130181</v>
      </c>
      <c r="BX47" s="1101">
        <f>'Recycling - Case 3'!BY117</f>
        <v>46.793558277866452</v>
      </c>
      <c r="BY47" s="417">
        <f>'Recycling - Case 3'!BZ117</f>
        <v>0.61579485100678721</v>
      </c>
      <c r="BZ47" s="1144">
        <f>'Recycling - Case 3'!CA117</f>
        <v>27.502394556130181</v>
      </c>
      <c r="CA47" s="596">
        <v>2037</v>
      </c>
      <c r="CB47" s="649">
        <f>'Recycling - Case 1'!CB117</f>
        <v>0.33280193124638935</v>
      </c>
      <c r="CC47" s="417">
        <f>'Recycling - Case 1'!CC117</f>
        <v>-2.7340055734616175E-2</v>
      </c>
      <c r="CD47" s="417">
        <f>'Recycling - Case 1'!CD117</f>
        <v>0.33280193124638935</v>
      </c>
      <c r="CE47" s="525">
        <f>'Recycling - Case 1'!CE117</f>
        <v>-2.7340055734616175E-2</v>
      </c>
      <c r="CF47" s="649">
        <f>'Recycling - Case 2'!CB117</f>
        <v>0.34885304461912336</v>
      </c>
      <c r="CG47" s="417">
        <f>'Recycling - Case 2'!CC117</f>
        <v>0</v>
      </c>
      <c r="CH47" s="417">
        <f>'Recycling - Case 2'!CD117</f>
        <v>0.34885304461912336</v>
      </c>
      <c r="CI47" s="525">
        <f>'Recycling - Case 2'!CE117</f>
        <v>0</v>
      </c>
      <c r="CJ47" s="649">
        <f>'Recycling - Case 3'!CB117</f>
        <v>0.34885304461912336</v>
      </c>
      <c r="CK47" s="417">
        <f>'Recycling - Case 3'!CC117</f>
        <v>0</v>
      </c>
      <c r="CL47" s="417">
        <f>'Recycling - Case 3'!CD117</f>
        <v>0.34885304461912336</v>
      </c>
      <c r="CM47" s="525">
        <f>'Recycling - Case 3'!CE117</f>
        <v>0</v>
      </c>
    </row>
    <row r="48" spans="1:91">
      <c r="A48" s="4">
        <f>'Input data'!A137</f>
        <v>2037</v>
      </c>
      <c r="B48" s="4"/>
      <c r="C48" s="769">
        <f>'4A SWD Case 1'!BG107</f>
        <v>448.34468074314969</v>
      </c>
      <c r="D48" s="3">
        <f>'4B Biological treatment '!T101</f>
        <v>0.5751661972491664</v>
      </c>
      <c r="E48" s="1159">
        <f>'4B Biological treatment '!U101</f>
        <v>25.882478876212485</v>
      </c>
      <c r="F48" s="1159">
        <f>'4B Biological treatment '!W101</f>
        <v>1.5529487325727491</v>
      </c>
      <c r="G48" s="952">
        <f>'4C2 Open-burning '!R108</f>
        <v>15.156233291943034</v>
      </c>
      <c r="H48" s="952">
        <f>'4C2 Open-burning '!Z108</f>
        <v>5.0996084890096478</v>
      </c>
      <c r="I48" s="952">
        <f>'4C2 Open-burning '!AH108</f>
        <v>7.0995157348928195E-2</v>
      </c>
      <c r="J48" s="987">
        <f>'4D Wastewater treatment and dis'!AV145</f>
        <v>199.21906799623179</v>
      </c>
      <c r="K48" s="770">
        <f>'4D Wastewater treatment and dis'!AW145</f>
        <v>3.5209421212835057</v>
      </c>
      <c r="L48" s="771">
        <f t="shared" si="69"/>
        <v>9415.2382956061429</v>
      </c>
      <c r="M48" s="772">
        <f t="shared" si="70"/>
        <v>12.078490142232495</v>
      </c>
      <c r="N48" s="771">
        <f t="shared" si="71"/>
        <v>1024.9461634980144</v>
      </c>
      <c r="O48" s="773">
        <f t="shared" si="72"/>
        <v>144.25651033931339</v>
      </c>
      <c r="P48" s="771">
        <f t="shared" si="73"/>
        <v>5275.0924855187541</v>
      </c>
      <c r="Q48" s="519">
        <f t="shared" si="74"/>
        <v>9415.2382956061429</v>
      </c>
      <c r="R48" s="521">
        <f t="shared" si="75"/>
        <v>1037.0246536402469</v>
      </c>
      <c r="S48" s="518">
        <f t="shared" si="76"/>
        <v>144.25651033931339</v>
      </c>
      <c r="T48" s="519">
        <f t="shared" si="77"/>
        <v>5275.0924855187541</v>
      </c>
      <c r="U48" s="519">
        <f t="shared" si="78"/>
        <v>15871.611945104458</v>
      </c>
      <c r="V48" s="3"/>
      <c r="W48" s="596">
        <f t="shared" si="79"/>
        <v>2038</v>
      </c>
      <c r="X48" s="1101">
        <f t="shared" si="80"/>
        <v>9095.5653559455168</v>
      </c>
      <c r="Y48" s="1102">
        <f t="shared" si="81"/>
        <v>1037.0246536402469</v>
      </c>
      <c r="Z48" s="1102">
        <f t="shared" si="82"/>
        <v>137.79108332877814</v>
      </c>
      <c r="AA48" s="1102">
        <f t="shared" si="83"/>
        <v>5353.0360506752186</v>
      </c>
      <c r="AB48" s="1144">
        <f t="shared" si="22"/>
        <v>15623.417143589761</v>
      </c>
      <c r="AC48" s="1425" t="str">
        <f>IF(OR('Recycling - Case 1'!AC118="No",'Recycling - Case 1'!T158="No"), "No", "Yes")</f>
        <v>No</v>
      </c>
      <c r="AD48" s="1101">
        <f t="shared" si="84"/>
        <v>9095.5653559455168</v>
      </c>
      <c r="AE48" s="1102">
        <f t="shared" si="85"/>
        <v>1037.0246536402469</v>
      </c>
      <c r="AF48" s="1102">
        <f t="shared" si="86"/>
        <v>137.79108332877814</v>
      </c>
      <c r="AG48" s="1102">
        <f t="shared" si="87"/>
        <v>5353.0360506752186</v>
      </c>
      <c r="AH48" s="1144">
        <f t="shared" si="60"/>
        <v>15623.417143589761</v>
      </c>
      <c r="AI48" s="1425" t="str">
        <f>IF(OR('Recycling - Case 1'!AI29="No",'Recycling - Case 1'!Z158="No"), "No", "Yes")</f>
        <v>Yes</v>
      </c>
      <c r="AJ48" s="1101">
        <f t="shared" si="88"/>
        <v>8123.5734695997453</v>
      </c>
      <c r="AK48" s="1102">
        <f t="shared" si="89"/>
        <v>1037.0246536402469</v>
      </c>
      <c r="AL48" s="1102">
        <f t="shared" si="90"/>
        <v>96.88486093946301</v>
      </c>
      <c r="AM48" s="1102">
        <f t="shared" si="91"/>
        <v>5824.9215046462123</v>
      </c>
      <c r="AN48" s="1144">
        <f t="shared" si="92"/>
        <v>15082.404488825667</v>
      </c>
      <c r="AO48" s="1418" t="str">
        <f>IF(OR('Recycling - Case 2'!AC118="No",'Recycling - Case 2'!T158="No"), "No", "Yes")</f>
        <v>No</v>
      </c>
      <c r="AP48" s="1101">
        <f t="shared" si="93"/>
        <v>8123.5734695997453</v>
      </c>
      <c r="AQ48" s="1102">
        <f t="shared" si="94"/>
        <v>1037.0246536402469</v>
      </c>
      <c r="AR48" s="1102">
        <f t="shared" si="95"/>
        <v>96.88486093946301</v>
      </c>
      <c r="AS48" s="1102">
        <f t="shared" si="96"/>
        <v>5824.9215046462123</v>
      </c>
      <c r="AT48" s="1144">
        <f t="shared" si="37"/>
        <v>15082.404488825667</v>
      </c>
      <c r="AU48" s="1425" t="str">
        <f>IF(OR('Recycling - Case 2'!AC118="No",'Recycling - Case 2'!T198="No"), "No", "Yes")</f>
        <v>No</v>
      </c>
      <c r="AV48" s="1101">
        <f t="shared" si="63"/>
        <v>8124.6664055705405</v>
      </c>
      <c r="AW48" s="1102">
        <f t="shared" si="64"/>
        <v>629.80698598783727</v>
      </c>
      <c r="AX48" s="1102">
        <f t="shared" si="65"/>
        <v>96.88486093946301</v>
      </c>
      <c r="AY48" s="1102">
        <f t="shared" si="66"/>
        <v>5824.9215046462123</v>
      </c>
      <c r="AZ48" s="1144">
        <f t="shared" si="67"/>
        <v>14676.279757144053</v>
      </c>
      <c r="BA48" s="1425" t="str">
        <f>IF(OR('Recycling - Case 3'!AC118="No",'Recycling - Case 3'!T158="No"), "No", "Yes")</f>
        <v>No</v>
      </c>
      <c r="BB48" s="1101">
        <f t="shared" si="97"/>
        <v>8124.6664055705405</v>
      </c>
      <c r="BC48" s="1102">
        <f t="shared" si="98"/>
        <v>629.80698598783727</v>
      </c>
      <c r="BD48" s="1102">
        <f t="shared" si="99"/>
        <v>96.88486093946301</v>
      </c>
      <c r="BE48" s="1102">
        <f t="shared" si="100"/>
        <v>5824.9215046462123</v>
      </c>
      <c r="BF48" s="1144">
        <f t="shared" si="47"/>
        <v>14676.279757144053</v>
      </c>
      <c r="BG48" s="1425" t="str">
        <f>IF(OR('Recycling - Case 3'!AC118="No",'Recycling - Case 3'!T198="No"), "No", "Yes")</f>
        <v>No</v>
      </c>
      <c r="BH48" s="596">
        <f t="shared" si="48"/>
        <v>2038</v>
      </c>
      <c r="BI48" s="1102">
        <f>'Recycling - Case 1'!BV118</f>
        <v>46.025114253468232</v>
      </c>
      <c r="BJ48" s="417">
        <f>'Recycling - Case 1'!BW118</f>
        <v>0.47264670745952791</v>
      </c>
      <c r="BK48" s="1144">
        <f>'Recycling - Case 1'!BX118</f>
        <v>25.672806243326274</v>
      </c>
      <c r="BL48" s="1101">
        <f>'Recycling - Case 1'!BY118</f>
        <v>46.025114253468232</v>
      </c>
      <c r="BM48" s="417">
        <f>'Recycling - Case 1'!BZ118</f>
        <v>0.47264670745952791</v>
      </c>
      <c r="BN48" s="1144">
        <f>'Recycling - Case 1'!CA118</f>
        <v>25.672806243326274</v>
      </c>
      <c r="BO48" s="1102">
        <f>'Recycling - Case 2'!BV118</f>
        <v>45.033184972196949</v>
      </c>
      <c r="BP48" s="417">
        <f>'Recycling - Case 2'!BW118</f>
        <v>0.62515258352679648</v>
      </c>
      <c r="BQ48" s="1144">
        <f>'Recycling - Case 2'!BX118</f>
        <v>25.672806243326274</v>
      </c>
      <c r="BR48" s="1101">
        <f>'Recycling - Case 2'!BY118</f>
        <v>45.033184972196949</v>
      </c>
      <c r="BS48" s="417">
        <f>'Recycling - Case 2'!BZ118</f>
        <v>0.62515258352679648</v>
      </c>
      <c r="BT48" s="1144">
        <f>'Recycling - Case 2'!CA118</f>
        <v>25.672806243326274</v>
      </c>
      <c r="BU48" s="1102">
        <f>'Recycling - Case 3'!BV118</f>
        <v>45.033184972196949</v>
      </c>
      <c r="BV48" s="417">
        <f>'Recycling - Case 3'!BW118</f>
        <v>0.62515258352679648</v>
      </c>
      <c r="BW48" s="1144">
        <f>'Recycling - Case 3'!BX118</f>
        <v>25.672806243326274</v>
      </c>
      <c r="BX48" s="1101">
        <f>'Recycling - Case 3'!BY118</f>
        <v>45.033184972196949</v>
      </c>
      <c r="BY48" s="417">
        <f>'Recycling - Case 3'!BZ118</f>
        <v>0.62515258352679648</v>
      </c>
      <c r="BZ48" s="1144">
        <f>'Recycling - Case 3'!CA118</f>
        <v>25.672806243326274</v>
      </c>
      <c r="CA48" s="596">
        <v>2038</v>
      </c>
      <c r="CB48" s="649">
        <f>'Recycling - Case 1'!CB118</f>
        <v>0.3432238595609628</v>
      </c>
      <c r="CC48" s="417">
        <f>'Recycling - Case 1'!CC118</f>
        <v>-2.9288461606937322E-2</v>
      </c>
      <c r="CD48" s="417">
        <f>'Recycling - Case 1'!CD118</f>
        <v>0.3432238595609628</v>
      </c>
      <c r="CE48" s="525">
        <f>'Recycling - Case 1'!CE118</f>
        <v>-2.9288461606937322E-2</v>
      </c>
      <c r="CF48" s="649">
        <f>'Recycling - Case 2'!CB118</f>
        <v>0.35126626747362921</v>
      </c>
      <c r="CG48" s="417">
        <f>'Recycling - Case 2'!CC118</f>
        <v>-2.2204460492503131E-16</v>
      </c>
      <c r="CH48" s="417">
        <f>'Recycling - Case 2'!CD118</f>
        <v>0.35126626747362921</v>
      </c>
      <c r="CI48" s="525">
        <f>'Recycling - Case 2'!CE118</f>
        <v>-2.2204460492503131E-16</v>
      </c>
      <c r="CJ48" s="649">
        <f>'Recycling - Case 3'!CB118</f>
        <v>0.35126626747362921</v>
      </c>
      <c r="CK48" s="417">
        <f>'Recycling - Case 3'!CC118</f>
        <v>-2.2204460492503131E-16</v>
      </c>
      <c r="CL48" s="417">
        <f>'Recycling - Case 3'!CD118</f>
        <v>0.35126626747362921</v>
      </c>
      <c r="CM48" s="525">
        <f>'Recycling - Case 3'!CE118</f>
        <v>-2.2204460492503131E-16</v>
      </c>
    </row>
    <row r="49" spans="1:91">
      <c r="A49" s="4">
        <f>'Input data'!A138</f>
        <v>2038</v>
      </c>
      <c r="B49" s="4"/>
      <c r="C49" s="769">
        <f>'4A SWD Case 1'!BG108</f>
        <v>433.12215980692935</v>
      </c>
      <c r="D49" s="3">
        <f>'4B Biological treatment '!T102</f>
        <v>0.5751661972491664</v>
      </c>
      <c r="E49" s="1159">
        <f>'4B Biological treatment '!U102</f>
        <v>25.882478876212485</v>
      </c>
      <c r="F49" s="1159">
        <f>'4B Biological treatment '!W102</f>
        <v>1.5529487325727491</v>
      </c>
      <c r="G49" s="952">
        <f>'4C2 Open-burning '!R109</f>
        <v>14.476946652655759</v>
      </c>
      <c r="H49" s="952">
        <f>'4C2 Open-burning '!Z109</f>
        <v>4.8710493315030332</v>
      </c>
      <c r="I49" s="952">
        <f>'4C2 Open-burning '!AH109</f>
        <v>6.7813228111479648E-2</v>
      </c>
      <c r="J49" s="987">
        <f>'4D Wastewater treatment and dis'!AV146</f>
        <v>202.55014328428078</v>
      </c>
      <c r="K49" s="770">
        <f>'4D Wastewater treatment and dis'!AW146</f>
        <v>3.5467194893720086</v>
      </c>
      <c r="L49" s="771">
        <f t="shared" si="69"/>
        <v>9095.5653559455168</v>
      </c>
      <c r="M49" s="772">
        <f t="shared" si="70"/>
        <v>12.078490142232495</v>
      </c>
      <c r="N49" s="771">
        <f t="shared" si="71"/>
        <v>1024.9461634980144</v>
      </c>
      <c r="O49" s="773">
        <f t="shared" si="72"/>
        <v>137.79108332877814</v>
      </c>
      <c r="P49" s="771">
        <f t="shared" si="73"/>
        <v>5353.0360506752186</v>
      </c>
      <c r="Q49" s="519">
        <f t="shared" si="74"/>
        <v>9095.5653559455168</v>
      </c>
      <c r="R49" s="521">
        <f t="shared" si="75"/>
        <v>1037.0246536402469</v>
      </c>
      <c r="S49" s="518">
        <f t="shared" si="76"/>
        <v>137.79108332877814</v>
      </c>
      <c r="T49" s="519">
        <f t="shared" si="77"/>
        <v>5353.0360506752186</v>
      </c>
      <c r="U49" s="519">
        <f t="shared" si="78"/>
        <v>15623.417143589761</v>
      </c>
      <c r="V49" s="3"/>
      <c r="W49" s="596">
        <f t="shared" si="79"/>
        <v>2039</v>
      </c>
      <c r="X49" s="1101">
        <f t="shared" si="80"/>
        <v>8787.3052964410526</v>
      </c>
      <c r="Y49" s="1102">
        <f t="shared" si="81"/>
        <v>1037.0246536402469</v>
      </c>
      <c r="Z49" s="1102">
        <f t="shared" si="82"/>
        <v>131.35405873525082</v>
      </c>
      <c r="AA49" s="1102">
        <f t="shared" si="83"/>
        <v>5431.8381484682886</v>
      </c>
      <c r="AB49" s="1144">
        <f t="shared" si="22"/>
        <v>15387.522157284839</v>
      </c>
      <c r="AC49" s="1425" t="str">
        <f>IF(OR('Recycling - Case 1'!AC119="No",'Recycling - Case 1'!T159="No"), "No", "Yes")</f>
        <v>No</v>
      </c>
      <c r="AD49" s="1101">
        <f t="shared" si="84"/>
        <v>8787.3052964410526</v>
      </c>
      <c r="AE49" s="1102">
        <f t="shared" si="85"/>
        <v>1037.0246536402469</v>
      </c>
      <c r="AF49" s="1102">
        <f t="shared" si="86"/>
        <v>131.35405873525082</v>
      </c>
      <c r="AG49" s="1102">
        <f t="shared" si="87"/>
        <v>5431.8381484682886</v>
      </c>
      <c r="AH49" s="1144">
        <f t="shared" si="60"/>
        <v>15387.522157284839</v>
      </c>
      <c r="AI49" s="1425" t="str">
        <f>IF(OR('Recycling - Case 1'!AI30="No",'Recycling - Case 1'!Z159="No"), "No", "Yes")</f>
        <v>Yes</v>
      </c>
      <c r="AJ49" s="1101">
        <f t="shared" si="88"/>
        <v>7751.0954857168272</v>
      </c>
      <c r="AK49" s="1102">
        <f t="shared" si="89"/>
        <v>1037.0246536402469</v>
      </c>
      <c r="AL49" s="1102">
        <f t="shared" si="90"/>
        <v>96.653238724891821</v>
      </c>
      <c r="AM49" s="1102">
        <f t="shared" si="91"/>
        <v>5867.5666662364183</v>
      </c>
      <c r="AN49" s="1144">
        <f t="shared" si="92"/>
        <v>14752.340044318384</v>
      </c>
      <c r="AO49" s="1418" t="str">
        <f>IF(OR('Recycling - Case 2'!AC119="No",'Recycling - Case 2'!T159="No"), "No", "Yes")</f>
        <v>Yes</v>
      </c>
      <c r="AP49" s="1101">
        <f t="shared" si="93"/>
        <v>7751.0954857168272</v>
      </c>
      <c r="AQ49" s="1102">
        <f t="shared" si="94"/>
        <v>1037.0246536402469</v>
      </c>
      <c r="AR49" s="1102">
        <f t="shared" si="95"/>
        <v>96.653238724891821</v>
      </c>
      <c r="AS49" s="1102">
        <f t="shared" si="96"/>
        <v>5867.5666662364183</v>
      </c>
      <c r="AT49" s="1144">
        <f t="shared" si="37"/>
        <v>14752.340044318384</v>
      </c>
      <c r="AU49" s="1425" t="str">
        <f>IF(OR('Recycling - Case 2'!AC119="No",'Recycling - Case 2'!T199="No"), "No", "Yes")</f>
        <v>Yes</v>
      </c>
      <c r="AV49" s="1101">
        <f t="shared" si="63"/>
        <v>7752.2454504709603</v>
      </c>
      <c r="AW49" s="1102">
        <f t="shared" si="64"/>
        <v>629.80698598783727</v>
      </c>
      <c r="AX49" s="1102">
        <f t="shared" si="65"/>
        <v>96.653238724891821</v>
      </c>
      <c r="AY49" s="1102">
        <f t="shared" si="66"/>
        <v>5867.5666662364183</v>
      </c>
      <c r="AZ49" s="1144">
        <f t="shared" si="67"/>
        <v>14346.272341420108</v>
      </c>
      <c r="BA49" s="1425" t="str">
        <f>IF(OR('Recycling - Case 3'!AC119="No",'Recycling - Case 3'!T159="No"), "No", "Yes")</f>
        <v>Yes</v>
      </c>
      <c r="BB49" s="1101">
        <f t="shared" si="97"/>
        <v>7752.2454504709603</v>
      </c>
      <c r="BC49" s="1102">
        <f t="shared" si="98"/>
        <v>629.80698598783727</v>
      </c>
      <c r="BD49" s="1102">
        <f t="shared" si="99"/>
        <v>96.653238724891821</v>
      </c>
      <c r="BE49" s="1102">
        <f t="shared" si="100"/>
        <v>5867.5666662364183</v>
      </c>
      <c r="BF49" s="1144">
        <f t="shared" si="47"/>
        <v>14346.272341420108</v>
      </c>
      <c r="BG49" s="1425" t="str">
        <f>IF(OR('Recycling - Case 3'!AC119="No",'Recycling - Case 3'!T199="No"), "No", "Yes")</f>
        <v>Yes</v>
      </c>
      <c r="BH49" s="596">
        <f t="shared" si="48"/>
        <v>2039</v>
      </c>
      <c r="BI49" s="1102">
        <f>'Recycling - Case 1'!BV119</f>
        <v>44.029908674726798</v>
      </c>
      <c r="BJ49" s="417">
        <f>'Recycling - Case 1'!BW119</f>
        <v>0.48578897617289196</v>
      </c>
      <c r="BK49" s="1144">
        <f>'Recycling - Case 1'!BX119</f>
        <v>23.843217930522357</v>
      </c>
      <c r="BL49" s="1101">
        <f>'Recycling - Case 1'!BY119</f>
        <v>44.029908674726798</v>
      </c>
      <c r="BM49" s="417">
        <f>'Recycling - Case 1'!BZ119</f>
        <v>0.48578897617289196</v>
      </c>
      <c r="BN49" s="1144">
        <f>'Recycling - Case 1'!CA119</f>
        <v>23.843217930522357</v>
      </c>
      <c r="BO49" s="1102">
        <f>'Recycling - Case 2'!BV119</f>
        <v>43.407287438448272</v>
      </c>
      <c r="BP49" s="417">
        <f>'Recycling - Case 2'!BW119</f>
        <v>0.6333162262561266</v>
      </c>
      <c r="BQ49" s="1144">
        <f>'Recycling - Case 2'!BX119</f>
        <v>23.843217930522357</v>
      </c>
      <c r="BR49" s="1101">
        <f>'Recycling - Case 2'!BY119</f>
        <v>43.407287438448272</v>
      </c>
      <c r="BS49" s="417">
        <f>'Recycling - Case 2'!BZ119</f>
        <v>0.6333162262561266</v>
      </c>
      <c r="BT49" s="1144">
        <f>'Recycling - Case 2'!CA119</f>
        <v>23.843217930522357</v>
      </c>
      <c r="BU49" s="1102">
        <f>'Recycling - Case 3'!BV119</f>
        <v>43.407287438448272</v>
      </c>
      <c r="BV49" s="417">
        <f>'Recycling - Case 3'!BW119</f>
        <v>0.6333162262561266</v>
      </c>
      <c r="BW49" s="1144">
        <f>'Recycling - Case 3'!BX119</f>
        <v>23.843217930522357</v>
      </c>
      <c r="BX49" s="1101">
        <f>'Recycling - Case 3'!BY119</f>
        <v>43.407287438448272</v>
      </c>
      <c r="BY49" s="417">
        <f>'Recycling - Case 3'!BZ119</f>
        <v>0.6333162262561266</v>
      </c>
      <c r="BZ49" s="1144">
        <f>'Recycling - Case 3'!CA119</f>
        <v>23.843217930522357</v>
      </c>
      <c r="CA49" s="596">
        <v>2039</v>
      </c>
      <c r="CB49" s="649">
        <f>'Recycling - Case 1'!CB119</f>
        <v>0.35350649570399229</v>
      </c>
      <c r="CC49" s="417">
        <f>'Recycling - Case 1'!CC119</f>
        <v>-3.1535885893885673E-2</v>
      </c>
      <c r="CD49" s="417">
        <f>'Recycling - Case 1'!CD119</f>
        <v>0.35350649570399229</v>
      </c>
      <c r="CE49" s="525">
        <f>'Recycling - Case 1'!CE119</f>
        <v>-3.1535885893885673E-2</v>
      </c>
      <c r="CF49" s="649">
        <f>'Recycling - Case 2'!CB119</f>
        <v>0.35366058307858594</v>
      </c>
      <c r="CG49" s="417">
        <f>'Recycling - Case 2'!CC119</f>
        <v>-5.6170233229393407E-3</v>
      </c>
      <c r="CH49" s="417">
        <f>'Recycling - Case 2'!CD119</f>
        <v>0.35366058307858594</v>
      </c>
      <c r="CI49" s="525">
        <f>'Recycling - Case 2'!CE119</f>
        <v>-5.6170233229393407E-3</v>
      </c>
      <c r="CJ49" s="649">
        <f>'Recycling - Case 3'!CB119</f>
        <v>0.35366058307858594</v>
      </c>
      <c r="CK49" s="417">
        <f>'Recycling - Case 3'!CC119</f>
        <v>-5.6170233229393407E-3</v>
      </c>
      <c r="CL49" s="417">
        <f>'Recycling - Case 3'!CD119</f>
        <v>0.35366058307858594</v>
      </c>
      <c r="CM49" s="525">
        <f>'Recycling - Case 3'!CE119</f>
        <v>-5.6170233229393407E-3</v>
      </c>
    </row>
    <row r="50" spans="1:91">
      <c r="A50" s="4">
        <f>'Input data'!A139</f>
        <v>2039</v>
      </c>
      <c r="B50" s="4"/>
      <c r="C50" s="769">
        <f>'4A SWD Case 1'!BG109</f>
        <v>418.44310935433583</v>
      </c>
      <c r="D50" s="3">
        <f>'4B Biological treatment '!T103</f>
        <v>0.5751661972491664</v>
      </c>
      <c r="E50" s="1159">
        <f>'4B Biological treatment '!U103</f>
        <v>25.882478876212485</v>
      </c>
      <c r="F50" s="1159">
        <f>'4B Biological treatment '!W103</f>
        <v>1.5529487325727491</v>
      </c>
      <c r="G50" s="952">
        <f>'4C2 Open-burning '!R110</f>
        <v>13.800644098157552</v>
      </c>
      <c r="H50" s="952">
        <f>'4C2 Open-burning '!Z110</f>
        <v>4.6434942271690707</v>
      </c>
      <c r="I50" s="952">
        <f>'4C2 Open-burning '!AH110</f>
        <v>6.46452769888477E-2</v>
      </c>
      <c r="J50" s="987">
        <f>'4D Wastewater treatment and dis'!AV147</f>
        <v>205.91931521003639</v>
      </c>
      <c r="K50" s="770">
        <f>'4D Wastewater treatment and dis'!AW147</f>
        <v>3.5726855776049167</v>
      </c>
      <c r="L50" s="771">
        <f t="shared" si="69"/>
        <v>8787.3052964410526</v>
      </c>
      <c r="M50" s="772">
        <f t="shared" si="70"/>
        <v>12.078490142232495</v>
      </c>
      <c r="N50" s="771">
        <f t="shared" si="71"/>
        <v>1024.9461634980144</v>
      </c>
      <c r="O50" s="773">
        <f t="shared" si="72"/>
        <v>131.35405873525082</v>
      </c>
      <c r="P50" s="771">
        <f t="shared" si="73"/>
        <v>5431.8381484682886</v>
      </c>
      <c r="Q50" s="519">
        <f t="shared" si="74"/>
        <v>8787.3052964410526</v>
      </c>
      <c r="R50" s="521">
        <f t="shared" si="75"/>
        <v>1037.0246536402469</v>
      </c>
      <c r="S50" s="518">
        <f t="shared" si="76"/>
        <v>131.35405873525082</v>
      </c>
      <c r="T50" s="519">
        <f t="shared" si="77"/>
        <v>5431.8381484682886</v>
      </c>
      <c r="U50" s="519">
        <f t="shared" si="78"/>
        <v>15387.522157284839</v>
      </c>
      <c r="V50" s="3"/>
      <c r="W50" s="596">
        <f t="shared" si="79"/>
        <v>2040</v>
      </c>
      <c r="X50" s="1101">
        <f t="shared" si="80"/>
        <v>8489.8082727056371</v>
      </c>
      <c r="Y50" s="1102">
        <f t="shared" si="81"/>
        <v>1037.0246536402469</v>
      </c>
      <c r="Z50" s="1102">
        <f t="shared" si="82"/>
        <v>124.94496389699975</v>
      </c>
      <c r="AA50" s="1102">
        <f t="shared" si="83"/>
        <v>5511.507172078449</v>
      </c>
      <c r="AB50" s="1144">
        <f t="shared" si="22"/>
        <v>15163.285062321333</v>
      </c>
      <c r="AC50" s="1425" t="str">
        <f>IF(OR('Recycling - Case 1'!AC120="No",'Recycling - Case 1'!T160="No"), "No", "Yes")</f>
        <v>No</v>
      </c>
      <c r="AD50" s="1101">
        <f t="shared" si="84"/>
        <v>8489.8082727056371</v>
      </c>
      <c r="AE50" s="1102">
        <f t="shared" si="85"/>
        <v>1037.0246536402469</v>
      </c>
      <c r="AF50" s="1102">
        <f t="shared" si="86"/>
        <v>124.94496389699975</v>
      </c>
      <c r="AG50" s="1102">
        <f t="shared" si="87"/>
        <v>5511.507172078449</v>
      </c>
      <c r="AH50" s="1144">
        <f t="shared" si="60"/>
        <v>15163.285062321333</v>
      </c>
      <c r="AI50" s="1425" t="str">
        <f>IF(OR('Recycling - Case 1'!AI31="No",'Recycling - Case 1'!Z160="No"), "No", "Yes")</f>
        <v>Yes</v>
      </c>
      <c r="AJ50" s="1101">
        <f t="shared" si="88"/>
        <v>7410.0651758995982</v>
      </c>
      <c r="AK50" s="1102">
        <f t="shared" si="89"/>
        <v>1037.0246536402469</v>
      </c>
      <c r="AL50" s="1102">
        <f t="shared" si="90"/>
        <v>96.424392766634725</v>
      </c>
      <c r="AM50" s="1102">
        <f t="shared" si="91"/>
        <v>5910.5240397260632</v>
      </c>
      <c r="AN50" s="1144">
        <f t="shared" si="92"/>
        <v>14454.038262032544</v>
      </c>
      <c r="AO50" s="1418" t="str">
        <f>IF(OR('Recycling - Case 2'!AC120="No",'Recycling - Case 2'!T160="No"), "No", "Yes")</f>
        <v>No</v>
      </c>
      <c r="AP50" s="1101">
        <f t="shared" si="93"/>
        <v>7410.0651758995982</v>
      </c>
      <c r="AQ50" s="1102">
        <f t="shared" si="94"/>
        <v>1037.0246536402469</v>
      </c>
      <c r="AR50" s="1102">
        <f t="shared" si="95"/>
        <v>96.424392766634725</v>
      </c>
      <c r="AS50" s="1102">
        <f t="shared" si="96"/>
        <v>5910.5240397260632</v>
      </c>
      <c r="AT50" s="1144">
        <f t="shared" si="37"/>
        <v>14454.038262032544</v>
      </c>
      <c r="AU50" s="1425" t="str">
        <f>IF(OR('Recycling - Case 2'!AC120="No",'Recycling - Case 2'!T200="No"), "No", "Yes")</f>
        <v>No</v>
      </c>
      <c r="AV50" s="1101">
        <f t="shared" si="63"/>
        <v>7411.2697318302135</v>
      </c>
      <c r="AW50" s="1102">
        <f t="shared" si="64"/>
        <v>629.80698598783727</v>
      </c>
      <c r="AX50" s="1102">
        <f t="shared" si="65"/>
        <v>96.424392766634725</v>
      </c>
      <c r="AY50" s="1102">
        <f t="shared" si="66"/>
        <v>5910.5240397260632</v>
      </c>
      <c r="AZ50" s="1144">
        <f t="shared" si="67"/>
        <v>14048.025150310748</v>
      </c>
      <c r="BA50" s="1425" t="str">
        <f>IF(OR('Recycling - Case 3'!AC120="No",'Recycling - Case 3'!T160="No"), "No", "Yes")</f>
        <v>No</v>
      </c>
      <c r="BB50" s="1101">
        <f t="shared" si="97"/>
        <v>7411.2697318302135</v>
      </c>
      <c r="BC50" s="1102">
        <f t="shared" si="98"/>
        <v>629.80698598783727</v>
      </c>
      <c r="BD50" s="1102">
        <f t="shared" si="99"/>
        <v>96.424392766634725</v>
      </c>
      <c r="BE50" s="1102">
        <f t="shared" si="100"/>
        <v>5910.5240397260632</v>
      </c>
      <c r="BF50" s="1144">
        <f t="shared" si="47"/>
        <v>14048.025150310748</v>
      </c>
      <c r="BG50" s="1425" t="str">
        <f>IF(OR('Recycling - Case 3'!AC120="No",'Recycling - Case 3'!T200="No"), "No", "Yes")</f>
        <v>No</v>
      </c>
      <c r="BH50" s="596">
        <f t="shared" si="48"/>
        <v>2040</v>
      </c>
      <c r="BI50" s="1102">
        <f>'Recycling - Case 1'!BV120</f>
        <v>42.035394730100741</v>
      </c>
      <c r="BJ50" s="417">
        <f>'Recycling - Case 1'!BW120</f>
        <v>0.50018708207519103</v>
      </c>
      <c r="BK50" s="1144">
        <f>'Recycling - Case 1'!BX120</f>
        <v>22.013629617718433</v>
      </c>
      <c r="BL50" s="1101">
        <f>'Recycling - Case 1'!BY120</f>
        <v>42.035394730100741</v>
      </c>
      <c r="BM50" s="417">
        <f>'Recycling - Case 1'!BZ120</f>
        <v>0.50018708207519103</v>
      </c>
      <c r="BN50" s="1144">
        <f>'Recycling - Case 1'!CA120</f>
        <v>22.013629617718433</v>
      </c>
      <c r="BO50" s="1102">
        <f>'Recycling - Case 2'!BV120</f>
        <v>42.266002362924688</v>
      </c>
      <c r="BP50" s="417">
        <f>'Recycling - Case 2'!BW120</f>
        <v>0.63476592996728776</v>
      </c>
      <c r="BQ50" s="1144">
        <f>'Recycling - Case 2'!BX120</f>
        <v>22.013629617718433</v>
      </c>
      <c r="BR50" s="1101">
        <f>'Recycling - Case 2'!BY120</f>
        <v>42.266002362924688</v>
      </c>
      <c r="BS50" s="417">
        <f>'Recycling - Case 2'!BZ120</f>
        <v>0.63476592996728776</v>
      </c>
      <c r="BT50" s="1144">
        <f>'Recycling - Case 2'!CA120</f>
        <v>22.013629617718433</v>
      </c>
      <c r="BU50" s="1102">
        <f>'Recycling - Case 3'!BV120</f>
        <v>42.266002362924688</v>
      </c>
      <c r="BV50" s="417">
        <f>'Recycling - Case 3'!BW120</f>
        <v>0.63476592996728776</v>
      </c>
      <c r="BW50" s="1144">
        <f>'Recycling - Case 3'!BX120</f>
        <v>22.013629617718433</v>
      </c>
      <c r="BX50" s="1101">
        <f>'Recycling - Case 3'!BY120</f>
        <v>42.266002362924688</v>
      </c>
      <c r="BY50" s="417">
        <f>'Recycling - Case 3'!BZ120</f>
        <v>0.63476592996728776</v>
      </c>
      <c r="BZ50" s="1144">
        <f>'Recycling - Case 3'!CA120</f>
        <v>22.013629617718433</v>
      </c>
      <c r="CA50" s="596">
        <v>2040</v>
      </c>
      <c r="CB50" s="649">
        <f>'Recycling - Case 1'!CB120</f>
        <v>0.36365151761921655</v>
      </c>
      <c r="CC50" s="417">
        <f>'Recycling - Case 1'!CC120</f>
        <v>-3.4156884305657442E-2</v>
      </c>
      <c r="CD50" s="417">
        <f>'Recycling - Case 1'!CD120</f>
        <v>0.36365151761921655</v>
      </c>
      <c r="CE50" s="525">
        <f>'Recycling - Case 1'!CE120</f>
        <v>-3.4156884305657442E-2</v>
      </c>
      <c r="CF50" s="649">
        <f>'Recycling - Case 2'!CB120</f>
        <v>0.3560361583119136</v>
      </c>
      <c r="CG50" s="417">
        <f>'Recycling - Case 2'!CC120</f>
        <v>-3.4156884305657442E-2</v>
      </c>
      <c r="CH50" s="417">
        <f>'Recycling - Case 2'!CD120</f>
        <v>0.3560361583119136</v>
      </c>
      <c r="CI50" s="525">
        <f>'Recycling - Case 2'!CE120</f>
        <v>-3.4156884305657442E-2</v>
      </c>
      <c r="CJ50" s="649">
        <f>'Recycling - Case 3'!CB120</f>
        <v>0.3560361583119136</v>
      </c>
      <c r="CK50" s="417">
        <f>'Recycling - Case 3'!CC120</f>
        <v>-3.4156884305657442E-2</v>
      </c>
      <c r="CL50" s="417">
        <f>'Recycling - Case 3'!CD120</f>
        <v>0.3560361583119136</v>
      </c>
      <c r="CM50" s="525">
        <f>'Recycling - Case 3'!CE120</f>
        <v>-3.4156884305657442E-2</v>
      </c>
    </row>
    <row r="51" spans="1:91">
      <c r="A51" s="4">
        <f>'Input data'!A140</f>
        <v>2040</v>
      </c>
      <c r="B51" s="4"/>
      <c r="C51" s="769">
        <f>'4A SWD Case 1'!BG110</f>
        <v>404.27658441455418</v>
      </c>
      <c r="D51" s="3">
        <f>'4B Biological treatment '!T104</f>
        <v>0.5751661972491664</v>
      </c>
      <c r="E51" s="1159">
        <f>'4B Biological treatment '!U104</f>
        <v>25.882478876212485</v>
      </c>
      <c r="F51" s="1159">
        <f>'4B Biological treatment '!W104</f>
        <v>1.5529487325727491</v>
      </c>
      <c r="G51" s="952">
        <f>'4C2 Open-burning '!R111</f>
        <v>13.127275968495754</v>
      </c>
      <c r="H51" s="952">
        <f>'4C2 Open-burning '!Z111</f>
        <v>4.4169264669540507</v>
      </c>
      <c r="I51" s="952">
        <f>'4C2 Open-burning '!AH111</f>
        <v>6.1491071362803011E-2</v>
      </c>
      <c r="J51" s="987">
        <f>'4D Wastewater treatment and dis'!AV148</f>
        <v>209.32696305297864</v>
      </c>
      <c r="K51" s="770">
        <f>'4D Wastewater treatment and dis'!AW148</f>
        <v>3.5988417676319293</v>
      </c>
      <c r="L51" s="771">
        <f t="shared" si="69"/>
        <v>8489.8082727056371</v>
      </c>
      <c r="M51" s="772">
        <f t="shared" si="70"/>
        <v>12.078490142232495</v>
      </c>
      <c r="N51" s="771">
        <f t="shared" si="71"/>
        <v>1024.9461634980144</v>
      </c>
      <c r="O51" s="773">
        <f t="shared" si="72"/>
        <v>124.94496389699975</v>
      </c>
      <c r="P51" s="771">
        <f t="shared" si="73"/>
        <v>5511.507172078449</v>
      </c>
      <c r="Q51" s="519">
        <f t="shared" si="74"/>
        <v>8489.8082727056371</v>
      </c>
      <c r="R51" s="521">
        <f t="shared" si="75"/>
        <v>1037.0246536402469</v>
      </c>
      <c r="S51" s="518">
        <f t="shared" si="76"/>
        <v>124.94496389699975</v>
      </c>
      <c r="T51" s="519">
        <f t="shared" si="77"/>
        <v>5511.507172078449</v>
      </c>
      <c r="U51" s="519">
        <f t="shared" si="78"/>
        <v>15163.285062321333</v>
      </c>
      <c r="V51" s="3"/>
      <c r="W51" s="596">
        <f t="shared" si="79"/>
        <v>2041</v>
      </c>
      <c r="X51" s="1101">
        <f t="shared" si="80"/>
        <v>8202.456038745835</v>
      </c>
      <c r="Y51" s="1102">
        <f t="shared" si="81"/>
        <v>1037.0246536402469</v>
      </c>
      <c r="Z51" s="1102">
        <f t="shared" si="82"/>
        <v>118.59896220497515</v>
      </c>
      <c r="AA51" s="1102">
        <f t="shared" si="83"/>
        <v>5585.8882679954158</v>
      </c>
      <c r="AB51" s="1144">
        <f t="shared" si="22"/>
        <v>14943.967922586471</v>
      </c>
      <c r="AC51" s="1425" t="str">
        <f>IF(OR('Recycling - Case 1'!AC121="No",'Recycling - Case 1'!T161="No"), "No", "Yes")</f>
        <v>No</v>
      </c>
      <c r="AD51" s="1101">
        <f t="shared" si="84"/>
        <v>8202.456038745835</v>
      </c>
      <c r="AE51" s="1102">
        <f t="shared" si="85"/>
        <v>1037.0246536402469</v>
      </c>
      <c r="AF51" s="1102">
        <f t="shared" si="86"/>
        <v>118.59896220497515</v>
      </c>
      <c r="AG51" s="1102">
        <f t="shared" si="87"/>
        <v>5585.8882679954158</v>
      </c>
      <c r="AH51" s="1144">
        <f t="shared" si="60"/>
        <v>14943.967922586471</v>
      </c>
      <c r="AI51" s="1425" t="str">
        <f>IF(OR('Recycling - Case 1'!AI32="No",'Recycling - Case 1'!Z161="No"), "No", "Yes")</f>
        <v>Yes</v>
      </c>
      <c r="AJ51" s="1101">
        <f t="shared" si="88"/>
        <v>7146.2123866811326</v>
      </c>
      <c r="AK51" s="1102">
        <f t="shared" si="89"/>
        <v>1037.0246536402469</v>
      </c>
      <c r="AL51" s="1102">
        <f t="shared" si="90"/>
        <v>96.232289152450377</v>
      </c>
      <c r="AM51" s="1102">
        <f t="shared" si="91"/>
        <v>5947.2338879558556</v>
      </c>
      <c r="AN51" s="1144">
        <f t="shared" si="92"/>
        <v>14226.703217429686</v>
      </c>
      <c r="AO51" s="1418" t="str">
        <f>IF(OR('Recycling - Case 2'!AC121="No",'Recycling - Case 2'!T161="No"), "No", "Yes")</f>
        <v>No</v>
      </c>
      <c r="AP51" s="1101">
        <f t="shared" si="93"/>
        <v>7146.2123866811326</v>
      </c>
      <c r="AQ51" s="1102">
        <f t="shared" si="94"/>
        <v>1037.0246536402469</v>
      </c>
      <c r="AR51" s="1102">
        <f t="shared" si="95"/>
        <v>96.232289152450377</v>
      </c>
      <c r="AS51" s="1102">
        <f t="shared" si="96"/>
        <v>5947.2338879558556</v>
      </c>
      <c r="AT51" s="1144">
        <f t="shared" si="37"/>
        <v>14226.703217429686</v>
      </c>
      <c r="AU51" s="1425" t="str">
        <f>IF(OR('Recycling - Case 2'!AC121="No",'Recycling - Case 2'!T201="No"), "No", "Yes")</f>
        <v>No</v>
      </c>
      <c r="AV51" s="1101">
        <f t="shared" si="63"/>
        <v>7147.4692446047275</v>
      </c>
      <c r="AW51" s="1102">
        <f t="shared" si="64"/>
        <v>629.80698598783727</v>
      </c>
      <c r="AX51" s="1102">
        <f t="shared" si="65"/>
        <v>96.232289152450349</v>
      </c>
      <c r="AY51" s="1102">
        <f t="shared" si="66"/>
        <v>5947.2338879558556</v>
      </c>
      <c r="AZ51" s="1144">
        <f t="shared" si="67"/>
        <v>13820.742407700869</v>
      </c>
      <c r="BA51" s="1425" t="str">
        <f>IF(OR('Recycling - Case 3'!AC121="No",'Recycling - Case 3'!T161="No"), "No", "Yes")</f>
        <v>No</v>
      </c>
      <c r="BB51" s="1101">
        <f t="shared" si="97"/>
        <v>7147.4692446047275</v>
      </c>
      <c r="BC51" s="1102">
        <f t="shared" si="98"/>
        <v>629.80698598783727</v>
      </c>
      <c r="BD51" s="1102">
        <f t="shared" si="99"/>
        <v>96.232289152450349</v>
      </c>
      <c r="BE51" s="1102">
        <f t="shared" si="100"/>
        <v>5947.2338879558556</v>
      </c>
      <c r="BF51" s="1144">
        <f t="shared" si="47"/>
        <v>13820.742407700869</v>
      </c>
      <c r="BG51" s="1425" t="str">
        <f>IF(OR('Recycling - Case 3'!AC121="No",'Recycling - Case 3'!T201="No"), "No", "Yes")</f>
        <v>No</v>
      </c>
      <c r="BH51" s="596">
        <f t="shared" si="48"/>
        <v>2041</v>
      </c>
      <c r="BI51" s="1102">
        <f>'Recycling - Case 1'!BV121</f>
        <v>40.254197360467735</v>
      </c>
      <c r="BJ51" s="417">
        <f>'Recycling - Case 1'!BW121</f>
        <v>0.51418191409092184</v>
      </c>
      <c r="BK51" s="1144">
        <f>'Recycling - Case 1'!BX121</f>
        <v>20.405559977125087</v>
      </c>
      <c r="BL51" s="1101">
        <f>'Recycling - Case 1'!BY121</f>
        <v>40.254197360467735</v>
      </c>
      <c r="BM51" s="417">
        <f>'Recycling - Case 1'!BZ121</f>
        <v>0.51418191409092184</v>
      </c>
      <c r="BN51" s="1144">
        <f>'Recycling - Case 1'!CA121</f>
        <v>20.405559977125087</v>
      </c>
      <c r="BO51" s="1102">
        <f>'Recycling - Case 2'!BV121</f>
        <v>40.718052063387915</v>
      </c>
      <c r="BP51" s="417">
        <f>'Recycling - Case 2'!BW121</f>
        <v>0.64457675283341964</v>
      </c>
      <c r="BQ51" s="1144">
        <f>'Recycling - Case 2'!BX121</f>
        <v>20.405559977125087</v>
      </c>
      <c r="BR51" s="1101">
        <f>'Recycling - Case 2'!BY121</f>
        <v>40.718052063387915</v>
      </c>
      <c r="BS51" s="417">
        <f>'Recycling - Case 2'!BZ121</f>
        <v>0.64457675283341964</v>
      </c>
      <c r="BT51" s="1144">
        <f>'Recycling - Case 2'!CA121</f>
        <v>20.405559977125087</v>
      </c>
      <c r="BU51" s="1102">
        <f>'Recycling - Case 3'!BV121</f>
        <v>40.718052063387915</v>
      </c>
      <c r="BV51" s="417">
        <f>'Recycling - Case 3'!BW121</f>
        <v>0.64457675283341964</v>
      </c>
      <c r="BW51" s="1144">
        <f>'Recycling - Case 3'!BX121</f>
        <v>20.405559977125087</v>
      </c>
      <c r="BX51" s="1101">
        <f>'Recycling - Case 3'!BY121</f>
        <v>40.718052063387915</v>
      </c>
      <c r="BY51" s="417">
        <f>'Recycling - Case 3'!BZ121</f>
        <v>0.64457675283341964</v>
      </c>
      <c r="BZ51" s="1144">
        <f>'Recycling - Case 3'!CA121</f>
        <v>20.405559977125087</v>
      </c>
      <c r="CA51" s="596">
        <v>2041</v>
      </c>
      <c r="CB51" s="649">
        <f>'Recycling - Case 1'!CB121</f>
        <v>0.37326134680596657</v>
      </c>
      <c r="CC51" s="417">
        <f>'Recycling - Case 1'!CC121</f>
        <v>-3.6848633452985835E-2</v>
      </c>
      <c r="CD51" s="417">
        <f>'Recycling - Case 1'!CD121</f>
        <v>0.37326134680596657</v>
      </c>
      <c r="CE51" s="525">
        <f>'Recycling - Case 1'!CE121</f>
        <v>-3.6848633452985835E-2</v>
      </c>
      <c r="CF51" s="649">
        <f>'Recycling - Case 2'!CB121</f>
        <v>0.35803801704304605</v>
      </c>
      <c r="CG51" s="417">
        <f>'Recycling - Case 2'!CC121</f>
        <v>-3.6848633452985835E-2</v>
      </c>
      <c r="CH51" s="417">
        <f>'Recycling - Case 2'!CD121</f>
        <v>0.35803801704304605</v>
      </c>
      <c r="CI51" s="525">
        <f>'Recycling - Case 2'!CE121</f>
        <v>-3.6848633452985835E-2</v>
      </c>
      <c r="CJ51" s="649">
        <f>'Recycling - Case 3'!CB121</f>
        <v>0.35803801704304605</v>
      </c>
      <c r="CK51" s="417">
        <f>'Recycling - Case 3'!CC121</f>
        <v>-3.6848633452985835E-2</v>
      </c>
      <c r="CL51" s="417">
        <f>'Recycling - Case 3'!CD121</f>
        <v>0.35803801704304605</v>
      </c>
      <c r="CM51" s="525">
        <f>'Recycling - Case 3'!CE121</f>
        <v>-3.6848633452985835E-2</v>
      </c>
    </row>
    <row r="52" spans="1:91">
      <c r="A52" s="4">
        <f>'Input data'!A141</f>
        <v>2041</v>
      </c>
      <c r="B52" s="4"/>
      <c r="C52" s="769">
        <f>'4A SWD Case 1'!BG111</f>
        <v>390.59314470218266</v>
      </c>
      <c r="D52" s="3">
        <f>'4B Biological treatment '!T105</f>
        <v>0.5751661972491664</v>
      </c>
      <c r="E52" s="1159">
        <f>'4B Biological treatment '!U105</f>
        <v>25.882478876212485</v>
      </c>
      <c r="F52" s="1159">
        <f>'4B Biological treatment '!W105</f>
        <v>1.5529487325727491</v>
      </c>
      <c r="G52" s="952">
        <f>'4C2 Open-burning '!R112</f>
        <v>12.46053668657942</v>
      </c>
      <c r="H52" s="952">
        <f>'4C2 Open-burning '!Z112</f>
        <v>4.1925891110607356</v>
      </c>
      <c r="I52" s="952">
        <f>'4C2 Open-burning '!AH112</f>
        <v>5.836791672942028E-2</v>
      </c>
      <c r="J52" s="987">
        <f>'4D Wastewater treatment and dis'!AV149</f>
        <v>212.53895965397319</v>
      </c>
      <c r="K52" s="770">
        <f>'4D Wastewater treatment and dis'!AW149</f>
        <v>3.6211939201999317</v>
      </c>
      <c r="L52" s="771">
        <f t="shared" si="69"/>
        <v>8202.456038745835</v>
      </c>
      <c r="M52" s="772">
        <f t="shared" si="70"/>
        <v>12.078490142232495</v>
      </c>
      <c r="N52" s="771">
        <f t="shared" si="71"/>
        <v>1024.9461634980144</v>
      </c>
      <c r="O52" s="773">
        <f t="shared" si="72"/>
        <v>118.59896220497515</v>
      </c>
      <c r="P52" s="771">
        <f t="shared" si="73"/>
        <v>5585.8882679954158</v>
      </c>
      <c r="Q52" s="519">
        <f t="shared" si="74"/>
        <v>8202.456038745835</v>
      </c>
      <c r="R52" s="521">
        <f t="shared" si="75"/>
        <v>1037.0246536402469</v>
      </c>
      <c r="S52" s="518">
        <f t="shared" si="76"/>
        <v>118.59896220497515</v>
      </c>
      <c r="T52" s="519">
        <f t="shared" si="77"/>
        <v>5585.8882679954158</v>
      </c>
      <c r="U52" s="519">
        <f t="shared" si="78"/>
        <v>14943.967922586471</v>
      </c>
      <c r="V52" s="3"/>
      <c r="W52" s="596">
        <f t="shared" si="79"/>
        <v>2042</v>
      </c>
      <c r="X52" s="1101">
        <f t="shared" si="80"/>
        <v>7924.6205321673833</v>
      </c>
      <c r="Y52" s="1102">
        <f t="shared" si="81"/>
        <v>1037.0246536402469</v>
      </c>
      <c r="Z52" s="1102">
        <f t="shared" si="82"/>
        <v>112.27558743164121</v>
      </c>
      <c r="AA52" s="1102">
        <f t="shared" si="83"/>
        <v>5660.9807054541461</v>
      </c>
      <c r="AB52" s="1144">
        <f t="shared" si="22"/>
        <v>14734.901478693417</v>
      </c>
      <c r="AC52" s="1425" t="str">
        <f>IF(OR('Recycling - Case 1'!AC122="No",'Recycling - Case 1'!T162="No"), "No", "Yes")</f>
        <v>No</v>
      </c>
      <c r="AD52" s="1101">
        <f t="shared" si="84"/>
        <v>7924.6205321673833</v>
      </c>
      <c r="AE52" s="1102">
        <f t="shared" si="85"/>
        <v>1037.0246536402469</v>
      </c>
      <c r="AF52" s="1102">
        <f t="shared" si="86"/>
        <v>112.27558743164121</v>
      </c>
      <c r="AG52" s="1102">
        <f t="shared" si="87"/>
        <v>5660.9807054541461</v>
      </c>
      <c r="AH52" s="1144">
        <f t="shared" si="60"/>
        <v>14734.901478693417</v>
      </c>
      <c r="AI52" s="1425" t="str">
        <f>IF(OR('Recycling - Case 1'!AI33="No",'Recycling - Case 1'!Z162="No"), "No", "Yes")</f>
        <v>Yes</v>
      </c>
      <c r="AJ52" s="1101">
        <f t="shared" si="88"/>
        <v>6895.3973446160244</v>
      </c>
      <c r="AK52" s="1102">
        <f t="shared" si="89"/>
        <v>1037.0246536402469</v>
      </c>
      <c r="AL52" s="1102">
        <f t="shared" si="90"/>
        <v>96.042128189602451</v>
      </c>
      <c r="AM52" s="1102">
        <f t="shared" si="91"/>
        <v>5984.171738465644</v>
      </c>
      <c r="AN52" s="1144">
        <f t="shared" si="92"/>
        <v>14012.635864911517</v>
      </c>
      <c r="AO52" s="1418" t="str">
        <f>IF(OR('Recycling - Case 2'!AC122="No",'Recycling - Case 2'!T162="No"), "No", "Yes")</f>
        <v>No</v>
      </c>
      <c r="AP52" s="1101">
        <f t="shared" si="93"/>
        <v>6895.3973446160244</v>
      </c>
      <c r="AQ52" s="1102">
        <f t="shared" si="94"/>
        <v>1037.0246536402469</v>
      </c>
      <c r="AR52" s="1102">
        <f t="shared" si="95"/>
        <v>96.042128189602451</v>
      </c>
      <c r="AS52" s="1102">
        <f t="shared" si="96"/>
        <v>5984.171738465644</v>
      </c>
      <c r="AT52" s="1144">
        <f t="shared" si="37"/>
        <v>14012.635864911517</v>
      </c>
      <c r="AU52" s="1425" t="str">
        <f>IF(OR('Recycling - Case 2'!AC122="No",'Recycling - Case 2'!T202="No"), "No", "Yes")</f>
        <v>No</v>
      </c>
      <c r="AV52" s="1101">
        <f t="shared" si="63"/>
        <v>6896.704219229151</v>
      </c>
      <c r="AW52" s="1102">
        <f t="shared" si="64"/>
        <v>629.80698598783727</v>
      </c>
      <c r="AX52" s="1102">
        <f t="shared" si="65"/>
        <v>96.042128189602451</v>
      </c>
      <c r="AY52" s="1102">
        <f t="shared" si="66"/>
        <v>5984.171738465644</v>
      </c>
      <c r="AZ52" s="1144">
        <f t="shared" si="67"/>
        <v>13606.725071872235</v>
      </c>
      <c r="BA52" s="1425" t="str">
        <f>IF(OR('Recycling - Case 3'!AC122="No",'Recycling - Case 3'!T162="No"), "No", "Yes")</f>
        <v>No</v>
      </c>
      <c r="BB52" s="1101">
        <f t="shared" si="97"/>
        <v>6896.704219229151</v>
      </c>
      <c r="BC52" s="1102">
        <f t="shared" si="98"/>
        <v>629.80698598783727</v>
      </c>
      <c r="BD52" s="1102">
        <f t="shared" si="99"/>
        <v>96.042128189602451</v>
      </c>
      <c r="BE52" s="1102">
        <f t="shared" si="100"/>
        <v>5984.171738465644</v>
      </c>
      <c r="BF52" s="1144">
        <f t="shared" si="47"/>
        <v>13606.725071872235</v>
      </c>
      <c r="BG52" s="1425" t="str">
        <f>IF(OR('Recycling - Case 3'!AC122="No",'Recycling - Case 3'!T202="No"), "No", "Yes")</f>
        <v>No</v>
      </c>
      <c r="BH52" s="596">
        <f t="shared" si="48"/>
        <v>2042</v>
      </c>
      <c r="BI52" s="1102">
        <f>'Recycling - Case 1'!BV122</f>
        <v>38.473525294565306</v>
      </c>
      <c r="BJ52" s="417">
        <f>'Recycling - Case 1'!BW122</f>
        <v>0.52947901737193426</v>
      </c>
      <c r="BK52" s="1144">
        <f>'Recycling - Case 1'!BX122</f>
        <v>18.797490336531741</v>
      </c>
      <c r="BL52" s="1101">
        <f>'Recycling - Case 1'!BY122</f>
        <v>38.473525294565306</v>
      </c>
      <c r="BM52" s="417">
        <f>'Recycling - Case 1'!BZ122</f>
        <v>0.52947901737193426</v>
      </c>
      <c r="BN52" s="1144">
        <f>'Recycling - Case 1'!CA122</f>
        <v>18.797490336531741</v>
      </c>
      <c r="BO52" s="1102">
        <f>'Recycling - Case 2'!BV122</f>
        <v>39.170503584778714</v>
      </c>
      <c r="BP52" s="417">
        <f>'Recycling - Case 2'!BW122</f>
        <v>0.65516653445425665</v>
      </c>
      <c r="BQ52" s="1144">
        <f>'Recycling - Case 2'!BX122</f>
        <v>18.797490336531741</v>
      </c>
      <c r="BR52" s="1101">
        <f>'Recycling - Case 2'!BY122</f>
        <v>39.170503584778714</v>
      </c>
      <c r="BS52" s="417">
        <f>'Recycling - Case 2'!BZ122</f>
        <v>0.65516653445425665</v>
      </c>
      <c r="BT52" s="1144">
        <f>'Recycling - Case 2'!CA122</f>
        <v>18.797490336531741</v>
      </c>
      <c r="BU52" s="1102">
        <f>'Recycling - Case 3'!BV122</f>
        <v>39.170503584778714</v>
      </c>
      <c r="BV52" s="417">
        <f>'Recycling - Case 3'!BW122</f>
        <v>0.65516653445425665</v>
      </c>
      <c r="BW52" s="1144">
        <f>'Recycling - Case 3'!BX122</f>
        <v>18.797490336531741</v>
      </c>
      <c r="BX52" s="1101">
        <f>'Recycling - Case 3'!BY122</f>
        <v>39.170503584778714</v>
      </c>
      <c r="BY52" s="417">
        <f>'Recycling - Case 3'!BZ122</f>
        <v>0.65516653445425665</v>
      </c>
      <c r="BZ52" s="1144">
        <f>'Recycling - Case 3'!CA122</f>
        <v>18.797490336531741</v>
      </c>
      <c r="CA52" s="596">
        <v>2042</v>
      </c>
      <c r="CB52" s="649">
        <f>'Recycling - Case 1'!CB122</f>
        <v>0.38275965270757828</v>
      </c>
      <c r="CC52" s="417">
        <f>'Recycling - Case 1'!CC122</f>
        <v>-4.0000924939362692E-2</v>
      </c>
      <c r="CD52" s="417">
        <f>'Recycling - Case 1'!CD122</f>
        <v>0.38275965270757828</v>
      </c>
      <c r="CE52" s="525">
        <f>'Recycling - Case 1'!CE122</f>
        <v>-4.0000924939362692E-2</v>
      </c>
      <c r="CF52" s="649">
        <f>'Recycling - Case 2'!CB122</f>
        <v>0.36002659202487586</v>
      </c>
      <c r="CG52" s="417">
        <f>'Recycling - Case 2'!CC122</f>
        <v>-4.0000924939362692E-2</v>
      </c>
      <c r="CH52" s="417">
        <f>'Recycling - Case 2'!CD122</f>
        <v>0.36002659202487586</v>
      </c>
      <c r="CI52" s="525">
        <f>'Recycling - Case 2'!CE122</f>
        <v>-4.0000924939362692E-2</v>
      </c>
      <c r="CJ52" s="649">
        <f>'Recycling - Case 3'!CB122</f>
        <v>0.36002659202487586</v>
      </c>
      <c r="CK52" s="417">
        <f>'Recycling - Case 3'!CC122</f>
        <v>-4.0000924939362692E-2</v>
      </c>
      <c r="CL52" s="417">
        <f>'Recycling - Case 3'!CD122</f>
        <v>0.36002659202487586</v>
      </c>
      <c r="CM52" s="525">
        <f>'Recycling - Case 3'!CE122</f>
        <v>-4.0000924939362692E-2</v>
      </c>
    </row>
    <row r="53" spans="1:91">
      <c r="A53" s="4">
        <f>'Input data'!A142</f>
        <v>2042</v>
      </c>
      <c r="B53" s="4"/>
      <c r="C53" s="769">
        <f>'4A SWD Case 1'!BG112</f>
        <v>377.3628824841611</v>
      </c>
      <c r="D53" s="3">
        <f>'4B Biological treatment '!T106</f>
        <v>0.5751661972491664</v>
      </c>
      <c r="E53" s="1159">
        <f>'4B Biological treatment '!U106</f>
        <v>25.882478876212485</v>
      </c>
      <c r="F53" s="1159">
        <f>'4B Biological treatment '!W106</f>
        <v>1.5529487325727491</v>
      </c>
      <c r="G53" s="952">
        <f>'4C2 Open-burning '!R113</f>
        <v>11.796174689802916</v>
      </c>
      <c r="H53" s="952">
        <f>'4C2 Open-burning '!Z113</f>
        <v>3.9690516388355039</v>
      </c>
      <c r="I53" s="952">
        <f>'4C2 Open-burning '!AH113</f>
        <v>5.5255897826750736E-2</v>
      </c>
      <c r="J53" s="987">
        <f>'4D Wastewater treatment and dis'!AV150</f>
        <v>215.78278030125657</v>
      </c>
      <c r="K53" s="770">
        <f>'4D Wastewater treatment and dis'!AW150</f>
        <v>3.6436849004121257</v>
      </c>
      <c r="L53" s="771">
        <f t="shared" si="69"/>
        <v>7924.6205321673833</v>
      </c>
      <c r="M53" s="772">
        <f t="shared" si="70"/>
        <v>12.078490142232495</v>
      </c>
      <c r="N53" s="771">
        <f t="shared" si="71"/>
        <v>1024.9461634980144</v>
      </c>
      <c r="O53" s="773">
        <f t="shared" si="72"/>
        <v>112.27558743164121</v>
      </c>
      <c r="P53" s="771">
        <f t="shared" si="73"/>
        <v>5660.9807054541461</v>
      </c>
      <c r="Q53" s="519">
        <f t="shared" si="74"/>
        <v>7924.6205321673833</v>
      </c>
      <c r="R53" s="521">
        <f t="shared" si="75"/>
        <v>1037.0246536402469</v>
      </c>
      <c r="S53" s="518">
        <f t="shared" si="76"/>
        <v>112.27558743164121</v>
      </c>
      <c r="T53" s="519">
        <f t="shared" si="77"/>
        <v>5660.9807054541461</v>
      </c>
      <c r="U53" s="519">
        <f t="shared" si="78"/>
        <v>14734.901478693417</v>
      </c>
      <c r="V53" s="3"/>
      <c r="W53" s="596">
        <f t="shared" si="79"/>
        <v>2043</v>
      </c>
      <c r="X53" s="1101">
        <f t="shared" si="80"/>
        <v>7655.7463046575094</v>
      </c>
      <c r="Y53" s="1102">
        <f t="shared" si="81"/>
        <v>1037.0246536402469</v>
      </c>
      <c r="Z53" s="1102">
        <f t="shared" si="82"/>
        <v>105.9745212931887</v>
      </c>
      <c r="AA53" s="1102">
        <f t="shared" si="83"/>
        <v>5736.7904513402209</v>
      </c>
      <c r="AB53" s="1144">
        <f t="shared" si="22"/>
        <v>14535.535930931166</v>
      </c>
      <c r="AC53" s="1425" t="str">
        <f>IF(OR('Recycling - Case 1'!AC123="No",'Recycling - Case 1'!T163="No"), "No", "Yes")</f>
        <v>No</v>
      </c>
      <c r="AD53" s="1101">
        <f t="shared" si="84"/>
        <v>7655.7463046575094</v>
      </c>
      <c r="AE53" s="1102">
        <f t="shared" si="85"/>
        <v>1037.0246536402469</v>
      </c>
      <c r="AF53" s="1102">
        <f t="shared" si="86"/>
        <v>105.9745212931887</v>
      </c>
      <c r="AG53" s="1102">
        <f t="shared" si="87"/>
        <v>5736.7904513402209</v>
      </c>
      <c r="AH53" s="1144">
        <f t="shared" si="60"/>
        <v>14535.535930931166</v>
      </c>
      <c r="AI53" s="1425" t="str">
        <f>IF(OR('Recycling - Case 1'!AI34="No",'Recycling - Case 1'!Z163="No"), "No", "Yes")</f>
        <v>Yes</v>
      </c>
      <c r="AJ53" s="1101">
        <f t="shared" si="88"/>
        <v>6656.9849076330038</v>
      </c>
      <c r="AK53" s="1102">
        <f t="shared" si="89"/>
        <v>1037.0246536402469</v>
      </c>
      <c r="AL53" s="1102">
        <f t="shared" si="90"/>
        <v>95.853884148944275</v>
      </c>
      <c r="AM53" s="1102">
        <f t="shared" si="91"/>
        <v>6021.3390073615255</v>
      </c>
      <c r="AN53" s="1144">
        <f t="shared" si="92"/>
        <v>13811.20245278372</v>
      </c>
      <c r="AO53" s="1418" t="str">
        <f>IF(OR('Recycling - Case 2'!AC123="No",'Recycling - Case 2'!T163="No"), "No", "Yes")</f>
        <v>No</v>
      </c>
      <c r="AP53" s="1101">
        <f t="shared" si="93"/>
        <v>6656.9849076330038</v>
      </c>
      <c r="AQ53" s="1102">
        <f t="shared" si="94"/>
        <v>1037.0246536402469</v>
      </c>
      <c r="AR53" s="1102">
        <f t="shared" si="95"/>
        <v>95.853884148944275</v>
      </c>
      <c r="AS53" s="1102">
        <f t="shared" si="96"/>
        <v>6021.3390073615255</v>
      </c>
      <c r="AT53" s="1144">
        <f t="shared" si="37"/>
        <v>13811.20245278372</v>
      </c>
      <c r="AU53" s="1425" t="str">
        <f>IF(OR('Recycling - Case 2'!AC123="No",'Recycling - Case 2'!T203="No"), "No", "Yes")</f>
        <v>No</v>
      </c>
      <c r="AV53" s="1101">
        <f t="shared" si="63"/>
        <v>6658.3396514415108</v>
      </c>
      <c r="AW53" s="1102">
        <f t="shared" si="64"/>
        <v>629.80698598783727</v>
      </c>
      <c r="AX53" s="1102">
        <f t="shared" si="65"/>
        <v>95.853884148944275</v>
      </c>
      <c r="AY53" s="1102">
        <f t="shared" si="66"/>
        <v>6021.3390073615255</v>
      </c>
      <c r="AZ53" s="1144">
        <f t="shared" si="67"/>
        <v>13405.339528939818</v>
      </c>
      <c r="BA53" s="1425" t="str">
        <f>IF(OR('Recycling - Case 3'!AC123="No",'Recycling - Case 3'!T163="No"), "No", "Yes")</f>
        <v>No</v>
      </c>
      <c r="BB53" s="1101">
        <f t="shared" si="97"/>
        <v>6658.3396514415108</v>
      </c>
      <c r="BC53" s="1102">
        <f t="shared" si="98"/>
        <v>629.80698598783727</v>
      </c>
      <c r="BD53" s="1102">
        <f t="shared" si="99"/>
        <v>95.853884148944275</v>
      </c>
      <c r="BE53" s="1102">
        <f t="shared" si="100"/>
        <v>6021.3390073615255</v>
      </c>
      <c r="BF53" s="1144">
        <f t="shared" si="47"/>
        <v>13405.339528939818</v>
      </c>
      <c r="BG53" s="1425" t="str">
        <f>IF(OR('Recycling - Case 3'!AC123="No",'Recycling - Case 3'!T203="No"), "No", "Yes")</f>
        <v>No</v>
      </c>
      <c r="BH53" s="596">
        <f t="shared" si="48"/>
        <v>2043</v>
      </c>
      <c r="BI53" s="1102">
        <f>'Recycling - Case 1'!BV123</f>
        <v>36.69337763612954</v>
      </c>
      <c r="BJ53" s="417">
        <f>'Recycling - Case 1'!BW123</f>
        <v>0.54626731539515305</v>
      </c>
      <c r="BK53" s="1144">
        <f>'Recycling - Case 1'!BX123</f>
        <v>17.189420695938384</v>
      </c>
      <c r="BL53" s="1101">
        <f>'Recycling - Case 1'!BY123</f>
        <v>36.69337763612954</v>
      </c>
      <c r="BM53" s="417">
        <f>'Recycling - Case 1'!BZ123</f>
        <v>0.54626731539515305</v>
      </c>
      <c r="BN53" s="1144">
        <f>'Recycling - Case 1'!CA123</f>
        <v>17.189420695938384</v>
      </c>
      <c r="BO53" s="1102">
        <f>'Recycling - Case 2'!BV123</f>
        <v>37.623359080192948</v>
      </c>
      <c r="BP53" s="417">
        <f>'Recycling - Case 2'!BW123</f>
        <v>0.66663107652824538</v>
      </c>
      <c r="BQ53" s="1144">
        <f>'Recycling - Case 2'!BX123</f>
        <v>17.189420695938384</v>
      </c>
      <c r="BR53" s="1101">
        <f>'Recycling - Case 2'!BY123</f>
        <v>37.623359080192948</v>
      </c>
      <c r="BS53" s="417">
        <f>'Recycling - Case 2'!BZ123</f>
        <v>0.66663107652824538</v>
      </c>
      <c r="BT53" s="1144">
        <f>'Recycling - Case 2'!CA123</f>
        <v>17.189420695938384</v>
      </c>
      <c r="BU53" s="1102">
        <f>'Recycling - Case 3'!BV123</f>
        <v>37.623359080192948</v>
      </c>
      <c r="BV53" s="417">
        <f>'Recycling - Case 3'!BW123</f>
        <v>0.66663107652824538</v>
      </c>
      <c r="BW53" s="1144">
        <f>'Recycling - Case 3'!BX123</f>
        <v>17.189420695938384</v>
      </c>
      <c r="BX53" s="1101">
        <f>'Recycling - Case 3'!BY123</f>
        <v>37.623359080192948</v>
      </c>
      <c r="BY53" s="417">
        <f>'Recycling - Case 3'!BZ123</f>
        <v>0.66663107652824538</v>
      </c>
      <c r="BZ53" s="1144">
        <f>'Recycling - Case 3'!CA123</f>
        <v>17.189420695938384</v>
      </c>
      <c r="CA53" s="596">
        <v>2043</v>
      </c>
      <c r="CB53" s="649">
        <f>'Recycling - Case 1'!CB123</f>
        <v>0.39214758076794598</v>
      </c>
      <c r="CC53" s="417">
        <f>'Recycling - Case 1'!CC123</f>
        <v>-4.3743009918750131E-2</v>
      </c>
      <c r="CD53" s="417">
        <f>'Recycling - Case 1'!CD123</f>
        <v>0.39214758076794598</v>
      </c>
      <c r="CE53" s="525">
        <f>'Recycling - Case 1'!CE123</f>
        <v>-4.3743009918750131E-2</v>
      </c>
      <c r="CF53" s="649">
        <f>'Recycling - Case 2'!CB123</f>
        <v>0.36200198208013235</v>
      </c>
      <c r="CG53" s="417">
        <f>'Recycling - Case 2'!CC123</f>
        <v>-4.3743009918750131E-2</v>
      </c>
      <c r="CH53" s="417">
        <f>'Recycling - Case 2'!CD123</f>
        <v>0.36200198208013235</v>
      </c>
      <c r="CI53" s="525">
        <f>'Recycling - Case 2'!CE123</f>
        <v>-4.3743009918750131E-2</v>
      </c>
      <c r="CJ53" s="649">
        <f>'Recycling - Case 3'!CB123</f>
        <v>0.36200198208013235</v>
      </c>
      <c r="CK53" s="417">
        <f>'Recycling - Case 3'!CC123</f>
        <v>-4.3743009918750131E-2</v>
      </c>
      <c r="CL53" s="417">
        <f>'Recycling - Case 3'!CD123</f>
        <v>0.36200198208013235</v>
      </c>
      <c r="CM53" s="525">
        <f>'Recycling - Case 3'!CE123</f>
        <v>-4.3743009918750131E-2</v>
      </c>
    </row>
    <row r="54" spans="1:91">
      <c r="A54" s="4">
        <f>'Input data'!A143</f>
        <v>2043</v>
      </c>
      <c r="B54" s="4"/>
      <c r="C54" s="769">
        <f>'4A SWD Case 1'!BG113</f>
        <v>364.55934784083377</v>
      </c>
      <c r="D54" s="3">
        <f>'4B Biological treatment '!T107</f>
        <v>0.5751661972491664</v>
      </c>
      <c r="E54" s="1159">
        <f>'4B Biological treatment '!U107</f>
        <v>25.882478876212485</v>
      </c>
      <c r="F54" s="1159">
        <f>'4B Biological treatment '!W107</f>
        <v>1.5529487325727491</v>
      </c>
      <c r="G54" s="952">
        <f>'4C2 Open-burning '!R114</f>
        <v>11.134156537847643</v>
      </c>
      <c r="H54" s="952">
        <f>'4C2 Open-burning '!Z114</f>
        <v>3.7463027986349324</v>
      </c>
      <c r="I54" s="952">
        <f>'4C2 Open-burning '!AH114</f>
        <v>5.2154858012927324E-2</v>
      </c>
      <c r="J54" s="987">
        <f>'4D Wastewater treatment and dis'!AV151</f>
        <v>219.05869640380388</v>
      </c>
      <c r="K54" s="770">
        <f>'4D Wastewater treatment and dis'!AW151</f>
        <v>3.666315570517225</v>
      </c>
      <c r="L54" s="771">
        <f t="shared" si="69"/>
        <v>7655.7463046575094</v>
      </c>
      <c r="M54" s="772">
        <f t="shared" si="70"/>
        <v>12.078490142232495</v>
      </c>
      <c r="N54" s="771">
        <f t="shared" si="71"/>
        <v>1024.9461634980144</v>
      </c>
      <c r="O54" s="773">
        <f t="shared" si="72"/>
        <v>105.9745212931887</v>
      </c>
      <c r="P54" s="771">
        <f t="shared" si="73"/>
        <v>5736.7904513402209</v>
      </c>
      <c r="Q54" s="519">
        <f t="shared" si="74"/>
        <v>7655.7463046575094</v>
      </c>
      <c r="R54" s="521">
        <f t="shared" si="75"/>
        <v>1037.0246536402469</v>
      </c>
      <c r="S54" s="518">
        <f t="shared" si="76"/>
        <v>105.9745212931887</v>
      </c>
      <c r="T54" s="519">
        <f t="shared" si="77"/>
        <v>5736.7904513402209</v>
      </c>
      <c r="U54" s="519">
        <f t="shared" si="78"/>
        <v>14535.535930931166</v>
      </c>
      <c r="V54" s="3"/>
      <c r="W54" s="596">
        <f t="shared" si="79"/>
        <v>2044</v>
      </c>
      <c r="X54" s="1101">
        <f t="shared" si="80"/>
        <v>7395.3048806901925</v>
      </c>
      <c r="Y54" s="1102">
        <f t="shared" si="81"/>
        <v>1037.0246536402469</v>
      </c>
      <c r="Z54" s="1102">
        <f t="shared" si="82"/>
        <v>99.695450674930214</v>
      </c>
      <c r="AA54" s="1102">
        <f t="shared" si="83"/>
        <v>5813.3235192185621</v>
      </c>
      <c r="AB54" s="1144">
        <f t="shared" si="22"/>
        <v>14345.348504223932</v>
      </c>
      <c r="AC54" s="1425" t="str">
        <f>IF(OR('Recycling - Case 1'!AC124="No",'Recycling - Case 1'!T164="No"), "No", "Yes")</f>
        <v>No</v>
      </c>
      <c r="AD54" s="1101">
        <f t="shared" si="84"/>
        <v>7395.3048806901925</v>
      </c>
      <c r="AE54" s="1102">
        <f t="shared" si="85"/>
        <v>1037.0246536402469</v>
      </c>
      <c r="AF54" s="1102">
        <f t="shared" si="86"/>
        <v>99.695450674930214</v>
      </c>
      <c r="AG54" s="1102">
        <f t="shared" si="87"/>
        <v>5813.3235192185621</v>
      </c>
      <c r="AH54" s="1144">
        <f t="shared" si="60"/>
        <v>14345.348504223932</v>
      </c>
      <c r="AI54" s="1425" t="str">
        <f>IF(OR('Recycling - Case 1'!AI35="No",'Recycling - Case 1'!Z164="No"), "No", "Yes")</f>
        <v>Yes</v>
      </c>
      <c r="AJ54" s="1101">
        <f t="shared" si="88"/>
        <v>6430.3708555723924</v>
      </c>
      <c r="AK54" s="1102">
        <f t="shared" si="89"/>
        <v>1037.0246536402469</v>
      </c>
      <c r="AL54" s="1102">
        <f t="shared" si="90"/>
        <v>95.667531744697669</v>
      </c>
      <c r="AM54" s="1102">
        <f t="shared" si="91"/>
        <v>6058.7371195449232</v>
      </c>
      <c r="AN54" s="1144">
        <f t="shared" si="92"/>
        <v>13621.800160502262</v>
      </c>
      <c r="AO54" s="1418" t="str">
        <f>IF(OR('Recycling - Case 2'!AC124="No",'Recycling - Case 2'!T164="No"), "No", "Yes")</f>
        <v>No</v>
      </c>
      <c r="AP54" s="1101">
        <f t="shared" si="93"/>
        <v>6430.3708555723924</v>
      </c>
      <c r="AQ54" s="1102">
        <f t="shared" si="94"/>
        <v>1037.0246536402469</v>
      </c>
      <c r="AR54" s="1102">
        <f t="shared" si="95"/>
        <v>95.667531744697669</v>
      </c>
      <c r="AS54" s="1102">
        <f t="shared" si="96"/>
        <v>6058.7371195449232</v>
      </c>
      <c r="AT54" s="1144">
        <f t="shared" si="37"/>
        <v>13621.800160502262</v>
      </c>
      <c r="AU54" s="1425" t="str">
        <f>IF(OR('Recycling - Case 2'!AC124="No",'Recycling - Case 2'!T204="No"), "No", "Yes")</f>
        <v>No</v>
      </c>
      <c r="AV54" s="1101">
        <f t="shared" si="63"/>
        <v>6431.7714508953713</v>
      </c>
      <c r="AW54" s="1102">
        <f t="shared" si="64"/>
        <v>629.80698598783727</v>
      </c>
      <c r="AX54" s="1102">
        <f t="shared" si="65"/>
        <v>95.667531744697669</v>
      </c>
      <c r="AY54" s="1102">
        <f t="shared" si="66"/>
        <v>6058.7371195449232</v>
      </c>
      <c r="AZ54" s="1144">
        <f t="shared" si="67"/>
        <v>13215.98308817283</v>
      </c>
      <c r="BA54" s="1425" t="str">
        <f>IF(OR('Recycling - Case 3'!AC124="No",'Recycling - Case 3'!T164="No"), "No", "Yes")</f>
        <v>No</v>
      </c>
      <c r="BB54" s="1101">
        <f t="shared" si="97"/>
        <v>6431.7714508953713</v>
      </c>
      <c r="BC54" s="1102">
        <f t="shared" si="98"/>
        <v>629.80698598783727</v>
      </c>
      <c r="BD54" s="1102">
        <f t="shared" si="99"/>
        <v>95.667531744697669</v>
      </c>
      <c r="BE54" s="1102">
        <f t="shared" si="100"/>
        <v>6058.7371195449232</v>
      </c>
      <c r="BF54" s="1144">
        <f t="shared" si="47"/>
        <v>13215.98308817283</v>
      </c>
      <c r="BG54" s="1425" t="str">
        <f>IF(OR('Recycling - Case 3'!AC124="No",'Recycling - Case 3'!T204="No"), "No", "Yes")</f>
        <v>No</v>
      </c>
      <c r="BH54" s="596">
        <f t="shared" si="48"/>
        <v>2044</v>
      </c>
      <c r="BI54" s="1102">
        <f>'Recycling - Case 1'!BV124</f>
        <v>34.913753548103472</v>
      </c>
      <c r="BJ54" s="417">
        <f>'Recycling - Case 1'!BW124</f>
        <v>0.56477413588829528</v>
      </c>
      <c r="BK54" s="1144">
        <f>'Recycling - Case 1'!BX124</f>
        <v>15.581351055345042</v>
      </c>
      <c r="BL54" s="1101">
        <f>'Recycling - Case 1'!BY124</f>
        <v>34.913753548103472</v>
      </c>
      <c r="BM54" s="417">
        <f>'Recycling - Case 1'!BZ124</f>
        <v>0.56477413588829528</v>
      </c>
      <c r="BN54" s="1144">
        <f>'Recycling - Case 1'!CA124</f>
        <v>15.581351055345042</v>
      </c>
      <c r="BO54" s="1102">
        <f>'Recycling - Case 2'!BV124</f>
        <v>36.076620721566641</v>
      </c>
      <c r="BP54" s="417">
        <f>'Recycling - Case 2'!BW124</f>
        <v>0.67908255546013296</v>
      </c>
      <c r="BQ54" s="1144">
        <f>'Recycling - Case 2'!BX124</f>
        <v>15.581351055345042</v>
      </c>
      <c r="BR54" s="1101">
        <f>'Recycling - Case 2'!BY124</f>
        <v>36.076620721566641</v>
      </c>
      <c r="BS54" s="417">
        <f>'Recycling - Case 2'!BZ124</f>
        <v>0.67908255546013296</v>
      </c>
      <c r="BT54" s="1144">
        <f>'Recycling - Case 2'!CA124</f>
        <v>15.581351055345042</v>
      </c>
      <c r="BU54" s="1102">
        <f>'Recycling - Case 3'!BV124</f>
        <v>36.076620721566641</v>
      </c>
      <c r="BV54" s="417">
        <f>'Recycling - Case 3'!BW124</f>
        <v>0.67908255546013296</v>
      </c>
      <c r="BW54" s="1144">
        <f>'Recycling - Case 3'!BX124</f>
        <v>15.581351055345042</v>
      </c>
      <c r="BX54" s="1101">
        <f>'Recycling - Case 3'!BY124</f>
        <v>36.076620721566641</v>
      </c>
      <c r="BY54" s="417">
        <f>'Recycling - Case 3'!BZ124</f>
        <v>0.67908255546013296</v>
      </c>
      <c r="BZ54" s="1144">
        <f>'Recycling - Case 3'!CA124</f>
        <v>15.581351055345042</v>
      </c>
      <c r="CA54" s="596">
        <v>2044</v>
      </c>
      <c r="CB54" s="649">
        <f>'Recycling - Case 1'!CB124</f>
        <v>0.40142626362055789</v>
      </c>
      <c r="CC54" s="417">
        <f>'Recycling - Case 1'!CC124</f>
        <v>-4.8257496883882922E-2</v>
      </c>
      <c r="CD54" s="417">
        <f>'Recycling - Case 1'!CD124</f>
        <v>0.40142626362055789</v>
      </c>
      <c r="CE54" s="525">
        <f>'Recycling - Case 1'!CE124</f>
        <v>-4.8257496883882922E-2</v>
      </c>
      <c r="CF54" s="649">
        <f>'Recycling - Case 2'!CB124</f>
        <v>0.36396428507300427</v>
      </c>
      <c r="CG54" s="417">
        <f>'Recycling - Case 2'!CC124</f>
        <v>-4.8257496883882922E-2</v>
      </c>
      <c r="CH54" s="417">
        <f>'Recycling - Case 2'!CD124</f>
        <v>0.36396428507300427</v>
      </c>
      <c r="CI54" s="525">
        <f>'Recycling - Case 2'!CE124</f>
        <v>-4.8257496883882922E-2</v>
      </c>
      <c r="CJ54" s="649">
        <f>'Recycling - Case 3'!CB124</f>
        <v>0.36396428507300427</v>
      </c>
      <c r="CK54" s="417">
        <f>'Recycling - Case 3'!CC124</f>
        <v>-4.8257496883882922E-2</v>
      </c>
      <c r="CL54" s="417">
        <f>'Recycling - Case 3'!CD124</f>
        <v>0.36396428507300427</v>
      </c>
      <c r="CM54" s="525">
        <f>'Recycling - Case 3'!CE124</f>
        <v>-4.8257496883882922E-2</v>
      </c>
    </row>
    <row r="55" spans="1:91">
      <c r="A55" s="4">
        <f>'Input data'!A144</f>
        <v>2044</v>
      </c>
      <c r="B55" s="4"/>
      <c r="C55" s="769">
        <f>'4A SWD Case 1'!BG114</f>
        <v>352.15737527096155</v>
      </c>
      <c r="D55" s="3">
        <f>'4B Biological treatment '!T108</f>
        <v>0.5751661972491664</v>
      </c>
      <c r="E55" s="1159">
        <f>'4B Biological treatment '!U108</f>
        <v>25.882478876212485</v>
      </c>
      <c r="F55" s="1159">
        <f>'4B Biological treatment '!W108</f>
        <v>1.5529487325727491</v>
      </c>
      <c r="G55" s="952">
        <f>'4C2 Open-burning '!R115</f>
        <v>10.47444933348603</v>
      </c>
      <c r="H55" s="952">
        <f>'4C2 Open-burning '!Z115</f>
        <v>3.5243315215491062</v>
      </c>
      <c r="I55" s="952">
        <f>'4C2 Open-burning '!AH115</f>
        <v>4.9064643190041744E-2</v>
      </c>
      <c r="J55" s="987">
        <f>'4D Wastewater treatment and dis'!AV152</f>
        <v>222.36698151436079</v>
      </c>
      <c r="K55" s="770">
        <f>'4D Wastewater treatment and dis'!AW152</f>
        <v>3.6890867981193103</v>
      </c>
      <c r="L55" s="771">
        <f t="shared" si="69"/>
        <v>7395.3048806901925</v>
      </c>
      <c r="M55" s="772">
        <f t="shared" si="70"/>
        <v>12.078490142232495</v>
      </c>
      <c r="N55" s="771">
        <f t="shared" si="71"/>
        <v>1024.9461634980144</v>
      </c>
      <c r="O55" s="773">
        <f t="shared" si="72"/>
        <v>99.695450674930214</v>
      </c>
      <c r="P55" s="771">
        <f t="shared" si="73"/>
        <v>5813.3235192185621</v>
      </c>
      <c r="Q55" s="519">
        <f t="shared" si="74"/>
        <v>7395.3048806901925</v>
      </c>
      <c r="R55" s="521">
        <f t="shared" si="75"/>
        <v>1037.0246536402469</v>
      </c>
      <c r="S55" s="518">
        <f t="shared" si="76"/>
        <v>99.695450674930214</v>
      </c>
      <c r="T55" s="519">
        <f t="shared" si="77"/>
        <v>5813.3235192185621</v>
      </c>
      <c r="U55" s="519">
        <f t="shared" si="78"/>
        <v>14345.348504223932</v>
      </c>
      <c r="V55" s="3"/>
      <c r="W55" s="596">
        <f t="shared" si="79"/>
        <v>2045</v>
      </c>
      <c r="X55" s="1101">
        <f t="shared" si="80"/>
        <v>7142.7934460768711</v>
      </c>
      <c r="Y55" s="1102">
        <f t="shared" si="81"/>
        <v>1037.0246536402469</v>
      </c>
      <c r="Z55" s="1102">
        <f t="shared" si="82"/>
        <v>93.438067529346228</v>
      </c>
      <c r="AA55" s="1102">
        <f t="shared" si="83"/>
        <v>5890.5859696831139</v>
      </c>
      <c r="AB55" s="1144">
        <f t="shared" si="22"/>
        <v>14163.842136929579</v>
      </c>
      <c r="AC55" s="1425" t="str">
        <f>IF(OR('Recycling - Case 1'!AC125="No",'Recycling - Case 1'!T165="No"), "No", "Yes")</f>
        <v>No</v>
      </c>
      <c r="AD55" s="1101">
        <f t="shared" si="84"/>
        <v>7142.7934460768711</v>
      </c>
      <c r="AE55" s="1102">
        <f t="shared" si="85"/>
        <v>1037.0246536402469</v>
      </c>
      <c r="AF55" s="1102">
        <f t="shared" si="86"/>
        <v>93.438067529346228</v>
      </c>
      <c r="AG55" s="1102">
        <f t="shared" si="87"/>
        <v>5890.5859696831139</v>
      </c>
      <c r="AH55" s="1144">
        <f t="shared" si="60"/>
        <v>14163.842136929579</v>
      </c>
      <c r="AI55" s="1425" t="str">
        <f>IF(OR('Recycling - Case 1'!AI36="No",'Recycling - Case 1'!Z165="No"), "No", "Yes")</f>
        <v>Yes</v>
      </c>
      <c r="AJ55" s="1101">
        <f t="shared" si="88"/>
        <v>6214.9803860570992</v>
      </c>
      <c r="AK55" s="1102">
        <f t="shared" si="89"/>
        <v>1037.0246536402469</v>
      </c>
      <c r="AL55" s="1102">
        <f t="shared" si="90"/>
        <v>95.48304612493115</v>
      </c>
      <c r="AM55" s="1102">
        <f t="shared" si="91"/>
        <v>6096.3675087672291</v>
      </c>
      <c r="AN55" s="1144">
        <f t="shared" si="92"/>
        <v>13443.855594589506</v>
      </c>
      <c r="AO55" s="1418" t="str">
        <f>IF(OR('Recycling - Case 2'!AC125="No",'Recycling - Case 2'!T165="No"), "No", "Yes")</f>
        <v>No</v>
      </c>
      <c r="AP55" s="1101">
        <f t="shared" si="93"/>
        <v>6214.9803860570992</v>
      </c>
      <c r="AQ55" s="1102">
        <f t="shared" si="94"/>
        <v>1037.0246536402469</v>
      </c>
      <c r="AR55" s="1102">
        <f t="shared" si="95"/>
        <v>95.48304612493115</v>
      </c>
      <c r="AS55" s="1102">
        <f t="shared" si="96"/>
        <v>6096.3675087672291</v>
      </c>
      <c r="AT55" s="1144">
        <f t="shared" si="37"/>
        <v>13443.855594589506</v>
      </c>
      <c r="AU55" s="1425" t="str">
        <f>IF(OR('Recycling - Case 2'!AC125="No",'Recycling - Case 2'!T205="No"), "No", "Yes")</f>
        <v>No</v>
      </c>
      <c r="AV55" s="1101">
        <f t="shared" si="63"/>
        <v>6216.4249374966712</v>
      </c>
      <c r="AW55" s="1102">
        <f t="shared" si="64"/>
        <v>629.80698598783727</v>
      </c>
      <c r="AX55" s="1102">
        <f t="shared" si="65"/>
        <v>95.483046124931136</v>
      </c>
      <c r="AY55" s="1102">
        <f t="shared" si="66"/>
        <v>6096.3675087672291</v>
      </c>
      <c r="AZ55" s="1144">
        <f t="shared" si="67"/>
        <v>13038.082478376669</v>
      </c>
      <c r="BA55" s="1425" t="str">
        <f>IF(OR('Recycling - Case 3'!AC125="No",'Recycling - Case 3'!T165="No"), "No", "Yes")</f>
        <v>No</v>
      </c>
      <c r="BB55" s="1101">
        <f t="shared" si="97"/>
        <v>6216.4249374966712</v>
      </c>
      <c r="BC55" s="1102">
        <f t="shared" si="98"/>
        <v>629.80698598783727</v>
      </c>
      <c r="BD55" s="1102">
        <f t="shared" si="99"/>
        <v>95.483046124931136</v>
      </c>
      <c r="BE55" s="1102">
        <f t="shared" si="100"/>
        <v>6096.3675087672291</v>
      </c>
      <c r="BF55" s="1144">
        <f t="shared" si="47"/>
        <v>13038.082478376669</v>
      </c>
      <c r="BG55" s="1425" t="str">
        <f>IF(OR('Recycling - Case 3'!AC125="No",'Recycling - Case 3'!T205="No"), "No", "Yes")</f>
        <v>No</v>
      </c>
      <c r="BH55" s="596">
        <f t="shared" si="48"/>
        <v>2045</v>
      </c>
      <c r="BI55" s="1102">
        <f>'Recycling - Case 1'!BV125</f>
        <v>33.13465225178949</v>
      </c>
      <c r="BJ55" s="417">
        <f>'Recycling - Case 1'!BW125</f>
        <v>0.58527549140310686</v>
      </c>
      <c r="BK55" s="1144">
        <f>'Recycling - Case 1'!BX125</f>
        <v>13.973281414751694</v>
      </c>
      <c r="BL55" s="1101">
        <f>'Recycling - Case 1'!BY125</f>
        <v>33.13465225178949</v>
      </c>
      <c r="BM55" s="417">
        <f>'Recycling - Case 1'!BZ125</f>
        <v>0.58527549140310686</v>
      </c>
      <c r="BN55" s="1144">
        <f>'Recycling - Case 1'!CA125</f>
        <v>13.973281414751694</v>
      </c>
      <c r="BO55" s="1102">
        <f>'Recycling - Case 2'!BV125</f>
        <v>34.530290699681565</v>
      </c>
      <c r="BP55" s="417">
        <f>'Recycling - Case 2'!BW125</f>
        <v>0.69265317695859885</v>
      </c>
      <c r="BQ55" s="1144">
        <f>'Recycling - Case 2'!BX125</f>
        <v>13.973281414751694</v>
      </c>
      <c r="BR55" s="1101">
        <f>'Recycling - Case 2'!BY125</f>
        <v>34.530290699681565</v>
      </c>
      <c r="BS55" s="417">
        <f>'Recycling - Case 2'!BZ125</f>
        <v>0.69265317695859885</v>
      </c>
      <c r="BT55" s="1144">
        <f>'Recycling - Case 2'!CA125</f>
        <v>13.973281414751694</v>
      </c>
      <c r="BU55" s="1102">
        <f>'Recycling - Case 3'!BV125</f>
        <v>34.530290699681565</v>
      </c>
      <c r="BV55" s="417">
        <f>'Recycling - Case 3'!BW125</f>
        <v>0.69265317695859885</v>
      </c>
      <c r="BW55" s="1144">
        <f>'Recycling - Case 3'!BX125</f>
        <v>13.973281414751694</v>
      </c>
      <c r="BX55" s="1101">
        <f>'Recycling - Case 3'!BY125</f>
        <v>34.530290699681565</v>
      </c>
      <c r="BY55" s="417">
        <f>'Recycling - Case 3'!BZ125</f>
        <v>0.69265317695859885</v>
      </c>
      <c r="BZ55" s="1144">
        <f>'Recycling - Case 3'!CA125</f>
        <v>13.973281414751694</v>
      </c>
      <c r="CA55" s="596">
        <v>2045</v>
      </c>
      <c r="CB55" s="649">
        <f>'Recycling - Case 1'!CB125</f>
        <v>0.41059682127280317</v>
      </c>
      <c r="CC55" s="417">
        <f>'Recycling - Case 1'!CC125</f>
        <v>-5.3811053945152398E-2</v>
      </c>
      <c r="CD55" s="417">
        <f>'Recycling - Case 1'!CD125</f>
        <v>0.41059682127280317</v>
      </c>
      <c r="CE55" s="525">
        <f>'Recycling - Case 1'!CE125</f>
        <v>-5.3811053945152398E-2</v>
      </c>
      <c r="CF55" s="649">
        <f>'Recycling - Case 2'!CB125</f>
        <v>0.36591359792336786</v>
      </c>
      <c r="CG55" s="417">
        <f>'Recycling - Case 2'!CC125</f>
        <v>-5.3811053945152398E-2</v>
      </c>
      <c r="CH55" s="417">
        <f>'Recycling - Case 2'!CD125</f>
        <v>0.36591359792336786</v>
      </c>
      <c r="CI55" s="525">
        <f>'Recycling - Case 2'!CE125</f>
        <v>-5.3811053945152398E-2</v>
      </c>
      <c r="CJ55" s="649">
        <f>'Recycling - Case 3'!CB125</f>
        <v>0.36591359792336786</v>
      </c>
      <c r="CK55" s="417">
        <f>'Recycling - Case 3'!CC125</f>
        <v>-5.3811053945152398E-2</v>
      </c>
      <c r="CL55" s="417">
        <f>'Recycling - Case 3'!CD125</f>
        <v>0.36591359792336786</v>
      </c>
      <c r="CM55" s="525">
        <f>'Recycling - Case 3'!CE125</f>
        <v>-5.3811053945152398E-2</v>
      </c>
    </row>
    <row r="56" spans="1:91">
      <c r="A56" s="4">
        <f>'Input data'!A145</f>
        <v>2045</v>
      </c>
      <c r="B56" s="4"/>
      <c r="C56" s="769">
        <f>'4A SWD Case 1'!BG115</f>
        <v>340.13302124175578</v>
      </c>
      <c r="D56" s="3">
        <f>'4B Biological treatment '!T109</f>
        <v>0.5751661972491664</v>
      </c>
      <c r="E56" s="1159">
        <f>'4B Biological treatment '!U109</f>
        <v>25.882478876212485</v>
      </c>
      <c r="F56" s="1159">
        <f>'4B Biological treatment '!W109</f>
        <v>1.5529487325727491</v>
      </c>
      <c r="G56" s="952">
        <f>'4C2 Open-burning '!R116</f>
        <v>9.8170207118697927</v>
      </c>
      <c r="H56" s="952">
        <f>'4C2 Open-burning '!Z116</f>
        <v>3.3031269177974401</v>
      </c>
      <c r="I56" s="952">
        <f>'4C2 Open-burning '!AH116</f>
        <v>4.5985101753968347E-2</v>
      </c>
      <c r="J56" s="987">
        <f>'4D Wastewater treatment and dis'!AV153</f>
        <v>225.70791134560363</v>
      </c>
      <c r="K56" s="770">
        <f>'4D Wastewater treatment and dis'!AW153</f>
        <v>3.711999456211089</v>
      </c>
      <c r="L56" s="771">
        <f t="shared" si="69"/>
        <v>7142.7934460768711</v>
      </c>
      <c r="M56" s="772">
        <f t="shared" si="70"/>
        <v>12.078490142232495</v>
      </c>
      <c r="N56" s="771">
        <f t="shared" si="71"/>
        <v>1024.9461634980144</v>
      </c>
      <c r="O56" s="773">
        <f t="shared" si="72"/>
        <v>93.438067529346228</v>
      </c>
      <c r="P56" s="771">
        <f t="shared" si="73"/>
        <v>5890.5859696831139</v>
      </c>
      <c r="Q56" s="519">
        <f t="shared" si="74"/>
        <v>7142.7934460768711</v>
      </c>
      <c r="R56" s="521">
        <f t="shared" si="75"/>
        <v>1037.0246536402469</v>
      </c>
      <c r="S56" s="518">
        <f t="shared" si="76"/>
        <v>93.438067529346228</v>
      </c>
      <c r="T56" s="519">
        <f t="shared" si="77"/>
        <v>5890.5859696831139</v>
      </c>
      <c r="U56" s="519">
        <f t="shared" si="78"/>
        <v>14163.842136929579</v>
      </c>
      <c r="V56" s="3"/>
      <c r="W56" s="596">
        <f t="shared" si="79"/>
        <v>2046</v>
      </c>
      <c r="X56" s="1101">
        <f t="shared" si="80"/>
        <v>6897.7336003419232</v>
      </c>
      <c r="Y56" s="1102">
        <f t="shared" si="81"/>
        <v>1037.0246536402469</v>
      </c>
      <c r="Z56" s="1102">
        <f t="shared" si="82"/>
        <v>87.227232528263414</v>
      </c>
      <c r="AA56" s="1102">
        <f t="shared" si="83"/>
        <v>5962.0228726331479</v>
      </c>
      <c r="AB56" s="1144">
        <f t="shared" si="22"/>
        <v>13984.008359143583</v>
      </c>
      <c r="AC56" s="1425" t="str">
        <f>IF(OR('Recycling - Case 1'!AC126="No",'Recycling - Case 1'!T166="No"), "No", "Yes")</f>
        <v>No</v>
      </c>
      <c r="AD56" s="1101">
        <f t="shared" si="84"/>
        <v>6897.7336003419232</v>
      </c>
      <c r="AE56" s="1102">
        <f t="shared" si="85"/>
        <v>1037.0246536402469</v>
      </c>
      <c r="AF56" s="1102">
        <f t="shared" si="86"/>
        <v>87.227232528263414</v>
      </c>
      <c r="AG56" s="1102">
        <f t="shared" si="87"/>
        <v>5962.0228726331479</v>
      </c>
      <c r="AH56" s="1144">
        <f t="shared" si="60"/>
        <v>13984.008359143583</v>
      </c>
      <c r="AI56" s="1425" t="str">
        <f>IF(OR('Recycling - Case 1'!AI37="No",'Recycling - Case 1'!Z166="No"), "No", "Yes")</f>
        <v>Yes</v>
      </c>
      <c r="AJ56" s="1101">
        <f t="shared" si="88"/>
        <v>6010.2666834833135</v>
      </c>
      <c r="AK56" s="1102">
        <f t="shared" si="89"/>
        <v>1037.0246536402469</v>
      </c>
      <c r="AL56" s="1102">
        <f t="shared" si="90"/>
        <v>95.332713212379986</v>
      </c>
      <c r="AM56" s="1102">
        <f t="shared" si="91"/>
        <v>6127.4884893628396</v>
      </c>
      <c r="AN56" s="1144">
        <f t="shared" si="92"/>
        <v>13270.112539698781</v>
      </c>
      <c r="AO56" s="1418" t="str">
        <f>IF(OR('Recycling - Case 2'!AC126="No",'Recycling - Case 2'!T166="No"), "No", "Yes")</f>
        <v>No</v>
      </c>
      <c r="AP56" s="1101">
        <f t="shared" si="93"/>
        <v>6010.2666834833135</v>
      </c>
      <c r="AQ56" s="1102">
        <f t="shared" si="94"/>
        <v>1037.0246536402469</v>
      </c>
      <c r="AR56" s="1102">
        <f t="shared" si="95"/>
        <v>95.332713212379986</v>
      </c>
      <c r="AS56" s="1102">
        <f t="shared" si="96"/>
        <v>6127.4884893628396</v>
      </c>
      <c r="AT56" s="1144">
        <f t="shared" si="37"/>
        <v>13270.112539698781</v>
      </c>
      <c r="AU56" s="1425" t="str">
        <f>IF(OR('Recycling - Case 2'!AC126="No",'Recycling - Case 2'!T206="No"), "No", "Yes")</f>
        <v>No</v>
      </c>
      <c r="AV56" s="1101">
        <f t="shared" si="63"/>
        <v>6011.7534108331247</v>
      </c>
      <c r="AW56" s="1102">
        <f t="shared" si="64"/>
        <v>629.80698598783727</v>
      </c>
      <c r="AX56" s="1102">
        <f t="shared" si="65"/>
        <v>95.332713212379986</v>
      </c>
      <c r="AY56" s="1102">
        <f t="shared" si="66"/>
        <v>6127.4884893628396</v>
      </c>
      <c r="AZ56" s="1144">
        <f t="shared" si="67"/>
        <v>12864.38159939618</v>
      </c>
      <c r="BA56" s="1425" t="str">
        <f>IF(OR('Recycling - Case 3'!AC126="No",'Recycling - Case 3'!T166="No"), "No", "Yes")</f>
        <v>No</v>
      </c>
      <c r="BB56" s="1101">
        <f t="shared" si="97"/>
        <v>6011.7534108331247</v>
      </c>
      <c r="BC56" s="1102">
        <f t="shared" si="98"/>
        <v>629.80698598783727</v>
      </c>
      <c r="BD56" s="1102">
        <f t="shared" si="99"/>
        <v>95.332713212379986</v>
      </c>
      <c r="BE56" s="1102">
        <f t="shared" si="100"/>
        <v>6127.4884893628396</v>
      </c>
      <c r="BF56" s="1144">
        <f t="shared" si="47"/>
        <v>12864.38159939618</v>
      </c>
      <c r="BG56" s="1425" t="str">
        <f>IF(OR('Recycling - Case 3'!AC126="No",'Recycling - Case 3'!T206="No"), "No", "Yes")</f>
        <v>No</v>
      </c>
      <c r="BH56" s="596">
        <f t="shared" si="48"/>
        <v>2046</v>
      </c>
      <c r="BI56" s="1102">
        <f>'Recycling - Case 1'!BV126</f>
        <v>30.16056369496733</v>
      </c>
      <c r="BJ56" s="417">
        <f>'Recycling - Case 1'!BW126</f>
        <v>0.62404143443668714</v>
      </c>
      <c r="BK56" s="1144">
        <f>'Recycling - Case 1'!BX126</f>
        <v>11.178944368399096</v>
      </c>
      <c r="BL56" s="1101">
        <f>'Recycling - Case 1'!BY126</f>
        <v>30.16056369496733</v>
      </c>
      <c r="BM56" s="417">
        <f>'Recycling - Case 1'!BZ126</f>
        <v>0.62404143443668714</v>
      </c>
      <c r="BN56" s="1144">
        <f>'Recycling - Case 1'!CA126</f>
        <v>11.178944368399096</v>
      </c>
      <c r="BO56" s="1102">
        <f>'Recycling - Case 2'!BV126</f>
        <v>31.78703368534805</v>
      </c>
      <c r="BP56" s="417">
        <f>'Recycling - Case 2'!BW126</f>
        <v>0.71887364496201267</v>
      </c>
      <c r="BQ56" s="1144">
        <f>'Recycling - Case 2'!BX126</f>
        <v>11.178944368399096</v>
      </c>
      <c r="BR56" s="1101">
        <f>'Recycling - Case 2'!BY126</f>
        <v>31.78703368534805</v>
      </c>
      <c r="BS56" s="417">
        <f>'Recycling - Case 2'!BZ126</f>
        <v>0.71887364496201267</v>
      </c>
      <c r="BT56" s="1144">
        <f>'Recycling - Case 2'!CA126</f>
        <v>11.178944368399096</v>
      </c>
      <c r="BU56" s="1102">
        <f>'Recycling - Case 3'!BV126</f>
        <v>31.78703368534805</v>
      </c>
      <c r="BV56" s="417">
        <f>'Recycling - Case 3'!BW126</f>
        <v>0.71887364496201267</v>
      </c>
      <c r="BW56" s="1144">
        <f>'Recycling - Case 3'!BX126</f>
        <v>11.178944368399096</v>
      </c>
      <c r="BX56" s="1101">
        <f>'Recycling - Case 3'!BY126</f>
        <v>31.78703368534805</v>
      </c>
      <c r="BY56" s="417">
        <f>'Recycling - Case 3'!BZ126</f>
        <v>0.71887364496201267</v>
      </c>
      <c r="BZ56" s="1144">
        <f>'Recycling - Case 3'!CA126</f>
        <v>11.178944368399096</v>
      </c>
      <c r="CA56" s="596">
        <v>2046</v>
      </c>
      <c r="CB56" s="649">
        <f>'Recycling - Case 1'!CB126</f>
        <v>0.41931610360905747</v>
      </c>
      <c r="CC56" s="417">
        <f>'Recycling - Case 1'!CC126</f>
        <v>-6.7261896581714664E-2</v>
      </c>
      <c r="CD56" s="417">
        <f>'Recycling - Case 1'!CD126</f>
        <v>0.41931610360905747</v>
      </c>
      <c r="CE56" s="525">
        <f>'Recycling - Case 1'!CE126</f>
        <v>-6.7261896581714664E-2</v>
      </c>
      <c r="CF56" s="649">
        <f>'Recycling - Case 2'!CB126</f>
        <v>0.36750697834425616</v>
      </c>
      <c r="CG56" s="417">
        <f>'Recycling - Case 2'!CC126</f>
        <v>-6.7261896581714442E-2</v>
      </c>
      <c r="CH56" s="417">
        <f>'Recycling - Case 2'!CD126</f>
        <v>0.36750697834425616</v>
      </c>
      <c r="CI56" s="525">
        <f>'Recycling - Case 2'!CE126</f>
        <v>-6.7261896581714442E-2</v>
      </c>
      <c r="CJ56" s="649">
        <f>'Recycling - Case 3'!CB126</f>
        <v>0.36750697834425616</v>
      </c>
      <c r="CK56" s="417">
        <f>'Recycling - Case 3'!CC126</f>
        <v>-6.7261896581714442E-2</v>
      </c>
      <c r="CL56" s="417">
        <f>'Recycling - Case 3'!CD126</f>
        <v>0.36750697834425616</v>
      </c>
      <c r="CM56" s="525">
        <f>'Recycling - Case 3'!CE126</f>
        <v>-6.7261896581714442E-2</v>
      </c>
    </row>
    <row r="57" spans="1:91">
      <c r="A57" s="4">
        <f>'Input data'!A146</f>
        <v>2046</v>
      </c>
      <c r="B57" s="4"/>
      <c r="C57" s="769">
        <f>'4A SWD Case 1'!BG116</f>
        <v>328.4635047781868</v>
      </c>
      <c r="D57" s="3">
        <f>'4B Biological treatment '!T110</f>
        <v>0.5751661972491664</v>
      </c>
      <c r="E57" s="1159">
        <f>'4B Biological treatment '!U110</f>
        <v>25.882478876212485</v>
      </c>
      <c r="F57" s="1159">
        <f>'4B Biological treatment '!W110</f>
        <v>1.5529487325727491</v>
      </c>
      <c r="G57" s="952">
        <f>'4C2 Open-burning '!R117</f>
        <v>9.1644826462201969</v>
      </c>
      <c r="H57" s="952">
        <f>'4C2 Open-burning '!Z117</f>
        <v>3.0835678364023558</v>
      </c>
      <c r="I57" s="952">
        <f>'4C2 Open-burning '!AH117</f>
        <v>4.2928468766431443E-2</v>
      </c>
      <c r="J57" s="987">
        <f>'4D Wastewater treatment and dis'!AV154</f>
        <v>228.82994288598573</v>
      </c>
      <c r="K57" s="770">
        <f>'4D Wastewater treatment and dis'!AW154</f>
        <v>3.7309486194433799</v>
      </c>
      <c r="L57" s="771">
        <f t="shared" si="69"/>
        <v>6897.7336003419232</v>
      </c>
      <c r="M57" s="772">
        <f t="shared" si="70"/>
        <v>12.078490142232495</v>
      </c>
      <c r="N57" s="771">
        <f t="shared" si="71"/>
        <v>1024.9461634980144</v>
      </c>
      <c r="O57" s="773">
        <f t="shared" si="72"/>
        <v>87.227232528263414</v>
      </c>
      <c r="P57" s="771">
        <f t="shared" si="73"/>
        <v>5962.0228726331479</v>
      </c>
      <c r="Q57" s="519">
        <f t="shared" si="74"/>
        <v>6897.7336003419232</v>
      </c>
      <c r="R57" s="521">
        <f t="shared" si="75"/>
        <v>1037.0246536402469</v>
      </c>
      <c r="S57" s="518">
        <f t="shared" si="76"/>
        <v>87.227232528263414</v>
      </c>
      <c r="T57" s="519">
        <f t="shared" si="77"/>
        <v>5962.0228726331479</v>
      </c>
      <c r="U57" s="519">
        <f t="shared" si="78"/>
        <v>13984.008359143583</v>
      </c>
      <c r="V57" s="3"/>
      <c r="W57" s="596">
        <f t="shared" si="79"/>
        <v>2047</v>
      </c>
      <c r="X57" s="1101">
        <f t="shared" si="80"/>
        <v>6659.6353312305582</v>
      </c>
      <c r="Y57" s="1102">
        <f t="shared" si="81"/>
        <v>1037.0246536402469</v>
      </c>
      <c r="Z57" s="1102">
        <f t="shared" si="82"/>
        <v>81.033572020965295</v>
      </c>
      <c r="AA57" s="1102">
        <f t="shared" si="83"/>
        <v>6034.0356184153861</v>
      </c>
      <c r="AB57" s="1144">
        <f t="shared" si="22"/>
        <v>13811.729175307155</v>
      </c>
      <c r="AC57" s="1425" t="str">
        <f>IF(OR('Recycling - Case 1'!AC127="No",'Recycling - Case 1'!T167="No"), "No", "Yes")</f>
        <v>No</v>
      </c>
      <c r="AD57" s="1101">
        <f t="shared" si="84"/>
        <v>6659.6353312305582</v>
      </c>
      <c r="AE57" s="1102">
        <f t="shared" si="85"/>
        <v>1037.0246536402469</v>
      </c>
      <c r="AF57" s="1102">
        <f t="shared" si="86"/>
        <v>81.033572020965295</v>
      </c>
      <c r="AG57" s="1102">
        <f t="shared" si="87"/>
        <v>6034.0356184153861</v>
      </c>
      <c r="AH57" s="1144">
        <f t="shared" si="60"/>
        <v>13811.729175307155</v>
      </c>
      <c r="AI57" s="1425" t="str">
        <f>IF(OR('Recycling - Case 1'!AI38="No",'Recycling - Case 1'!Z167="No"), "No", "Yes")</f>
        <v>Yes</v>
      </c>
      <c r="AJ57" s="1101">
        <f t="shared" si="88"/>
        <v>5815.6734164340787</v>
      </c>
      <c r="AK57" s="1102">
        <f t="shared" si="89"/>
        <v>1037.0246536402469</v>
      </c>
      <c r="AL57" s="1102">
        <f t="shared" si="90"/>
        <v>95.183612874715863</v>
      </c>
      <c r="AM57" s="1102">
        <f t="shared" si="91"/>
        <v>6158.7683375844354</v>
      </c>
      <c r="AN57" s="1144">
        <f t="shared" si="92"/>
        <v>13106.650020533478</v>
      </c>
      <c r="AO57" s="1418" t="str">
        <f>IF(OR('Recycling - Case 2'!AC127="No",'Recycling - Case 2'!T167="No"), "No", "Yes")</f>
        <v>No</v>
      </c>
      <c r="AP57" s="1101">
        <f t="shared" si="93"/>
        <v>5815.6734164340787</v>
      </c>
      <c r="AQ57" s="1102">
        <f t="shared" si="94"/>
        <v>1037.0246536402469</v>
      </c>
      <c r="AR57" s="1102">
        <f t="shared" si="95"/>
        <v>95.183612874715863</v>
      </c>
      <c r="AS57" s="1102">
        <f t="shared" si="96"/>
        <v>6158.7683375844354</v>
      </c>
      <c r="AT57" s="1144">
        <f t="shared" si="37"/>
        <v>13106.650020533478</v>
      </c>
      <c r="AU57" s="1425" t="str">
        <f>IF(OR('Recycling - Case 2'!AC127="No",'Recycling - Case 2'!T207="No"), "No", "Yes")</f>
        <v>No</v>
      </c>
      <c r="AV57" s="1101">
        <f t="shared" si="63"/>
        <v>5817.2005083018012</v>
      </c>
      <c r="AW57" s="1102">
        <f t="shared" si="64"/>
        <v>629.80698598783727</v>
      </c>
      <c r="AX57" s="1102">
        <f t="shared" si="65"/>
        <v>95.183612874715863</v>
      </c>
      <c r="AY57" s="1102">
        <f t="shared" si="66"/>
        <v>6158.7683375844354</v>
      </c>
      <c r="AZ57" s="1144">
        <f t="shared" si="67"/>
        <v>12700.959444748789</v>
      </c>
      <c r="BA57" s="1425" t="str">
        <f>IF(OR('Recycling - Case 3'!AC127="No",'Recycling - Case 3'!T167="No"), "No", "Yes")</f>
        <v>No</v>
      </c>
      <c r="BB57" s="1101">
        <f t="shared" si="97"/>
        <v>5817.2005083018012</v>
      </c>
      <c r="BC57" s="1102">
        <f t="shared" si="98"/>
        <v>629.80698598783727</v>
      </c>
      <c r="BD57" s="1102">
        <f t="shared" si="99"/>
        <v>95.183612874715863</v>
      </c>
      <c r="BE57" s="1102">
        <f t="shared" si="100"/>
        <v>6158.7683375844354</v>
      </c>
      <c r="BF57" s="1144">
        <f t="shared" si="47"/>
        <v>12700.959444748789</v>
      </c>
      <c r="BG57" s="1425" t="str">
        <f>IF(OR('Recycling - Case 3'!AC127="No",'Recycling - Case 3'!T207="No"), "No", "Yes")</f>
        <v>No</v>
      </c>
      <c r="BH57" s="596">
        <f t="shared" si="48"/>
        <v>2047</v>
      </c>
      <c r="BI57" s="1102">
        <f>'Recycling - Case 1'!BV127</f>
        <v>27.186853926781762</v>
      </c>
      <c r="BJ57" s="417">
        <f>'Recycling - Case 1'!BW127</f>
        <v>0.67129362676179261</v>
      </c>
      <c r="BK57" s="1144">
        <f>'Recycling - Case 1'!BX127</f>
        <v>8.3846073220464898</v>
      </c>
      <c r="BL57" s="1101">
        <f>'Recycling - Case 1'!BY127</f>
        <v>27.186853926781762</v>
      </c>
      <c r="BM57" s="417">
        <f>'Recycling - Case 1'!BZ127</f>
        <v>0.67129362676179261</v>
      </c>
      <c r="BN57" s="1144">
        <f>'Recycling - Case 1'!CA127</f>
        <v>8.3846073220464898</v>
      </c>
      <c r="BO57" s="1102">
        <f>'Recycling - Case 2'!BV127</f>
        <v>29.044055555113193</v>
      </c>
      <c r="BP57" s="417">
        <f>'Recycling - Case 2'!BW127</f>
        <v>0.75004969000129851</v>
      </c>
      <c r="BQ57" s="1144">
        <f>'Recycling - Case 2'!BX127</f>
        <v>8.3846073220464898</v>
      </c>
      <c r="BR57" s="1101">
        <f>'Recycling - Case 2'!BY127</f>
        <v>29.044055555113193</v>
      </c>
      <c r="BS57" s="417">
        <f>'Recycling - Case 2'!BZ127</f>
        <v>0.75004969000129851</v>
      </c>
      <c r="BT57" s="1144">
        <f>'Recycling - Case 2'!CA127</f>
        <v>8.3846073220464898</v>
      </c>
      <c r="BU57" s="1102">
        <f>'Recycling - Case 3'!BV127</f>
        <v>29.044055555113193</v>
      </c>
      <c r="BV57" s="417">
        <f>'Recycling - Case 3'!BW127</f>
        <v>0.75004969000129851</v>
      </c>
      <c r="BW57" s="1144">
        <f>'Recycling - Case 3'!BX127</f>
        <v>8.3846073220464898</v>
      </c>
      <c r="BX57" s="1101">
        <f>'Recycling - Case 3'!BY127</f>
        <v>29.044055555113193</v>
      </c>
      <c r="BY57" s="417">
        <f>'Recycling - Case 3'!BZ127</f>
        <v>0.75004969000129851</v>
      </c>
      <c r="BZ57" s="1144">
        <f>'Recycling - Case 3'!CA127</f>
        <v>8.3846073220464898</v>
      </c>
      <c r="CA57" s="596">
        <v>2047</v>
      </c>
      <c r="CB57" s="649">
        <f>'Recycling - Case 1'!CB127</f>
        <v>0.4279500163115344</v>
      </c>
      <c r="CC57" s="417">
        <f>'Recycling - Case 1'!CC127</f>
        <v>-8.9678260545715593E-2</v>
      </c>
      <c r="CD57" s="417">
        <f>'Recycling - Case 1'!CD127</f>
        <v>0.4279500163115344</v>
      </c>
      <c r="CE57" s="525">
        <f>'Recycling - Case 1'!CE127</f>
        <v>-8.9678260545715593E-2</v>
      </c>
      <c r="CF57" s="649">
        <f>'Recycling - Case 2'!CB127</f>
        <v>0.36909169159072286</v>
      </c>
      <c r="CG57" s="417">
        <f>'Recycling - Case 2'!CC127</f>
        <v>-8.9678260545715593E-2</v>
      </c>
      <c r="CH57" s="417">
        <f>'Recycling - Case 2'!CD127</f>
        <v>0.36909169159072286</v>
      </c>
      <c r="CI57" s="525">
        <f>'Recycling - Case 2'!CE127</f>
        <v>-8.9678260545715593E-2</v>
      </c>
      <c r="CJ57" s="649">
        <f>'Recycling - Case 3'!CB127</f>
        <v>0.36909169159072286</v>
      </c>
      <c r="CK57" s="417">
        <f>'Recycling - Case 3'!CC127</f>
        <v>-8.9678260545715593E-2</v>
      </c>
      <c r="CL57" s="417">
        <f>'Recycling - Case 3'!CD127</f>
        <v>0.36909169159072286</v>
      </c>
      <c r="CM57" s="525">
        <f>'Recycling - Case 3'!CE127</f>
        <v>-8.9678260545715593E-2</v>
      </c>
    </row>
    <row r="58" spans="1:91">
      <c r="A58" s="4">
        <f>'Input data'!A147</f>
        <v>2047</v>
      </c>
      <c r="B58" s="4"/>
      <c r="C58" s="769">
        <f>'4A SWD Case 1'!BG117</f>
        <v>317.12549196335993</v>
      </c>
      <c r="D58" s="3">
        <f>'4B Biological treatment '!T111</f>
        <v>0.5751661972491664</v>
      </c>
      <c r="E58" s="1159">
        <f>'4B Biological treatment '!U111</f>
        <v>25.882478876212485</v>
      </c>
      <c r="F58" s="1159">
        <f>'4B Biological treatment '!W111</f>
        <v>1.5529487325727491</v>
      </c>
      <c r="G58" s="952">
        <f>'4C2 Open-burning '!R118</f>
        <v>8.5137490095967827</v>
      </c>
      <c r="H58" s="952">
        <f>'4C2 Open-burning '!Z118</f>
        <v>2.8646158901313141</v>
      </c>
      <c r="I58" s="952">
        <f>'4C2 Open-burning '!AH118</f>
        <v>3.9880288124551327E-2</v>
      </c>
      <c r="J58" s="987">
        <f>'4D Wastewater treatment and dis'!AV155</f>
        <v>231.97796755845934</v>
      </c>
      <c r="K58" s="770">
        <f>'4D Wastewater treatment and dis'!AW155</f>
        <v>3.74999451512174</v>
      </c>
      <c r="L58" s="771">
        <f t="shared" si="69"/>
        <v>6659.6353312305582</v>
      </c>
      <c r="M58" s="772">
        <f t="shared" si="70"/>
        <v>12.078490142232495</v>
      </c>
      <c r="N58" s="771">
        <f t="shared" si="71"/>
        <v>1024.9461634980144</v>
      </c>
      <c r="O58" s="773">
        <f t="shared" si="72"/>
        <v>81.033572020965295</v>
      </c>
      <c r="P58" s="771">
        <f t="shared" si="73"/>
        <v>6034.0356184153861</v>
      </c>
      <c r="Q58" s="519">
        <f t="shared" si="74"/>
        <v>6659.6353312305582</v>
      </c>
      <c r="R58" s="521">
        <f t="shared" si="75"/>
        <v>1037.0246536402469</v>
      </c>
      <c r="S58" s="518">
        <f t="shared" si="76"/>
        <v>81.033572020965295</v>
      </c>
      <c r="T58" s="519">
        <f t="shared" si="77"/>
        <v>6034.0356184153861</v>
      </c>
      <c r="U58" s="519">
        <f t="shared" si="78"/>
        <v>13811.729175307155</v>
      </c>
      <c r="V58" s="3"/>
      <c r="W58" s="596">
        <f t="shared" si="79"/>
        <v>2048</v>
      </c>
      <c r="X58" s="1101">
        <f t="shared" si="80"/>
        <v>6428.0693644477697</v>
      </c>
      <c r="Y58" s="1102">
        <f t="shared" si="81"/>
        <v>1037.0246536402469</v>
      </c>
      <c r="Z58" s="1102">
        <f t="shared" si="82"/>
        <v>80.926366254145591</v>
      </c>
      <c r="AA58" s="1102">
        <f t="shared" si="83"/>
        <v>6106.6282245986458</v>
      </c>
      <c r="AB58" s="1144">
        <f t="shared" si="22"/>
        <v>13652.648608940808</v>
      </c>
      <c r="AC58" s="1425" t="str">
        <f>IF(OR('Recycling - Case 1'!AC128="No",'Recycling - Case 1'!T168="No"), "No", "Yes")</f>
        <v>No</v>
      </c>
      <c r="AD58" s="1101">
        <f t="shared" si="84"/>
        <v>6428.0693644477697</v>
      </c>
      <c r="AE58" s="1102">
        <f t="shared" si="85"/>
        <v>1037.0246536402469</v>
      </c>
      <c r="AF58" s="1102">
        <f t="shared" si="86"/>
        <v>80.926366254145591</v>
      </c>
      <c r="AG58" s="1102">
        <f t="shared" si="87"/>
        <v>6106.6282245986458</v>
      </c>
      <c r="AH58" s="1144">
        <f t="shared" si="60"/>
        <v>13652.648608940808</v>
      </c>
      <c r="AI58" s="1425" t="str">
        <f>IF(OR('Recycling - Case 1'!AI39="No",'Recycling - Case 1'!Z168="No"), "No", "Yes")</f>
        <v>Yes</v>
      </c>
      <c r="AJ58" s="1101">
        <f t="shared" si="88"/>
        <v>5630.7077698026351</v>
      </c>
      <c r="AK58" s="1102">
        <f t="shared" si="89"/>
        <v>1037.0246536402469</v>
      </c>
      <c r="AL58" s="1102">
        <f t="shared" si="90"/>
        <v>95.035731924294083</v>
      </c>
      <c r="AM58" s="1102">
        <f t="shared" si="91"/>
        <v>6190.2078644258199</v>
      </c>
      <c r="AN58" s="1144">
        <f t="shared" si="92"/>
        <v>12952.976019792995</v>
      </c>
      <c r="AO58" s="1418" t="str">
        <f>IF(OR('Recycling - Case 2'!AC128="No",'Recycling - Case 2'!T168="No"), "No", "Yes")</f>
        <v>No</v>
      </c>
      <c r="AP58" s="1101">
        <f t="shared" si="93"/>
        <v>5630.7077698026351</v>
      </c>
      <c r="AQ58" s="1102">
        <f t="shared" si="94"/>
        <v>1037.0246536402469</v>
      </c>
      <c r="AR58" s="1102">
        <f t="shared" si="95"/>
        <v>95.035731924294083</v>
      </c>
      <c r="AS58" s="1102">
        <f t="shared" si="96"/>
        <v>6190.2078644258199</v>
      </c>
      <c r="AT58" s="1144">
        <f t="shared" si="37"/>
        <v>12952.976019792995</v>
      </c>
      <c r="AU58" s="1425" t="str">
        <f>IF(OR('Recycling - Case 2'!AC128="No",'Recycling - Case 2'!T208="No"), "No", "Yes")</f>
        <v>No</v>
      </c>
      <c r="AV58" s="1101">
        <f t="shared" si="63"/>
        <v>5632.2735235745249</v>
      </c>
      <c r="AW58" s="1102">
        <f t="shared" si="64"/>
        <v>629.80698598783727</v>
      </c>
      <c r="AX58" s="1102">
        <f t="shared" si="65"/>
        <v>95.035731924294083</v>
      </c>
      <c r="AY58" s="1102">
        <f t="shared" si="66"/>
        <v>6190.2078644258199</v>
      </c>
      <c r="AZ58" s="1144">
        <f t="shared" si="67"/>
        <v>12547.324105912476</v>
      </c>
      <c r="BA58" s="1425" t="str">
        <f>IF(OR('Recycling - Case 3'!AC128="No",'Recycling - Case 3'!T168="No"), "No", "Yes")</f>
        <v>No</v>
      </c>
      <c r="BB58" s="1101">
        <f t="shared" si="97"/>
        <v>5632.2735235745249</v>
      </c>
      <c r="BC58" s="1102">
        <f t="shared" si="98"/>
        <v>629.80698598783727</v>
      </c>
      <c r="BD58" s="1102">
        <f t="shared" si="99"/>
        <v>95.035731924294083</v>
      </c>
      <c r="BE58" s="1102">
        <f t="shared" si="100"/>
        <v>6190.2078644258199</v>
      </c>
      <c r="BF58" s="1144">
        <f t="shared" si="47"/>
        <v>12547.324105912476</v>
      </c>
      <c r="BG58" s="1425" t="str">
        <f>IF(OR('Recycling - Case 3'!AC128="No",'Recycling - Case 3'!T208="No"), "No", "Yes")</f>
        <v>No</v>
      </c>
      <c r="BH58" s="596">
        <f t="shared" si="48"/>
        <v>2048</v>
      </c>
      <c r="BI58" s="1102">
        <f>'Recycling - Case 1'!BV128</f>
        <v>24.435698656525084</v>
      </c>
      <c r="BJ58" s="417">
        <f>'Recycling - Case 1'!BW128</f>
        <v>0.72576914574292761</v>
      </c>
      <c r="BK58" s="1144">
        <f>'Recycling - Case 1'!BX128</f>
        <v>5.5902702756938876</v>
      </c>
      <c r="BL58" s="1101">
        <f>'Recycling - Case 1'!BY128</f>
        <v>24.435698656525084</v>
      </c>
      <c r="BM58" s="417">
        <f>'Recycling - Case 1'!BZ128</f>
        <v>0.72576914574292761</v>
      </c>
      <c r="BN58" s="1144">
        <f>'Recycling - Case 1'!CA128</f>
        <v>5.5902702756938876</v>
      </c>
      <c r="BO58" s="1102">
        <f>'Recycling - Case 2'!BV128</f>
        <v>26.301357556064438</v>
      </c>
      <c r="BP58" s="417">
        <f>'Recycling - Case 2'!BW128</f>
        <v>0.787730787283214</v>
      </c>
      <c r="BQ58" s="1144">
        <f>'Recycling - Case 2'!BX128</f>
        <v>5.5902702756938876</v>
      </c>
      <c r="BR58" s="1101">
        <f>'Recycling - Case 2'!BY128</f>
        <v>26.301357556064438</v>
      </c>
      <c r="BS58" s="417">
        <f>'Recycling - Case 2'!BZ128</f>
        <v>0.787730787283214</v>
      </c>
      <c r="BT58" s="1144">
        <f>'Recycling - Case 2'!CA128</f>
        <v>5.5902702756938876</v>
      </c>
      <c r="BU58" s="1102">
        <f>'Recycling - Case 3'!BV128</f>
        <v>26.301357556064438</v>
      </c>
      <c r="BV58" s="417">
        <f>'Recycling - Case 3'!BW128</f>
        <v>0.787730787283214</v>
      </c>
      <c r="BW58" s="1144">
        <f>'Recycling - Case 3'!BX128</f>
        <v>5.5902702756938876</v>
      </c>
      <c r="BX58" s="1101">
        <f>'Recycling - Case 3'!BY128</f>
        <v>26.301357556064438</v>
      </c>
      <c r="BY58" s="417">
        <f>'Recycling - Case 3'!BZ128</f>
        <v>0.787730787283214</v>
      </c>
      <c r="BZ58" s="1144">
        <f>'Recycling - Case 3'!CA128</f>
        <v>5.5902702756938876</v>
      </c>
      <c r="CA58" s="596">
        <v>2048</v>
      </c>
      <c r="CB58" s="649">
        <f>'Recycling - Case 1'!CB128</f>
        <v>0.42949384463559215</v>
      </c>
      <c r="CC58" s="417">
        <f>'Recycling - Case 1'!CC128</f>
        <v>-0.13450458795691578</v>
      </c>
      <c r="CD58" s="417">
        <f>'Recycling - Case 1'!CD128</f>
        <v>0.42949384463559215</v>
      </c>
      <c r="CE58" s="525">
        <f>'Recycling - Case 1'!CE128</f>
        <v>-0.13450458795691578</v>
      </c>
      <c r="CF58" s="649">
        <f>'Recycling - Case 2'!CB128</f>
        <v>0.3706677901680655</v>
      </c>
      <c r="CG58" s="417">
        <f>'Recycling - Case 2'!CC128</f>
        <v>-0.13450458795691578</v>
      </c>
      <c r="CH58" s="417">
        <f>'Recycling - Case 2'!CD128</f>
        <v>0.3706677901680655</v>
      </c>
      <c r="CI58" s="525">
        <f>'Recycling - Case 2'!CE128</f>
        <v>-0.13450458795691578</v>
      </c>
      <c r="CJ58" s="649">
        <f>'Recycling - Case 3'!CB128</f>
        <v>0.3706677901680655</v>
      </c>
      <c r="CK58" s="417">
        <f>'Recycling - Case 3'!CC128</f>
        <v>-0.13450458795691578</v>
      </c>
      <c r="CL58" s="417">
        <f>'Recycling - Case 3'!CD128</f>
        <v>0.3706677901680655</v>
      </c>
      <c r="CM58" s="525">
        <f>'Recycling - Case 3'!CE128</f>
        <v>-0.13450458795691578</v>
      </c>
    </row>
    <row r="59" spans="1:91">
      <c r="A59" s="4">
        <f>'Input data'!A148</f>
        <v>2048</v>
      </c>
      <c r="B59" s="4"/>
      <c r="C59" s="769">
        <f>'4A SWD Case 1'!BG118</f>
        <v>306.09854116417949</v>
      </c>
      <c r="D59" s="3">
        <f>'4B Biological treatment '!T112</f>
        <v>0.5751661972491664</v>
      </c>
      <c r="E59" s="1159">
        <f>'4B Biological treatment '!U112</f>
        <v>25.882478876212485</v>
      </c>
      <c r="F59" s="1159">
        <f>'4B Biological treatment '!W112</f>
        <v>1.5529487325727491</v>
      </c>
      <c r="G59" s="952">
        <f>'4C2 Open-burning '!R119</f>
        <v>8.502485492904615</v>
      </c>
      <c r="H59" s="952">
        <f>'4C2 Open-burning '!Z119</f>
        <v>2.8608260616011587</v>
      </c>
      <c r="I59" s="952">
        <f>'4C2 Open-burning '!AH119</f>
        <v>3.9827527314892378E-2</v>
      </c>
      <c r="J59" s="987">
        <f>'4D Wastewater treatment and dis'!AV156</f>
        <v>235.15216938634282</v>
      </c>
      <c r="K59" s="770">
        <f>'4D Wastewater treatment and dis'!AW156</f>
        <v>3.769137637049826</v>
      </c>
      <c r="L59" s="771">
        <f t="shared" si="69"/>
        <v>6428.0693644477697</v>
      </c>
      <c r="M59" s="772">
        <f t="shared" si="70"/>
        <v>12.078490142232495</v>
      </c>
      <c r="N59" s="771">
        <f t="shared" si="71"/>
        <v>1024.9461634980144</v>
      </c>
      <c r="O59" s="773">
        <f t="shared" si="72"/>
        <v>80.926366254145591</v>
      </c>
      <c r="P59" s="771">
        <f t="shared" si="73"/>
        <v>6106.6282245986458</v>
      </c>
      <c r="Q59" s="519">
        <f t="shared" si="74"/>
        <v>6428.0693644477697</v>
      </c>
      <c r="R59" s="521">
        <f t="shared" si="75"/>
        <v>1037.0246536402469</v>
      </c>
      <c r="S59" s="518">
        <f t="shared" si="76"/>
        <v>80.926366254145591</v>
      </c>
      <c r="T59" s="519">
        <f t="shared" si="77"/>
        <v>6106.6282245986458</v>
      </c>
      <c r="U59" s="519">
        <f t="shared" si="78"/>
        <v>13652.648608940808</v>
      </c>
      <c r="V59" s="3"/>
      <c r="W59" s="596">
        <f t="shared" si="79"/>
        <v>2049</v>
      </c>
      <c r="X59" s="1101">
        <f t="shared" si="80"/>
        <v>6208.5714422991196</v>
      </c>
      <c r="Y59" s="1102">
        <f t="shared" si="81"/>
        <v>1037.0246536402469</v>
      </c>
      <c r="Z59" s="1102">
        <f t="shared" si="82"/>
        <v>80.81998611074799</v>
      </c>
      <c r="AA59" s="1102">
        <f t="shared" si="83"/>
        <v>6179.8047347637312</v>
      </c>
      <c r="AB59" s="1144">
        <f t="shared" si="22"/>
        <v>13506.220816813846</v>
      </c>
      <c r="AC59" s="1425" t="str">
        <f>IF(OR('Recycling - Case 1'!AC129="No",'Recycling - Case 1'!T169="No"), "No", "Yes")</f>
        <v>No</v>
      </c>
      <c r="AD59" s="1101">
        <f t="shared" si="84"/>
        <v>6208.5714422991196</v>
      </c>
      <c r="AE59" s="1102">
        <f t="shared" si="85"/>
        <v>1037.0246536402469</v>
      </c>
      <c r="AF59" s="1102">
        <f t="shared" si="86"/>
        <v>80.81998611074799</v>
      </c>
      <c r="AG59" s="1102">
        <f t="shared" si="87"/>
        <v>6179.8047347637312</v>
      </c>
      <c r="AH59" s="1144">
        <f t="shared" si="60"/>
        <v>13506.220816813846</v>
      </c>
      <c r="AI59" s="1425" t="str">
        <f>IF(OR('Recycling - Case 1'!AI40="No",'Recycling - Case 1'!Z169="No"), "No", "Yes")</f>
        <v>Yes</v>
      </c>
      <c r="AJ59" s="1101">
        <f t="shared" si="88"/>
        <v>5454.9009108187556</v>
      </c>
      <c r="AK59" s="1102">
        <f t="shared" si="89"/>
        <v>1037.0246536402469</v>
      </c>
      <c r="AL59" s="1102">
        <f t="shared" si="90"/>
        <v>94.889057356937755</v>
      </c>
      <c r="AM59" s="1102">
        <f t="shared" si="91"/>
        <v>6221.8078850207985</v>
      </c>
      <c r="AN59" s="1144">
        <f t="shared" si="92"/>
        <v>12808.622506836738</v>
      </c>
      <c r="AO59" s="1418" t="str">
        <f>IF(OR('Recycling - Case 2'!AC129="No",'Recycling - Case 2'!T169="No"), "No", "Yes")</f>
        <v>No</v>
      </c>
      <c r="AP59" s="1101">
        <f t="shared" si="93"/>
        <v>5454.9009108187556</v>
      </c>
      <c r="AQ59" s="1102">
        <f t="shared" si="94"/>
        <v>1037.0246536402469</v>
      </c>
      <c r="AR59" s="1102">
        <f t="shared" si="95"/>
        <v>94.889057356937755</v>
      </c>
      <c r="AS59" s="1102">
        <f t="shared" si="96"/>
        <v>6221.8078850207985</v>
      </c>
      <c r="AT59" s="1144">
        <f t="shared" si="37"/>
        <v>12808.622506836738</v>
      </c>
      <c r="AU59" s="1425" t="str">
        <f>IF(OR('Recycling - Case 2'!AC129="No",'Recycling - Case 2'!T209="No"), "No", "Yes")</f>
        <v>No</v>
      </c>
      <c r="AV59" s="1101">
        <f t="shared" si="63"/>
        <v>5456.5037263416752</v>
      </c>
      <c r="AW59" s="1102">
        <f t="shared" si="64"/>
        <v>629.80698598783727</v>
      </c>
      <c r="AX59" s="1102">
        <f t="shared" si="65"/>
        <v>94.889057356937755</v>
      </c>
      <c r="AY59" s="1102">
        <f t="shared" si="66"/>
        <v>6221.8078850207985</v>
      </c>
      <c r="AZ59" s="1144">
        <f t="shared" si="67"/>
        <v>12403.007654707249</v>
      </c>
      <c r="BA59" s="1425" t="str">
        <f>IF(OR('Recycling - Case 3'!AC129="No",'Recycling - Case 3'!T169="No"), "No", "Yes")</f>
        <v>No</v>
      </c>
      <c r="BB59" s="1101">
        <f t="shared" si="97"/>
        <v>5456.5037263416752</v>
      </c>
      <c r="BC59" s="1102">
        <f t="shared" si="98"/>
        <v>629.80698598783727</v>
      </c>
      <c r="BD59" s="1102">
        <f t="shared" si="99"/>
        <v>94.889057356937755</v>
      </c>
      <c r="BE59" s="1102">
        <f t="shared" si="100"/>
        <v>6221.8078850207985</v>
      </c>
      <c r="BF59" s="1144">
        <f t="shared" si="47"/>
        <v>12403.007654707249</v>
      </c>
      <c r="BG59" s="1425" t="str">
        <f>IF(OR('Recycling - Case 3'!AC129="No",'Recycling - Case 3'!T209="No"), "No", "Yes")</f>
        <v>No</v>
      </c>
      <c r="BH59" s="596">
        <f t="shared" si="48"/>
        <v>2049</v>
      </c>
      <c r="BI59" s="1102">
        <f>'Recycling - Case 1'!BV129</f>
        <v>21.684776266700407</v>
      </c>
      <c r="BJ59" s="417">
        <f>'Recycling - Case 1'!BW129</f>
        <v>0.79406968165391756</v>
      </c>
      <c r="BK59" s="1144">
        <f>'Recycling - Case 1'!BX129</f>
        <v>2.7959332293412866</v>
      </c>
      <c r="BL59" s="1101">
        <f>'Recycling - Case 1'!BY129</f>
        <v>21.684776266700407</v>
      </c>
      <c r="BM59" s="417">
        <f>'Recycling - Case 1'!BZ129</f>
        <v>0.79406968165391756</v>
      </c>
      <c r="BN59" s="1144">
        <f>'Recycling - Case 1'!CA129</f>
        <v>2.7959332293412866</v>
      </c>
      <c r="BO59" s="1102">
        <f>'Recycling - Case 2'!BV129</f>
        <v>23.558940943928651</v>
      </c>
      <c r="BP59" s="417">
        <f>'Recycling - Case 2'!BW129</f>
        <v>0.83418752806867424</v>
      </c>
      <c r="BQ59" s="1144">
        <f>'Recycling - Case 2'!BX129</f>
        <v>2.7959332293412866</v>
      </c>
      <c r="BR59" s="1101">
        <f>'Recycling - Case 2'!BY129</f>
        <v>23.558940943928651</v>
      </c>
      <c r="BS59" s="417">
        <f>'Recycling - Case 2'!BZ129</f>
        <v>0.83418752806867424</v>
      </c>
      <c r="BT59" s="1144">
        <f>'Recycling - Case 2'!CA129</f>
        <v>2.7959332293412866</v>
      </c>
      <c r="BU59" s="1102">
        <f>'Recycling - Case 3'!BV129</f>
        <v>23.558940943928651</v>
      </c>
      <c r="BV59" s="417">
        <f>'Recycling - Case 3'!BW129</f>
        <v>0.83418752806867424</v>
      </c>
      <c r="BW59" s="1144">
        <f>'Recycling - Case 3'!BX129</f>
        <v>2.7959332293412866</v>
      </c>
      <c r="BX59" s="1101">
        <f>'Recycling - Case 3'!BY129</f>
        <v>23.558940943928651</v>
      </c>
      <c r="BY59" s="417">
        <f>'Recycling - Case 3'!BZ129</f>
        <v>0.83418752806867424</v>
      </c>
      <c r="BZ59" s="1144">
        <f>'Recycling - Case 3'!CA129</f>
        <v>2.7959332293412866</v>
      </c>
      <c r="CA59" s="596">
        <v>2049</v>
      </c>
      <c r="CB59" s="649">
        <f>'Recycling - Case 1'!CB129</f>
        <v>0.43102944159952994</v>
      </c>
      <c r="CC59" s="417">
        <f>'Recycling - Case 1'!CC129</f>
        <v>-0.26893238798022012</v>
      </c>
      <c r="CD59" s="417">
        <f>'Recycling - Case 1'!CD129</f>
        <v>0.43102944159952994</v>
      </c>
      <c r="CE59" s="525">
        <f>'Recycling - Case 1'!CE129</f>
        <v>-0.26893238798022012</v>
      </c>
      <c r="CF59" s="649">
        <f>'Recycling - Case 2'!CB129</f>
        <v>0.37223532617222466</v>
      </c>
      <c r="CG59" s="417">
        <f>'Recycling - Case 2'!CC129</f>
        <v>-0.2689323879802199</v>
      </c>
      <c r="CH59" s="417">
        <f>'Recycling - Case 2'!CD129</f>
        <v>0.37223532617222466</v>
      </c>
      <c r="CI59" s="525">
        <f>'Recycling - Case 2'!CE129</f>
        <v>-0.2689323879802199</v>
      </c>
      <c r="CJ59" s="649">
        <f>'Recycling - Case 3'!CB129</f>
        <v>0.37223532617222466</v>
      </c>
      <c r="CK59" s="417">
        <f>'Recycling - Case 3'!CC129</f>
        <v>-0.2689323879802199</v>
      </c>
      <c r="CL59" s="417">
        <f>'Recycling - Case 3'!CD129</f>
        <v>0.37223532617222466</v>
      </c>
      <c r="CM59" s="525">
        <f>'Recycling - Case 3'!CE129</f>
        <v>-0.2689323879802199</v>
      </c>
    </row>
    <row r="60" spans="1:91" ht="15.75" thickBot="1">
      <c r="A60" s="4">
        <f>'Input data'!A149</f>
        <v>2049</v>
      </c>
      <c r="B60" s="4"/>
      <c r="C60" s="769">
        <f>'4A SWD Case 1'!BG119</f>
        <v>295.64625915710093</v>
      </c>
      <c r="D60" s="3">
        <f>'4B Biological treatment '!T113</f>
        <v>0.5751661972491664</v>
      </c>
      <c r="E60" s="1159">
        <f>'4B Biological treatment '!U113</f>
        <v>25.882478876212485</v>
      </c>
      <c r="F60" s="1159">
        <f>'4B Biological treatment '!W113</f>
        <v>1.5529487325727491</v>
      </c>
      <c r="G60" s="952">
        <f>'4C2 Open-burning '!R120</f>
        <v>8.491308719896784</v>
      </c>
      <c r="H60" s="952">
        <f>'4C2 Open-burning '!Z120</f>
        <v>2.8570654196650942</v>
      </c>
      <c r="I60" s="952">
        <f>'4C2 Open-burning '!AH120</f>
        <v>3.9775172831884656E-2</v>
      </c>
      <c r="J60" s="987">
        <f>'4D Wastewater treatment and dis'!AV157</f>
        <v>238.35273359440882</v>
      </c>
      <c r="K60" s="770">
        <f>'4D Wastewater treatment and dis'!AW157</f>
        <v>3.7883784815520856</v>
      </c>
      <c r="L60" s="771">
        <f t="shared" si="69"/>
        <v>6208.5714422991196</v>
      </c>
      <c r="M60" s="772">
        <f t="shared" si="70"/>
        <v>12.078490142232495</v>
      </c>
      <c r="N60" s="771">
        <f t="shared" si="71"/>
        <v>1024.9461634980144</v>
      </c>
      <c r="O60" s="773">
        <f t="shared" si="72"/>
        <v>80.81998611074799</v>
      </c>
      <c r="P60" s="771">
        <f t="shared" si="73"/>
        <v>6179.8047347637312</v>
      </c>
      <c r="Q60" s="519">
        <f t="shared" si="74"/>
        <v>6208.5714422991196</v>
      </c>
      <c r="R60" s="521">
        <f t="shared" si="75"/>
        <v>1037.0246536402469</v>
      </c>
      <c r="S60" s="518">
        <f t="shared" si="76"/>
        <v>80.81998611074799</v>
      </c>
      <c r="T60" s="519">
        <f t="shared" si="77"/>
        <v>6179.8047347637312</v>
      </c>
      <c r="U60" s="519">
        <f t="shared" si="78"/>
        <v>13506.220816813846</v>
      </c>
      <c r="V60" s="3"/>
      <c r="W60" s="1145">
        <f t="shared" si="79"/>
        <v>2050</v>
      </c>
      <c r="X60" s="1149">
        <f t="shared" si="80"/>
        <v>6000.5551377160127</v>
      </c>
      <c r="Y60" s="1146">
        <f t="shared" si="81"/>
        <v>1037.0246536402469</v>
      </c>
      <c r="Z60" s="1146">
        <f t="shared" si="82"/>
        <v>80.714423453015158</v>
      </c>
      <c r="AA60" s="1146">
        <f t="shared" si="83"/>
        <v>6253.5692186643009</v>
      </c>
      <c r="AB60" s="1147">
        <f t="shared" si="22"/>
        <v>13371.863433473576</v>
      </c>
      <c r="AC60" s="1425" t="str">
        <f>IF(OR('Recycling - Case 1'!AC130="No",'Recycling - Case 1'!T170="No"), "No", "Yes")</f>
        <v>No</v>
      </c>
      <c r="AD60" s="1149">
        <f t="shared" si="84"/>
        <v>6000.5551377160127</v>
      </c>
      <c r="AE60" s="1146">
        <f t="shared" si="85"/>
        <v>1037.0246536402469</v>
      </c>
      <c r="AF60" s="1146">
        <f t="shared" si="86"/>
        <v>80.714423453015158</v>
      </c>
      <c r="AG60" s="1146">
        <f t="shared" si="87"/>
        <v>6253.5692186643009</v>
      </c>
      <c r="AH60" s="1147">
        <f t="shared" si="60"/>
        <v>13371.863433473576</v>
      </c>
      <c r="AI60" s="1425" t="str">
        <f>IF(OR('Recycling - Case 1'!AI41="No",'Recycling - Case 1'!Z170="No"), "No", "Yes")</f>
        <v>Yes</v>
      </c>
      <c r="AJ60" s="1149">
        <f t="shared" si="88"/>
        <v>5287.8068229132741</v>
      </c>
      <c r="AK60" s="1146">
        <f t="shared" si="89"/>
        <v>1037.0246536402469</v>
      </c>
      <c r="AL60" s="1146">
        <f t="shared" si="90"/>
        <v>94.743576348754203</v>
      </c>
      <c r="AM60" s="1146">
        <f t="shared" si="91"/>
        <v>6253.5692186643009</v>
      </c>
      <c r="AN60" s="1147">
        <f t="shared" si="92"/>
        <v>12673.144271566576</v>
      </c>
      <c r="AO60" s="1418" t="str">
        <f>IF(OR('Recycling - Case 2'!AC130="No",'Recycling - Case 2'!T170="No"), "No", "Yes")</f>
        <v>No</v>
      </c>
      <c r="AP60" s="1149">
        <f t="shared" si="93"/>
        <v>5287.8068229132741</v>
      </c>
      <c r="AQ60" s="1146">
        <f t="shared" si="94"/>
        <v>1037.0246536402469</v>
      </c>
      <c r="AR60" s="1146">
        <f t="shared" si="95"/>
        <v>94.743576348754203</v>
      </c>
      <c r="AS60" s="1146">
        <f t="shared" si="96"/>
        <v>6253.5692186643009</v>
      </c>
      <c r="AT60" s="1147">
        <f t="shared" si="37"/>
        <v>12673.144271566576</v>
      </c>
      <c r="AU60" s="1425" t="str">
        <f>IF(OR('Recycling - Case 2'!AC130="No",'Recycling - Case 2'!T210="No"), "No", "Yes")</f>
        <v>No</v>
      </c>
      <c r="AV60" s="1149">
        <f t="shared" si="63"/>
        <v>5289.4451965447415</v>
      </c>
      <c r="AW60" s="1146">
        <f t="shared" si="64"/>
        <v>629.80698598783727</v>
      </c>
      <c r="AX60" s="1146">
        <f t="shared" si="65"/>
        <v>94.743576348754203</v>
      </c>
      <c r="AY60" s="1146">
        <f t="shared" si="66"/>
        <v>6253.5692186643009</v>
      </c>
      <c r="AZ60" s="1147">
        <f t="shared" si="67"/>
        <v>12267.564977545633</v>
      </c>
      <c r="BA60" s="1425" t="str">
        <f>IF(OR('Recycling - Case 3'!AC130="No",'Recycling - Case 3'!T170="No"), "No", "Yes")</f>
        <v>No</v>
      </c>
      <c r="BB60" s="1149">
        <f t="shared" si="97"/>
        <v>5289.4451965447415</v>
      </c>
      <c r="BC60" s="1146">
        <f t="shared" si="98"/>
        <v>629.80698598783727</v>
      </c>
      <c r="BD60" s="1146">
        <f t="shared" si="99"/>
        <v>94.743576348754203</v>
      </c>
      <c r="BE60" s="1146">
        <f t="shared" si="100"/>
        <v>6253.5692186643009</v>
      </c>
      <c r="BF60" s="1147">
        <f t="shared" si="47"/>
        <v>12267.564977545633</v>
      </c>
      <c r="BG60" s="1425" t="str">
        <f>IF(OR('Recycling - Case 3'!AC130="No",'Recycling - Case 3'!T210="No"), "No", "Yes")</f>
        <v>No</v>
      </c>
      <c r="BH60" s="1145">
        <f t="shared" si="48"/>
        <v>2050</v>
      </c>
      <c r="BI60" s="1146">
        <f>'Recycling - Case 1'!BV130</f>
        <v>18.934087834158248</v>
      </c>
      <c r="BJ60" s="651">
        <f>'Recycling - Case 1'!BW130</f>
        <v>0.88221860686840703</v>
      </c>
      <c r="BK60" s="1147">
        <f>'Recycling - Case 1'!BX130</f>
        <v>1.5961829886855978E-3</v>
      </c>
      <c r="BL60" s="1149">
        <f>'Recycling - Case 1'!BY130</f>
        <v>18.934087834158248</v>
      </c>
      <c r="BM60" s="651">
        <f>'Recycling - Case 1'!BZ130</f>
        <v>0.88221860686840703</v>
      </c>
      <c r="BN60" s="1147">
        <f>'Recycling - Case 1'!CA130</f>
        <v>1.5961829886855978E-3</v>
      </c>
      <c r="BO60" s="1146">
        <f>'Recycling - Case 2'!BV130</f>
        <v>20.816806983078848</v>
      </c>
      <c r="BP60" s="651">
        <f>'Recycling - Case 2'!BW130</f>
        <v>0.89288635822017004</v>
      </c>
      <c r="BQ60" s="1147">
        <f>'Recycling - Case 2'!BX130</f>
        <v>1.5961829886855978E-3</v>
      </c>
      <c r="BR60" s="1149">
        <f>'Recycling - Case 2'!BY130</f>
        <v>20.816806983078848</v>
      </c>
      <c r="BS60" s="651">
        <f>'Recycling - Case 2'!BZ130</f>
        <v>0.89288635822017004</v>
      </c>
      <c r="BT60" s="1147">
        <f>'Recycling - Case 2'!CA130</f>
        <v>1.5961829886855978E-3</v>
      </c>
      <c r="BU60" s="1146">
        <f>'Recycling - Case 3'!BV130</f>
        <v>20.816806983078848</v>
      </c>
      <c r="BV60" s="651">
        <f>'Recycling - Case 3'!BW130</f>
        <v>0.89288635822017004</v>
      </c>
      <c r="BW60" s="1147">
        <f>'Recycling - Case 3'!BX130</f>
        <v>1.5961829886855978E-3</v>
      </c>
      <c r="BX60" s="1149">
        <f>'Recycling - Case 3'!BY130</f>
        <v>20.816806983078848</v>
      </c>
      <c r="BY60" s="651">
        <f>'Recycling - Case 3'!BZ130</f>
        <v>0.89288635822017004</v>
      </c>
      <c r="BZ60" s="1147">
        <f>'Recycling - Case 3'!CA130</f>
        <v>1.5961829886855978E-3</v>
      </c>
      <c r="CA60" s="1145">
        <v>2050</v>
      </c>
      <c r="CB60" s="650">
        <f>'Recycling - Case 1'!CB130</f>
        <v>0.43255685448712144</v>
      </c>
      <c r="CC60" s="651">
        <f>'Recycling - Case 1'!CC130</f>
        <v>-471.0719293025283</v>
      </c>
      <c r="CD60" s="651">
        <f>'Recycling - Case 1'!CD130</f>
        <v>0.43255685448712144</v>
      </c>
      <c r="CE60" s="652">
        <f>'Recycling - Case 1'!CE130</f>
        <v>-471.0719293025283</v>
      </c>
      <c r="CF60" s="650">
        <f>'Recycling - Case 2'!CB130</f>
        <v>0.37379435129462157</v>
      </c>
      <c r="CG60" s="651">
        <f>'Recycling - Case 2'!CC130</f>
        <v>-471.07192930252825</v>
      </c>
      <c r="CH60" s="651">
        <f>'Recycling - Case 2'!CD130</f>
        <v>0.37379435129462157</v>
      </c>
      <c r="CI60" s="652">
        <f>'Recycling - Case 2'!CE130</f>
        <v>-471.07192930252825</v>
      </c>
      <c r="CJ60" s="650">
        <f>'Recycling - Case 3'!CB130</f>
        <v>0.37379435129462157</v>
      </c>
      <c r="CK60" s="651">
        <f>'Recycling - Case 3'!CC130</f>
        <v>-471.07192930252825</v>
      </c>
      <c r="CL60" s="651">
        <f>'Recycling - Case 3'!CD130</f>
        <v>0.37379435129462157</v>
      </c>
      <c r="CM60" s="652">
        <f>'Recycling - Case 3'!CE130</f>
        <v>-471.07192930252825</v>
      </c>
    </row>
    <row r="61" spans="1:91">
      <c r="A61" s="4">
        <f>'Input data'!A150</f>
        <v>2050</v>
      </c>
      <c r="B61" s="4"/>
      <c r="C61" s="769">
        <f>'4A SWD Case 1'!BG120</f>
        <v>285.74072084361967</v>
      </c>
      <c r="D61" s="3">
        <f>'4B Biological treatment '!T114</f>
        <v>0.5751661972491664</v>
      </c>
      <c r="E61" s="1159">
        <f>'4B Biological treatment '!U114</f>
        <v>25.882478876212485</v>
      </c>
      <c r="F61" s="1159">
        <f>'4B Biological treatment '!W114</f>
        <v>1.5529487325727491</v>
      </c>
      <c r="G61" s="952">
        <f>'4C2 Open-burning '!R121</f>
        <v>8.480217835584158</v>
      </c>
      <c r="H61" s="952">
        <f>'4C2 Open-burning '!Z121</f>
        <v>2.8533336766454509</v>
      </c>
      <c r="I61" s="952">
        <f>'4C2 Open-burning '!AH121</f>
        <v>3.9723220670569465E-2</v>
      </c>
      <c r="J61" s="987">
        <f>'4D Wastewater treatment and dis'!AV158</f>
        <v>241.57984661635467</v>
      </c>
      <c r="K61" s="770">
        <f>'4D Wastewater treatment and dis'!AW158</f>
        <v>3.8077175474866229</v>
      </c>
      <c r="L61" s="771">
        <f t="shared" si="69"/>
        <v>6000.5551377160127</v>
      </c>
      <c r="M61" s="772">
        <f t="shared" si="70"/>
        <v>12.078490142232495</v>
      </c>
      <c r="N61" s="771">
        <f t="shared" si="71"/>
        <v>1024.9461634980144</v>
      </c>
      <c r="O61" s="773">
        <f t="shared" si="72"/>
        <v>80.714423453015158</v>
      </c>
      <c r="P61" s="771">
        <f t="shared" si="73"/>
        <v>6253.5692186643009</v>
      </c>
      <c r="Q61" s="471">
        <f t="shared" si="74"/>
        <v>6000.5551377160127</v>
      </c>
      <c r="R61" s="517">
        <f t="shared" si="75"/>
        <v>1037.0246536402469</v>
      </c>
      <c r="S61" s="514">
        <f t="shared" si="76"/>
        <v>80.714423453015158</v>
      </c>
      <c r="T61" s="471">
        <f t="shared" si="77"/>
        <v>6253.5692186643009</v>
      </c>
      <c r="U61" s="471">
        <f t="shared" si="78"/>
        <v>13371.863433473576</v>
      </c>
      <c r="AJ61" s="53"/>
      <c r="AK61" s="53"/>
      <c r="AL61" s="53"/>
      <c r="AM61" s="53"/>
      <c r="AN61" s="53"/>
      <c r="AP61" s="519"/>
      <c r="AQ61" s="519"/>
      <c r="AR61" s="519"/>
      <c r="AS61" s="519"/>
      <c r="AT61" s="519"/>
      <c r="AU61" s="1419"/>
      <c r="AV61" s="519"/>
      <c r="AW61" s="519"/>
      <c r="AX61" s="519"/>
      <c r="AY61" s="519"/>
      <c r="AZ61" s="519"/>
      <c r="BA61" s="1427"/>
      <c r="BB61" s="519"/>
      <c r="BC61" s="519"/>
      <c r="BD61" s="519"/>
      <c r="BE61" s="519"/>
      <c r="BF61" s="519"/>
      <c r="BJ61" s="114"/>
      <c r="BM61" s="114"/>
      <c r="BP61" s="114"/>
    </row>
    <row r="62" spans="1:91">
      <c r="A62" s="413" t="s">
        <v>641</v>
      </c>
      <c r="B62" s="413"/>
      <c r="C62" s="471"/>
      <c r="D62" s="3">
        <f>'4B Biological treatment '!T115</f>
        <v>0</v>
      </c>
      <c r="E62" s="472">
        <f>'4B Biological treatment '!U115</f>
        <v>0</v>
      </c>
      <c r="F62" s="472">
        <f>'4B Biological treatment '!W115</f>
        <v>0</v>
      </c>
      <c r="G62" s="515"/>
      <c r="H62" s="515"/>
      <c r="I62" s="515"/>
      <c r="J62" s="986"/>
      <c r="K62" s="515"/>
      <c r="L62" s="471"/>
      <c r="M62" s="3"/>
      <c r="N62" s="471"/>
      <c r="O62" s="514"/>
      <c r="P62" s="471"/>
      <c r="Q62" s="471"/>
      <c r="R62" s="517"/>
      <c r="S62" s="514"/>
      <c r="T62" s="471"/>
      <c r="U62" s="471"/>
      <c r="X62" s="104"/>
      <c r="Y62" s="104"/>
      <c r="Z62" s="104"/>
      <c r="AA62" s="104"/>
      <c r="AB62" s="104"/>
      <c r="AC62" s="104"/>
      <c r="AD62" s="104"/>
      <c r="AE62" s="104"/>
      <c r="AF62" s="104"/>
      <c r="AG62" s="104"/>
      <c r="AH62" s="104"/>
      <c r="AI62" s="131"/>
      <c r="AJ62" s="104"/>
      <c r="AK62" s="104"/>
      <c r="AL62" s="104"/>
      <c r="AM62" s="104"/>
      <c r="AN62" s="104"/>
      <c r="AO62" s="169"/>
      <c r="AP62" s="1102"/>
      <c r="AQ62" s="1102"/>
      <c r="AR62" s="519"/>
      <c r="AS62" s="519"/>
      <c r="AT62" s="519"/>
      <c r="AU62" s="1419"/>
      <c r="AV62" s="519"/>
      <c r="AW62" s="519"/>
      <c r="AX62" s="519"/>
      <c r="AY62" s="519"/>
      <c r="AZ62" s="519"/>
      <c r="BB62" s="519"/>
      <c r="BC62" s="519"/>
      <c r="BD62" s="519"/>
      <c r="BE62" s="519"/>
      <c r="BF62" s="519"/>
    </row>
    <row r="63" spans="1:91">
      <c r="A63" s="4">
        <f>'Input data'!A118</f>
        <v>2018</v>
      </c>
      <c r="B63" s="4"/>
      <c r="C63" s="769">
        <f>'4A SWD Case 1'!BN88</f>
        <v>821.57255218782393</v>
      </c>
      <c r="D63" s="3">
        <f>'4B Biological treatment '!T116</f>
        <v>0.32146709865844858</v>
      </c>
      <c r="E63" s="1159">
        <f>'4B Biological treatment '!U116</f>
        <v>20.398057107378527</v>
      </c>
      <c r="F63" s="1159">
        <f>'4B Biological treatment '!W116</f>
        <v>1.2238834264427116</v>
      </c>
      <c r="G63" s="952">
        <f>'4C2 Open-burning '!R89</f>
        <v>32.890504306921038</v>
      </c>
      <c r="H63" s="952">
        <f>'4C2 Open-burning '!Z89</f>
        <v>11.066647744235141</v>
      </c>
      <c r="I63" s="952">
        <f>'4C2 Open-burning '!AH89</f>
        <v>0.15406641502389429</v>
      </c>
      <c r="J63" s="987">
        <f>'4D Wastewater treatment and dis'!AV126</f>
        <v>134.80821026422416</v>
      </c>
      <c r="K63" s="770">
        <f>'4D Wastewater treatment and dis'!AW126</f>
        <v>2.8960026873618072</v>
      </c>
      <c r="L63" s="771">
        <f t="shared" ref="L63:L95" si="101">C63*$B$3</f>
        <v>17253.023595944302</v>
      </c>
      <c r="M63" s="772">
        <f t="shared" ref="M63:M95" si="102">D63*$B$3</f>
        <v>6.7508090718274198</v>
      </c>
      <c r="N63" s="771">
        <f t="shared" ref="N63:N95" si="103">E63*$B$3+F63*$C$3</f>
        <v>807.76306145218973</v>
      </c>
      <c r="O63" s="773">
        <f t="shared" ref="O63:O95" si="104">G63+H63*$B$3+I63*$C$3</f>
        <v>313.05069559326625</v>
      </c>
      <c r="P63" s="771">
        <f t="shared" ref="P63:P95" si="105">J63*$B$3+K63*$C$3</f>
        <v>3728.7332486308678</v>
      </c>
      <c r="Q63" s="471">
        <f t="shared" ref="Q63:Q95" si="106">L63</f>
        <v>17253.023595944302</v>
      </c>
      <c r="R63" s="517">
        <f t="shared" ref="R63:R95" si="107">M63+N63</f>
        <v>814.51387052401719</v>
      </c>
      <c r="S63" s="514">
        <f t="shared" ref="S63:S95" si="108">O63</f>
        <v>313.05069559326625</v>
      </c>
      <c r="T63" s="471">
        <f t="shared" ref="T63:T95" si="109">P63</f>
        <v>3728.7332486308678</v>
      </c>
      <c r="U63" s="471">
        <f t="shared" ref="U63:U95" si="110">SUM(Q63:T63)</f>
        <v>22109.32141069245</v>
      </c>
      <c r="X63" s="104"/>
      <c r="Y63" s="104"/>
      <c r="Z63" s="104"/>
      <c r="AA63" s="104"/>
      <c r="AB63" s="104"/>
      <c r="AC63" s="104"/>
      <c r="AD63" s="104"/>
      <c r="AE63" s="104"/>
      <c r="AF63" s="104"/>
      <c r="AG63" s="104"/>
      <c r="AH63" s="105"/>
      <c r="AI63" s="131"/>
      <c r="AJ63" s="104"/>
      <c r="AK63" s="104"/>
      <c r="AL63" s="104"/>
      <c r="AM63" s="104"/>
      <c r="AN63" s="104"/>
      <c r="AO63" s="169"/>
      <c r="AP63" s="104"/>
      <c r="AQ63" s="104"/>
    </row>
    <row r="64" spans="1:91">
      <c r="A64" s="4">
        <f>'Input data'!A119</f>
        <v>2019</v>
      </c>
      <c r="B64" s="4"/>
      <c r="C64" s="769">
        <f>'4A SWD Case 1'!BN89</f>
        <v>802.62878327546923</v>
      </c>
      <c r="D64" s="3">
        <f>'4B Biological treatment '!T117</f>
        <v>0.37490238576394763</v>
      </c>
      <c r="E64" s="1159">
        <f>'4B Biological treatment '!U117</f>
        <v>21.68365386662515</v>
      </c>
      <c r="F64" s="1159">
        <f>'4B Biological treatment '!W117</f>
        <v>1.3010192319975089</v>
      </c>
      <c r="G64" s="952">
        <f>'4C2 Open-burning '!R90</f>
        <v>32.036480261883405</v>
      </c>
      <c r="H64" s="952">
        <f>'4C2 Open-burning '!Z90</f>
        <v>10.779294799344312</v>
      </c>
      <c r="I64" s="952">
        <f>'4C2 Open-burning '!AH90</f>
        <v>0.1500659770331802</v>
      </c>
      <c r="J64" s="987">
        <f>'4D Wastewater treatment and dis'!AV127</f>
        <v>138.54200894277699</v>
      </c>
      <c r="K64" s="770">
        <f>'4D Wastewater treatment and dis'!AW127</f>
        <v>2.9428357992270668</v>
      </c>
      <c r="L64" s="771">
        <f t="shared" si="101"/>
        <v>16855.204448784854</v>
      </c>
      <c r="M64" s="772">
        <f t="shared" si="102"/>
        <v>7.8729501010429006</v>
      </c>
      <c r="N64" s="771">
        <f t="shared" si="103"/>
        <v>858.67269311835594</v>
      </c>
      <c r="O64" s="773">
        <f t="shared" si="104"/>
        <v>304.9221239283998</v>
      </c>
      <c r="P64" s="771">
        <f t="shared" si="105"/>
        <v>3821.6612855587077</v>
      </c>
      <c r="Q64" s="519">
        <f t="shared" si="106"/>
        <v>16855.204448784854</v>
      </c>
      <c r="R64" s="521">
        <f t="shared" si="107"/>
        <v>866.54564321939881</v>
      </c>
      <c r="S64" s="518">
        <f t="shared" si="108"/>
        <v>304.9221239283998</v>
      </c>
      <c r="T64" s="519">
        <f t="shared" si="109"/>
        <v>3821.6612855587077</v>
      </c>
      <c r="U64" s="519">
        <f t="shared" si="110"/>
        <v>21848.333501491365</v>
      </c>
      <c r="X64" s="104"/>
      <c r="Y64" s="1402"/>
      <c r="Z64" s="1402"/>
      <c r="AA64" s="1400"/>
      <c r="AB64" s="1143"/>
      <c r="AC64" s="1403"/>
      <c r="AD64" s="1403"/>
      <c r="AE64" s="1143"/>
      <c r="AF64" s="1143"/>
      <c r="AG64" s="1143"/>
      <c r="AH64" s="1404"/>
      <c r="AI64" s="1423"/>
      <c r="AJ64" s="529"/>
      <c r="AK64" s="529"/>
      <c r="AL64" s="529"/>
      <c r="AM64" s="529"/>
      <c r="AN64" s="529"/>
      <c r="AO64" s="1422"/>
      <c r="AP64" s="529"/>
      <c r="AQ64" s="104"/>
    </row>
    <row r="65" spans="1:43">
      <c r="A65" s="4">
        <f>'Input data'!A120</f>
        <v>2020</v>
      </c>
      <c r="B65" s="4"/>
      <c r="C65" s="769">
        <f>'4A SWD Case 1'!BN90</f>
        <v>783.19932745230881</v>
      </c>
      <c r="D65" s="3">
        <f>'4B Biological treatment '!T118</f>
        <v>0.42266999842100295</v>
      </c>
      <c r="E65" s="1159">
        <f>'4B Biological treatment '!U118</f>
        <v>22.471526438067638</v>
      </c>
      <c r="F65" s="1159">
        <f>'4B Biological treatment '!W118</f>
        <v>1.3482915862840581</v>
      </c>
      <c r="G65" s="952">
        <f>'4C2 Open-burning '!R91</f>
        <v>31.199856234261556</v>
      </c>
      <c r="H65" s="952">
        <f>'4C2 Open-burning '!Z91</f>
        <v>10.497796427605877</v>
      </c>
      <c r="I65" s="952">
        <f>'4C2 Open-burning '!AH91</f>
        <v>0.14614704458216801</v>
      </c>
      <c r="J65" s="987">
        <f>'4D Wastewater treatment and dis'!AV128</f>
        <v>142.36131561162929</v>
      </c>
      <c r="K65" s="770">
        <f>'4D Wastewater treatment and dis'!AW128</f>
        <v>2.9904262793007734</v>
      </c>
      <c r="L65" s="771">
        <f t="shared" si="101"/>
        <v>16447.185876498486</v>
      </c>
      <c r="M65" s="772">
        <f t="shared" si="102"/>
        <v>8.8760699668410616</v>
      </c>
      <c r="N65" s="771">
        <f t="shared" si="103"/>
        <v>889.87244694747847</v>
      </c>
      <c r="O65" s="773">
        <f t="shared" si="104"/>
        <v>296.95916503445704</v>
      </c>
      <c r="P65" s="771">
        <f t="shared" si="105"/>
        <v>3916.619774427455</v>
      </c>
      <c r="Q65" s="519">
        <f t="shared" si="106"/>
        <v>16447.185876498486</v>
      </c>
      <c r="R65" s="521">
        <f t="shared" si="107"/>
        <v>898.74851691431957</v>
      </c>
      <c r="S65" s="518">
        <f t="shared" si="108"/>
        <v>296.95916503445704</v>
      </c>
      <c r="T65" s="519">
        <f t="shared" si="109"/>
        <v>3916.619774427455</v>
      </c>
      <c r="U65" s="519">
        <f t="shared" si="110"/>
        <v>21559.513332874714</v>
      </c>
      <c r="X65" s="104"/>
      <c r="Y65" s="104"/>
      <c r="Z65" s="104"/>
      <c r="AA65" s="236"/>
      <c r="AB65" s="118"/>
      <c r="AC65" s="662"/>
      <c r="AD65" s="662"/>
      <c r="AE65" s="118"/>
      <c r="AF65" s="118"/>
      <c r="AG65" s="118"/>
      <c r="AH65" s="105"/>
      <c r="AI65" s="1424"/>
      <c r="AJ65" s="529"/>
      <c r="AK65" s="529"/>
      <c r="AL65" s="529"/>
      <c r="AM65" s="529"/>
      <c r="AN65" s="529"/>
      <c r="AO65" s="1422"/>
      <c r="AP65" s="529"/>
      <c r="AQ65" s="104"/>
    </row>
    <row r="66" spans="1:43">
      <c r="A66" s="4">
        <f>'Input data'!A121</f>
        <v>2021</v>
      </c>
      <c r="B66" s="4"/>
      <c r="C66" s="769">
        <f>'4A SWD Case 1'!BN91</f>
        <v>763.61522443083265</v>
      </c>
      <c r="D66" s="3">
        <f>'4B Biological treatment '!T119</f>
        <v>0.48824854369953319</v>
      </c>
      <c r="E66" s="1159">
        <f>'4B Biological treatment '!U119</f>
        <v>23.818212139852331</v>
      </c>
      <c r="F66" s="1159">
        <f>'4B Biological treatment '!W119</f>
        <v>1.4290927283911399</v>
      </c>
      <c r="G66" s="952">
        <f>'4C2 Open-burning '!R92</f>
        <v>30.396018954856537</v>
      </c>
      <c r="H66" s="952">
        <f>'4C2 Open-burning '!Z92</f>
        <v>10.227329792863893</v>
      </c>
      <c r="I66" s="952">
        <f>'4C2 Open-burning '!AH92</f>
        <v>0.14238169252964775</v>
      </c>
      <c r="J66" s="987">
        <f>'4D Wastewater treatment and dis'!AV129</f>
        <v>145.59752270040624</v>
      </c>
      <c r="K66" s="770">
        <f>'4D Wastewater treatment and dis'!AW129</f>
        <v>3.0248585614028385</v>
      </c>
      <c r="L66" s="771">
        <f t="shared" si="101"/>
        <v>16035.919713047486</v>
      </c>
      <c r="M66" s="772">
        <f t="shared" si="102"/>
        <v>10.253219417690197</v>
      </c>
      <c r="N66" s="771">
        <f t="shared" si="103"/>
        <v>943.20120073815235</v>
      </c>
      <c r="O66" s="773">
        <f t="shared" si="104"/>
        <v>289.30826928918913</v>
      </c>
      <c r="P66" s="771">
        <f t="shared" si="105"/>
        <v>3995.2541307434112</v>
      </c>
      <c r="Q66" s="519">
        <f t="shared" si="106"/>
        <v>16035.919713047486</v>
      </c>
      <c r="R66" s="521">
        <f t="shared" si="107"/>
        <v>953.45442015584251</v>
      </c>
      <c r="S66" s="518">
        <f t="shared" si="108"/>
        <v>289.30826928918913</v>
      </c>
      <c r="T66" s="519">
        <f t="shared" si="109"/>
        <v>3995.2541307434112</v>
      </c>
      <c r="U66" s="519">
        <f t="shared" si="110"/>
        <v>21273.936533235927</v>
      </c>
      <c r="X66" s="104"/>
      <c r="Y66" s="104"/>
      <c r="Z66" s="104"/>
      <c r="AA66" s="236"/>
      <c r="AB66" s="118"/>
      <c r="AC66" s="662"/>
      <c r="AD66" s="662"/>
      <c r="AE66" s="118"/>
      <c r="AF66" s="118"/>
      <c r="AG66" s="118"/>
      <c r="AH66" s="105"/>
      <c r="AI66" s="1424"/>
      <c r="AJ66" s="529"/>
      <c r="AK66" s="529"/>
      <c r="AL66" s="529"/>
      <c r="AM66" s="529"/>
      <c r="AN66" s="529"/>
      <c r="AO66" s="1422"/>
      <c r="AP66" s="529"/>
      <c r="AQ66" s="104"/>
    </row>
    <row r="67" spans="1:43">
      <c r="A67" s="4">
        <f>'Input data'!A122</f>
        <v>2022</v>
      </c>
      <c r="B67" s="4"/>
      <c r="C67" s="769">
        <f>'4A SWD Case 1'!BN92</f>
        <v>743.24173323537809</v>
      </c>
      <c r="D67" s="3">
        <f>'4B Biological treatment '!T120</f>
        <v>0.55842320665288137</v>
      </c>
      <c r="E67" s="1159">
        <f>'4B Biological treatment '!U120</f>
        <v>25.129044299379654</v>
      </c>
      <c r="F67" s="1159">
        <f>'4B Biological treatment '!W120</f>
        <v>1.5077426579627793</v>
      </c>
      <c r="G67" s="952">
        <f>'4C2 Open-burning '!R93</f>
        <v>29.615979043837584</v>
      </c>
      <c r="H67" s="952">
        <f>'4C2 Open-burning '!Z93</f>
        <v>9.9648702440185204</v>
      </c>
      <c r="I67" s="952">
        <f>'4C2 Open-burning '!AH93</f>
        <v>0.13872781262726636</v>
      </c>
      <c r="J67" s="987">
        <f>'4D Wastewater treatment and dis'!AV130</f>
        <v>148.88938056271107</v>
      </c>
      <c r="K67" s="770">
        <f>'4D Wastewater treatment and dis'!AW130</f>
        <v>3.0596873027184164</v>
      </c>
      <c r="L67" s="771">
        <f t="shared" si="101"/>
        <v>15608.076397942939</v>
      </c>
      <c r="M67" s="772">
        <f t="shared" si="102"/>
        <v>11.726887339710508</v>
      </c>
      <c r="N67" s="771">
        <f t="shared" si="103"/>
        <v>995.11015425543428</v>
      </c>
      <c r="O67" s="773">
        <f t="shared" si="104"/>
        <v>281.88387608267908</v>
      </c>
      <c r="P67" s="771">
        <f t="shared" si="105"/>
        <v>4075.1800556596418</v>
      </c>
      <c r="Q67" s="519">
        <f t="shared" si="106"/>
        <v>15608.076397942939</v>
      </c>
      <c r="R67" s="521">
        <f t="shared" si="107"/>
        <v>1006.8370415951448</v>
      </c>
      <c r="S67" s="518">
        <f t="shared" si="108"/>
        <v>281.88387608267908</v>
      </c>
      <c r="T67" s="519">
        <f t="shared" si="109"/>
        <v>4075.1800556596418</v>
      </c>
      <c r="U67" s="519">
        <f t="shared" si="110"/>
        <v>20971.977371280405</v>
      </c>
      <c r="X67" s="104"/>
      <c r="Y67" s="104"/>
      <c r="Z67" s="104"/>
      <c r="AA67" s="236"/>
      <c r="AB67" s="118"/>
      <c r="AC67" s="662"/>
      <c r="AD67" s="662"/>
      <c r="AE67" s="118"/>
      <c r="AF67" s="118"/>
      <c r="AG67" s="118"/>
      <c r="AH67" s="105"/>
      <c r="AI67" s="1424"/>
      <c r="AJ67" s="529"/>
      <c r="AK67" s="529"/>
      <c r="AL67" s="529"/>
      <c r="AM67" s="529"/>
      <c r="AN67" s="529"/>
      <c r="AO67" s="1422"/>
      <c r="AP67" s="529"/>
      <c r="AQ67" s="104"/>
    </row>
    <row r="68" spans="1:43">
      <c r="A68" s="4">
        <f>'Input data'!A123</f>
        <v>2023</v>
      </c>
      <c r="B68" s="4"/>
      <c r="C68" s="769">
        <f>'4A SWD Case 1'!BN93</f>
        <v>722.3901980602476</v>
      </c>
      <c r="D68" s="3">
        <f>'4B Biological treatment '!T121</f>
        <v>0.59166735019155625</v>
      </c>
      <c r="E68" s="1159">
        <f>'4B Biological treatment '!U121</f>
        <v>26.625030758620024</v>
      </c>
      <c r="F68" s="1159">
        <f>'4B Biological treatment '!W121</f>
        <v>1.5975018455172014</v>
      </c>
      <c r="G68" s="952">
        <f>'4C2 Open-burning '!R94</f>
        <v>28.858943665621116</v>
      </c>
      <c r="H68" s="952">
        <f>'4C2 Open-burning '!Z94</f>
        <v>9.710151016168842</v>
      </c>
      <c r="I68" s="952">
        <f>'4C2 Open-burning '!AH94</f>
        <v>0.13518169105735395</v>
      </c>
      <c r="J68" s="987">
        <f>'4D Wastewater treatment and dis'!AV131</f>
        <v>152.23774169979643</v>
      </c>
      <c r="K68" s="770">
        <f>'4D Wastewater treatment and dis'!AW131</f>
        <v>3.0949170681470224</v>
      </c>
      <c r="L68" s="771">
        <f t="shared" si="101"/>
        <v>15170.1941592652</v>
      </c>
      <c r="M68" s="772">
        <f t="shared" si="102"/>
        <v>12.425014354022681</v>
      </c>
      <c r="N68" s="771">
        <f t="shared" si="103"/>
        <v>1054.3512180413529</v>
      </c>
      <c r="O68" s="773">
        <f t="shared" si="104"/>
        <v>274.67843923294652</v>
      </c>
      <c r="P68" s="771">
        <f t="shared" si="105"/>
        <v>4156.4168668213024</v>
      </c>
      <c r="Q68" s="519">
        <f t="shared" si="106"/>
        <v>15170.1941592652</v>
      </c>
      <c r="R68" s="521">
        <f t="shared" si="107"/>
        <v>1066.7762323953757</v>
      </c>
      <c r="S68" s="518">
        <f t="shared" si="108"/>
        <v>274.67843923294652</v>
      </c>
      <c r="T68" s="519">
        <f t="shared" si="109"/>
        <v>4156.4168668213024</v>
      </c>
      <c r="U68" s="519">
        <f t="shared" si="110"/>
        <v>20668.065697714825</v>
      </c>
      <c r="X68" s="104"/>
      <c r="Y68" s="104"/>
      <c r="Z68" s="104"/>
      <c r="AA68" s="236"/>
      <c r="AB68" s="118"/>
      <c r="AC68" s="662"/>
      <c r="AD68" s="662"/>
      <c r="AE68" s="118"/>
      <c r="AF68" s="118"/>
      <c r="AG68" s="118"/>
      <c r="AH68" s="105"/>
      <c r="AI68" s="1424"/>
      <c r="AJ68" s="529"/>
      <c r="AK68" s="529"/>
      <c r="AL68" s="529"/>
      <c r="AM68" s="529"/>
      <c r="AN68" s="529"/>
      <c r="AO68" s="1422"/>
      <c r="AP68" s="529"/>
      <c r="AQ68" s="104"/>
    </row>
    <row r="69" spans="1:43">
      <c r="A69" s="4">
        <f>'Input data'!A124</f>
        <v>2024</v>
      </c>
      <c r="B69" s="4"/>
      <c r="C69" s="769">
        <f>'4A SWD Case 1'!BN94</f>
        <v>701.24516169862534</v>
      </c>
      <c r="D69" s="3">
        <f>'4B Biological treatment '!T122</f>
        <v>0.62538516199431049</v>
      </c>
      <c r="E69" s="1159">
        <f>'4B Biological treatment '!U122</f>
        <v>28.142332289743969</v>
      </c>
      <c r="F69" s="1159">
        <f>'4B Biological treatment '!W122</f>
        <v>1.6885399373846379</v>
      </c>
      <c r="G69" s="952">
        <f>'4C2 Open-burning '!R95</f>
        <v>28.124145318244857</v>
      </c>
      <c r="H69" s="952">
        <f>'4C2 Open-burning '!Z95</f>
        <v>9.462913868401909</v>
      </c>
      <c r="I69" s="952">
        <f>'4C2 Open-burning '!AH95</f>
        <v>0.13173973267054012</v>
      </c>
      <c r="J69" s="987">
        <f>'4D Wastewater treatment and dis'!AV132</f>
        <v>155.64347086664165</v>
      </c>
      <c r="K69" s="770">
        <f>'4D Wastewater treatment and dis'!AW132</f>
        <v>3.1305524751492158</v>
      </c>
      <c r="L69" s="771">
        <f t="shared" si="101"/>
        <v>14726.148395671133</v>
      </c>
      <c r="M69" s="772">
        <f t="shared" si="102"/>
        <v>13.133088401880521</v>
      </c>
      <c r="N69" s="771">
        <f t="shared" si="103"/>
        <v>1114.4363586738612</v>
      </c>
      <c r="O69" s="773">
        <f t="shared" si="104"/>
        <v>267.68465368255238</v>
      </c>
      <c r="P69" s="771">
        <f t="shared" si="105"/>
        <v>4238.9841554957311</v>
      </c>
      <c r="Q69" s="519">
        <f t="shared" si="106"/>
        <v>14726.148395671133</v>
      </c>
      <c r="R69" s="521">
        <f t="shared" si="107"/>
        <v>1127.5694470757417</v>
      </c>
      <c r="S69" s="518">
        <f t="shared" si="108"/>
        <v>267.68465368255238</v>
      </c>
      <c r="T69" s="519">
        <f t="shared" si="109"/>
        <v>4238.9841554957311</v>
      </c>
      <c r="U69" s="519">
        <f t="shared" si="110"/>
        <v>20360.386651925161</v>
      </c>
      <c r="X69" s="104"/>
      <c r="Y69" s="104"/>
      <c r="Z69" s="104"/>
      <c r="AA69" s="236"/>
      <c r="AB69" s="118"/>
      <c r="AC69" s="662"/>
      <c r="AD69" s="662"/>
      <c r="AE69" s="118"/>
      <c r="AF69" s="118"/>
      <c r="AG69" s="118"/>
      <c r="AH69" s="105"/>
      <c r="AI69" s="1424"/>
      <c r="AJ69" s="529"/>
      <c r="AK69" s="529"/>
      <c r="AL69" s="529"/>
      <c r="AM69" s="529"/>
      <c r="AN69" s="529"/>
      <c r="AO69" s="1422"/>
      <c r="AP69" s="529"/>
      <c r="AQ69" s="104"/>
    </row>
    <row r="70" spans="1:43">
      <c r="A70" s="4">
        <f>'Input data'!A125</f>
        <v>2025</v>
      </c>
      <c r="B70" s="4"/>
      <c r="C70" s="769">
        <f>'4A SWD Case 1'!BN95</f>
        <v>679.76506783175728</v>
      </c>
      <c r="D70" s="3">
        <f>'4B Biological treatment '!T123</f>
        <v>0.65912597429623498</v>
      </c>
      <c r="E70" s="1159">
        <f>'4B Biological treatment '!U123</f>
        <v>29.660668843330569</v>
      </c>
      <c r="F70" s="1159">
        <f>'4B Biological treatment '!W123</f>
        <v>1.7796401305998337</v>
      </c>
      <c r="G70" s="952">
        <f>'4C2 Open-burning '!R96</f>
        <v>27.410840899092218</v>
      </c>
      <c r="H70" s="952">
        <f>'4C2 Open-burning '!Z96</f>
        <v>9.222908769437602</v>
      </c>
      <c r="I70" s="952">
        <f>'4C2 Open-burning '!AH96</f>
        <v>0.1283984566093998</v>
      </c>
      <c r="J70" s="987">
        <f>'4D Wastewater treatment and dis'!AV133</f>
        <v>159.10744524111379</v>
      </c>
      <c r="K70" s="770">
        <f>'4D Wastewater treatment and dis'!AW133</f>
        <v>3.166598194351784</v>
      </c>
      <c r="L70" s="771">
        <f t="shared" si="101"/>
        <v>14275.066424466902</v>
      </c>
      <c r="M70" s="772">
        <f t="shared" si="102"/>
        <v>13.841645460220935</v>
      </c>
      <c r="N70" s="771">
        <f t="shared" si="103"/>
        <v>1174.5624861958904</v>
      </c>
      <c r="O70" s="773">
        <f t="shared" si="104"/>
        <v>260.89544660619578</v>
      </c>
      <c r="P70" s="771">
        <f t="shared" si="105"/>
        <v>4322.9017903124422</v>
      </c>
      <c r="Q70" s="519">
        <f t="shared" si="106"/>
        <v>14275.066424466902</v>
      </c>
      <c r="R70" s="521">
        <f t="shared" si="107"/>
        <v>1188.4041316561113</v>
      </c>
      <c r="S70" s="518">
        <f t="shared" si="108"/>
        <v>260.89544660619578</v>
      </c>
      <c r="T70" s="519">
        <f t="shared" si="109"/>
        <v>4322.9017903124422</v>
      </c>
      <c r="U70" s="519">
        <f t="shared" si="110"/>
        <v>20047.26779304165</v>
      </c>
      <c r="X70" s="104"/>
      <c r="Y70" s="104"/>
      <c r="Z70" s="104"/>
      <c r="AA70" s="236"/>
      <c r="AB70" s="118"/>
      <c r="AC70" s="662"/>
      <c r="AD70" s="662"/>
      <c r="AE70" s="118"/>
      <c r="AF70" s="118"/>
      <c r="AG70" s="118"/>
      <c r="AH70" s="105"/>
      <c r="AI70" s="1424"/>
      <c r="AJ70" s="529"/>
      <c r="AK70" s="529"/>
      <c r="AL70" s="529"/>
      <c r="AM70" s="529"/>
      <c r="AN70" s="529"/>
      <c r="AO70" s="1422"/>
      <c r="AP70" s="529"/>
      <c r="AQ70" s="104"/>
    </row>
    <row r="71" spans="1:43">
      <c r="A71" s="4">
        <f>'Input data'!A126</f>
        <v>2026</v>
      </c>
      <c r="B71" s="4"/>
      <c r="C71" s="769">
        <f>'4A SWD Case 1'!BN96</f>
        <v>658.15785427898027</v>
      </c>
      <c r="D71" s="3">
        <f>'4B Biological treatment '!T124</f>
        <v>0.69295844416410479</v>
      </c>
      <c r="E71" s="1159">
        <f>'4B Biological treatment '!U124</f>
        <v>31.18312998738471</v>
      </c>
      <c r="F71" s="1159">
        <f>'4B Biological treatment '!W124</f>
        <v>1.8709877992430826</v>
      </c>
      <c r="G71" s="952">
        <f>'4C2 Open-burning '!R97</f>
        <v>26.730615383560647</v>
      </c>
      <c r="H71" s="952">
        <f>'4C2 Open-burning '!Z97</f>
        <v>8.9940337088188294</v>
      </c>
      <c r="I71" s="952">
        <f>'4C2 Open-burning '!AH97</f>
        <v>0.12521212946744487</v>
      </c>
      <c r="J71" s="987">
        <f>'4D Wastewater treatment and dis'!AV134</f>
        <v>162.36241909655723</v>
      </c>
      <c r="K71" s="770">
        <f>'4D Wastewater treatment and dis'!AW134</f>
        <v>3.1977779387807019</v>
      </c>
      <c r="L71" s="771">
        <f t="shared" si="101"/>
        <v>13821.314939858585</v>
      </c>
      <c r="M71" s="772">
        <f t="shared" si="102"/>
        <v>14.5521273274462</v>
      </c>
      <c r="N71" s="771">
        <f t="shared" si="103"/>
        <v>1234.8519475004346</v>
      </c>
      <c r="O71" s="773">
        <f t="shared" si="104"/>
        <v>254.421083403664</v>
      </c>
      <c r="P71" s="771">
        <f t="shared" si="105"/>
        <v>4400.9219620497197</v>
      </c>
      <c r="Q71" s="519">
        <f t="shared" si="106"/>
        <v>13821.314939858585</v>
      </c>
      <c r="R71" s="521">
        <f t="shared" si="107"/>
        <v>1249.4040748278808</v>
      </c>
      <c r="S71" s="518">
        <f t="shared" si="108"/>
        <v>254.421083403664</v>
      </c>
      <c r="T71" s="519">
        <f t="shared" si="109"/>
        <v>4400.9219620497197</v>
      </c>
      <c r="U71" s="519">
        <f t="shared" si="110"/>
        <v>19726.062060139848</v>
      </c>
      <c r="X71" s="104"/>
      <c r="Y71" s="104"/>
      <c r="Z71" s="104"/>
      <c r="AA71" s="236"/>
      <c r="AB71" s="118"/>
      <c r="AC71" s="662"/>
      <c r="AD71" s="662"/>
      <c r="AE71" s="118"/>
      <c r="AF71" s="118"/>
      <c r="AG71" s="118"/>
      <c r="AH71" s="105"/>
      <c r="AI71" s="1424"/>
      <c r="AJ71" s="529"/>
      <c r="AK71" s="529"/>
      <c r="AL71" s="529"/>
      <c r="AM71" s="529"/>
      <c r="AN71" s="529"/>
      <c r="AO71" s="1422"/>
      <c r="AP71" s="529"/>
      <c r="AQ71" s="104"/>
    </row>
    <row r="72" spans="1:43">
      <c r="A72" s="4">
        <f>'Input data'!A127</f>
        <v>2027</v>
      </c>
      <c r="B72" s="4"/>
      <c r="C72" s="769">
        <f>'4A SWD Case 1'!BN97</f>
        <v>636.68097089857304</v>
      </c>
      <c r="D72" s="3">
        <f>'4B Biological treatment '!T125</f>
        <v>0.72670669088531825</v>
      </c>
      <c r="E72" s="1159">
        <f>'4B Biological treatment '!U125</f>
        <v>32.701801089839321</v>
      </c>
      <c r="F72" s="1159">
        <f>'4B Biological treatment '!W125</f>
        <v>1.9621080653903591</v>
      </c>
      <c r="G72" s="952">
        <f>'4C2 Open-burning '!R98</f>
        <v>26.072991717486669</v>
      </c>
      <c r="H72" s="952">
        <f>'4C2 Open-burning '!Z98</f>
        <v>8.7727634785784918</v>
      </c>
      <c r="I72" s="952">
        <f>'4C2 Open-burning '!AH98</f>
        <v>0.12213167439988395</v>
      </c>
      <c r="J72" s="987">
        <f>'4D Wastewater treatment and dis'!AV135</f>
        <v>165.66606694292278</v>
      </c>
      <c r="K72" s="770">
        <f>'4D Wastewater treatment and dis'!AW135</f>
        <v>3.2292646929415123</v>
      </c>
      <c r="L72" s="771">
        <f t="shared" si="101"/>
        <v>13370.300388870033</v>
      </c>
      <c r="M72" s="772">
        <f t="shared" si="102"/>
        <v>15.260840508591683</v>
      </c>
      <c r="N72" s="771">
        <f t="shared" si="103"/>
        <v>1294.991323157637</v>
      </c>
      <c r="O72" s="773">
        <f t="shared" si="104"/>
        <v>248.16184383159901</v>
      </c>
      <c r="P72" s="771">
        <f t="shared" si="105"/>
        <v>4480.0594606132472</v>
      </c>
      <c r="Q72" s="519">
        <f t="shared" si="106"/>
        <v>13370.300388870033</v>
      </c>
      <c r="R72" s="521">
        <f t="shared" si="107"/>
        <v>1310.2521636662286</v>
      </c>
      <c r="S72" s="518">
        <f t="shared" si="108"/>
        <v>248.16184383159901</v>
      </c>
      <c r="T72" s="519">
        <f t="shared" si="109"/>
        <v>4480.0594606132472</v>
      </c>
      <c r="U72" s="519">
        <f t="shared" si="110"/>
        <v>19408.773856981104</v>
      </c>
      <c r="X72" s="104"/>
      <c r="Y72" s="104"/>
      <c r="Z72" s="104"/>
      <c r="AA72" s="236"/>
      <c r="AB72" s="118"/>
      <c r="AC72" s="662"/>
      <c r="AD72" s="662"/>
      <c r="AE72" s="118"/>
      <c r="AF72" s="118"/>
      <c r="AG72" s="118"/>
      <c r="AH72" s="105"/>
      <c r="AI72" s="1424"/>
      <c r="AJ72" s="529"/>
      <c r="AK72" s="529"/>
      <c r="AL72" s="529"/>
      <c r="AM72" s="529"/>
      <c r="AN72" s="529"/>
      <c r="AO72" s="1422"/>
      <c r="AP72" s="529"/>
      <c r="AQ72" s="104"/>
    </row>
    <row r="73" spans="1:43">
      <c r="A73" s="4">
        <f>'Input data'!A128</f>
        <v>2028</v>
      </c>
      <c r="B73" s="4"/>
      <c r="C73" s="769">
        <f>'4A SWD Case 1'!BN98</f>
        <v>615.49814887149228</v>
      </c>
      <c r="D73" s="3">
        <f>'4B Biological treatment '!T126</f>
        <v>0.73033528775676571</v>
      </c>
      <c r="E73" s="1159">
        <f>'4B Biological treatment '!U126</f>
        <v>32.865087949054455</v>
      </c>
      <c r="F73" s="1159">
        <f>'4B Biological treatment '!W126</f>
        <v>1.971905276943267</v>
      </c>
      <c r="G73" s="952">
        <f>'4C2 Open-burning '!R99</f>
        <v>24.643242655537975</v>
      </c>
      <c r="H73" s="952">
        <f>'4C2 Open-burning '!Z99</f>
        <v>8.2916966915329837</v>
      </c>
      <c r="I73" s="952">
        <f>'4C2 Open-burning '!AH99</f>
        <v>0.115434412773772</v>
      </c>
      <c r="J73" s="987">
        <f>'4D Wastewater treatment and dis'!AV136</f>
        <v>169.01903173407416</v>
      </c>
      <c r="K73" s="770">
        <f>'4D Wastewater treatment and dis'!AW136</f>
        <v>3.2610614797895683</v>
      </c>
      <c r="L73" s="771">
        <f t="shared" si="101"/>
        <v>12925.461126301338</v>
      </c>
      <c r="M73" s="772">
        <f t="shared" si="102"/>
        <v>15.33704104289208</v>
      </c>
      <c r="N73" s="771">
        <f t="shared" si="103"/>
        <v>1301.4574827825563</v>
      </c>
      <c r="O73" s="773">
        <f t="shared" si="104"/>
        <v>234.55354113759998</v>
      </c>
      <c r="P73" s="771">
        <f t="shared" si="105"/>
        <v>4560.3287251503234</v>
      </c>
      <c r="Q73" s="519">
        <f t="shared" si="106"/>
        <v>12925.461126301338</v>
      </c>
      <c r="R73" s="521">
        <f t="shared" si="107"/>
        <v>1316.7945238254483</v>
      </c>
      <c r="S73" s="518">
        <f t="shared" si="108"/>
        <v>234.55354113759998</v>
      </c>
      <c r="T73" s="519">
        <f t="shared" si="109"/>
        <v>4560.3287251503234</v>
      </c>
      <c r="U73" s="519">
        <f t="shared" si="110"/>
        <v>19037.137916414711</v>
      </c>
      <c r="X73" s="104"/>
      <c r="Y73" s="104"/>
      <c r="Z73" s="104"/>
      <c r="AA73" s="236"/>
      <c r="AB73" s="118"/>
      <c r="AC73" s="662"/>
      <c r="AD73" s="662"/>
      <c r="AE73" s="118"/>
      <c r="AF73" s="118"/>
      <c r="AG73" s="118"/>
      <c r="AH73" s="105"/>
      <c r="AI73" s="1424"/>
      <c r="AJ73" s="529"/>
      <c r="AK73" s="529"/>
      <c r="AL73" s="529"/>
      <c r="AM73" s="529"/>
      <c r="AN73" s="529"/>
      <c r="AO73" s="1422"/>
      <c r="AP73" s="529"/>
      <c r="AQ73" s="104"/>
    </row>
    <row r="74" spans="1:43">
      <c r="A74" s="4">
        <f>'Input data'!A129</f>
        <v>2029</v>
      </c>
      <c r="B74" s="4"/>
      <c r="C74" s="769">
        <f>'4A SWD Case 1'!BN99</f>
        <v>594.8882232228932</v>
      </c>
      <c r="D74" s="3">
        <f>'4B Biological treatment '!T127</f>
        <v>0.73380793744347517</v>
      </c>
      <c r="E74" s="1159">
        <f>'4B Biological treatment '!U127</f>
        <v>33.021357184956379</v>
      </c>
      <c r="F74" s="1159">
        <f>'4B Biological treatment '!W127</f>
        <v>1.9812814310973828</v>
      </c>
      <c r="G74" s="952">
        <f>'4C2 Open-burning '!R100</f>
        <v>23.292811814782528</v>
      </c>
      <c r="H74" s="952">
        <f>'4C2 Open-burning '!Z100</f>
        <v>7.837318057562114</v>
      </c>
      <c r="I74" s="952">
        <f>'4C2 Open-burning '!AH100</f>
        <v>0.10910869528305192</v>
      </c>
      <c r="J74" s="987">
        <f>'4D Wastewater treatment and dis'!AV137</f>
        <v>172.42196436643172</v>
      </c>
      <c r="K74" s="770">
        <f>'4D Wastewater treatment and dis'!AW137</f>
        <v>3.2931713520456056</v>
      </c>
      <c r="L74" s="771">
        <f t="shared" si="101"/>
        <v>12492.652687680757</v>
      </c>
      <c r="M74" s="772">
        <f t="shared" si="102"/>
        <v>15.409966686312979</v>
      </c>
      <c r="N74" s="771">
        <f t="shared" si="103"/>
        <v>1307.6457445242727</v>
      </c>
      <c r="O74" s="773">
        <f t="shared" si="104"/>
        <v>221.70018656133303</v>
      </c>
      <c r="P74" s="771">
        <f t="shared" si="105"/>
        <v>4641.7443708292039</v>
      </c>
      <c r="Q74" s="519">
        <f t="shared" si="106"/>
        <v>12492.652687680757</v>
      </c>
      <c r="R74" s="521">
        <f t="shared" si="107"/>
        <v>1323.0557112105857</v>
      </c>
      <c r="S74" s="518">
        <f t="shared" si="108"/>
        <v>221.70018656133303</v>
      </c>
      <c r="T74" s="519">
        <f t="shared" si="109"/>
        <v>4641.7443708292039</v>
      </c>
      <c r="U74" s="519">
        <f t="shared" si="110"/>
        <v>18679.15295628188</v>
      </c>
      <c r="X74" s="104"/>
      <c r="Y74" s="104"/>
      <c r="Z74" s="104"/>
      <c r="AA74" s="236"/>
      <c r="AB74" s="118"/>
      <c r="AC74" s="662"/>
      <c r="AD74" s="662"/>
      <c r="AE74" s="118"/>
      <c r="AF74" s="118"/>
      <c r="AG74" s="118"/>
      <c r="AH74" s="105"/>
      <c r="AI74" s="1424"/>
      <c r="AJ74" s="529"/>
      <c r="AK74" s="529"/>
      <c r="AL74" s="529"/>
      <c r="AM74" s="529"/>
      <c r="AN74" s="529"/>
      <c r="AO74" s="1422"/>
      <c r="AP74" s="529"/>
      <c r="AQ74" s="104"/>
    </row>
    <row r="75" spans="1:43">
      <c r="A75" s="4">
        <f>'Input data'!A130</f>
        <v>2030</v>
      </c>
      <c r="B75" s="4"/>
      <c r="C75" s="769">
        <f>'4A SWD Case 1'!BN100</f>
        <v>574.99072175273989</v>
      </c>
      <c r="D75" s="3">
        <f>'4B Biological treatment '!T128</f>
        <v>0.73738513770084768</v>
      </c>
      <c r="E75" s="1159">
        <f>'4B Biological treatment '!U128</f>
        <v>33.182331196538144</v>
      </c>
      <c r="F75" s="1159">
        <f>'4B Biological treatment '!W128</f>
        <v>1.9909398717922886</v>
      </c>
      <c r="G75" s="952">
        <f>'4C2 Open-burning '!R101</f>
        <v>22.017235682209698</v>
      </c>
      <c r="H75" s="952">
        <f>'4C2 Open-burning '!Z101</f>
        <v>7.4081257411899131</v>
      </c>
      <c r="I75" s="952">
        <f>'4C2 Open-burning '!AH101</f>
        <v>0.10313361384308185</v>
      </c>
      <c r="J75" s="987">
        <f>'4D Wastewater treatment and dis'!AV138</f>
        <v>175.87552377304826</v>
      </c>
      <c r="K75" s="770">
        <f>'4D Wastewater treatment and dis'!AW138</f>
        <v>3.3255973924888065</v>
      </c>
      <c r="L75" s="771">
        <f t="shared" si="101"/>
        <v>12074.805156807537</v>
      </c>
      <c r="M75" s="772">
        <f t="shared" si="102"/>
        <v>15.485087891717802</v>
      </c>
      <c r="N75" s="771">
        <f t="shared" si="103"/>
        <v>1314.0203153829104</v>
      </c>
      <c r="O75" s="773">
        <f t="shared" si="104"/>
        <v>209.55929653855324</v>
      </c>
      <c r="P75" s="771">
        <f t="shared" si="105"/>
        <v>4724.3211909055435</v>
      </c>
      <c r="Q75" s="519">
        <f t="shared" si="106"/>
        <v>12074.805156807537</v>
      </c>
      <c r="R75" s="521">
        <f t="shared" si="107"/>
        <v>1329.5054032746282</v>
      </c>
      <c r="S75" s="518">
        <f t="shared" si="108"/>
        <v>209.55929653855324</v>
      </c>
      <c r="T75" s="519">
        <f t="shared" si="109"/>
        <v>4724.3211909055435</v>
      </c>
      <c r="U75" s="519">
        <f t="shared" si="110"/>
        <v>18338.191047526263</v>
      </c>
      <c r="X75" s="104"/>
      <c r="Y75" s="104"/>
      <c r="Z75" s="104"/>
      <c r="AA75" s="236"/>
      <c r="AB75" s="118"/>
      <c r="AC75" s="662"/>
      <c r="AD75" s="662"/>
      <c r="AE75" s="118"/>
      <c r="AF75" s="118"/>
      <c r="AG75" s="118"/>
      <c r="AH75" s="105"/>
      <c r="AI75" s="1424"/>
      <c r="AJ75" s="529"/>
      <c r="AK75" s="529"/>
      <c r="AL75" s="529"/>
      <c r="AM75" s="529"/>
      <c r="AN75" s="529"/>
      <c r="AO75" s="1422"/>
      <c r="AP75" s="529"/>
      <c r="AQ75" s="104"/>
    </row>
    <row r="76" spans="1:43">
      <c r="A76" s="4">
        <f>'Input data'!A131</f>
        <v>2031</v>
      </c>
      <c r="B76" s="4"/>
      <c r="C76" s="769">
        <f>'4A SWD Case 1'!BN101</f>
        <v>555.75917049772295</v>
      </c>
      <c r="D76" s="3">
        <f>'4B Biological treatment '!T129</f>
        <v>0.74158327645395927</v>
      </c>
      <c r="E76" s="1159">
        <f>'4B Biological treatment '!U129</f>
        <v>33.371247440428164</v>
      </c>
      <c r="F76" s="1159">
        <f>'4B Biological treatment '!W129</f>
        <v>2.0022748464256899</v>
      </c>
      <c r="G76" s="952">
        <f>'4C2 Open-burning '!R102</f>
        <v>20.920945264930513</v>
      </c>
      <c r="H76" s="952">
        <f>'4C2 Open-burning '!Z102</f>
        <v>7.0392575791150502</v>
      </c>
      <c r="I76" s="952">
        <f>'4C2 Open-burning '!AH102</f>
        <v>9.7998346446780099E-2</v>
      </c>
      <c r="J76" s="987">
        <f>'4D Wastewater treatment and dis'!AV139</f>
        <v>179.14729338241924</v>
      </c>
      <c r="K76" s="770">
        <f>'4D Wastewater treatment and dis'!AW139</f>
        <v>3.3539789441183268</v>
      </c>
      <c r="L76" s="771">
        <f t="shared" si="101"/>
        <v>11670.942580452182</v>
      </c>
      <c r="M76" s="772">
        <f t="shared" si="102"/>
        <v>15.573248805533146</v>
      </c>
      <c r="N76" s="771">
        <f t="shared" si="103"/>
        <v>1321.5013986409554</v>
      </c>
      <c r="O76" s="773">
        <f t="shared" si="104"/>
        <v>199.12484182484837</v>
      </c>
      <c r="P76" s="771">
        <f t="shared" si="105"/>
        <v>4801.8266337074856</v>
      </c>
      <c r="Q76" s="519">
        <f t="shared" si="106"/>
        <v>11670.942580452182</v>
      </c>
      <c r="R76" s="521">
        <f t="shared" si="107"/>
        <v>1337.0746474464886</v>
      </c>
      <c r="S76" s="518">
        <f t="shared" si="108"/>
        <v>199.12484182484837</v>
      </c>
      <c r="T76" s="519">
        <f t="shared" si="109"/>
        <v>4801.8266337074856</v>
      </c>
      <c r="U76" s="519">
        <f t="shared" si="110"/>
        <v>18008.968703431005</v>
      </c>
      <c r="X76" s="104"/>
      <c r="Y76" s="104"/>
      <c r="Z76" s="104"/>
      <c r="AA76" s="236"/>
      <c r="AB76" s="118"/>
      <c r="AC76" s="662"/>
      <c r="AD76" s="662"/>
      <c r="AE76" s="118"/>
      <c r="AF76" s="118"/>
      <c r="AG76" s="118"/>
      <c r="AH76" s="105"/>
      <c r="AI76" s="1424"/>
      <c r="AJ76" s="1405"/>
      <c r="AK76" s="529"/>
      <c r="AL76" s="529"/>
      <c r="AM76" s="529"/>
      <c r="AN76" s="529"/>
      <c r="AO76" s="1422"/>
      <c r="AP76" s="529"/>
      <c r="AQ76" s="104"/>
    </row>
    <row r="77" spans="1:43">
      <c r="A77" s="4">
        <f>'Input data'!A132</f>
        <v>2032</v>
      </c>
      <c r="B77" s="4"/>
      <c r="C77" s="769">
        <f>'4A SWD Case 1'!BN102</f>
        <v>537.15505278742762</v>
      </c>
      <c r="D77" s="3">
        <f>'4B Biological treatment '!T130</f>
        <v>0.74609681018687468</v>
      </c>
      <c r="E77" s="1159">
        <f>'4B Biological treatment '!U130</f>
        <v>33.574356458409355</v>
      </c>
      <c r="F77" s="1159">
        <f>'4B Biological treatment '!W130</f>
        <v>2.0144613875045616</v>
      </c>
      <c r="G77" s="952">
        <f>'4C2 Open-burning '!R103</f>
        <v>19.830700584208724</v>
      </c>
      <c r="H77" s="952">
        <f>'4C2 Open-burning '!Z103</f>
        <v>6.6724236222992763</v>
      </c>
      <c r="I77" s="952">
        <f>'4C2 Open-burning '!AH103</f>
        <v>9.2891398621041524E-2</v>
      </c>
      <c r="J77" s="987">
        <f>'4D Wastewater treatment and dis'!AV140</f>
        <v>182.4620976517032</v>
      </c>
      <c r="K77" s="770">
        <f>'4D Wastewater treatment and dis'!AW140</f>
        <v>3.3826027116200144</v>
      </c>
      <c r="L77" s="771">
        <f t="shared" si="101"/>
        <v>11280.256108535979</v>
      </c>
      <c r="M77" s="772">
        <f t="shared" si="102"/>
        <v>15.668033013924369</v>
      </c>
      <c r="N77" s="771">
        <f t="shared" si="103"/>
        <v>1329.5445157530105</v>
      </c>
      <c r="O77" s="773">
        <f t="shared" si="104"/>
        <v>188.7479302250164</v>
      </c>
      <c r="P77" s="771">
        <f t="shared" si="105"/>
        <v>4880.3108912879725</v>
      </c>
      <c r="Q77" s="519">
        <f t="shared" si="106"/>
        <v>11280.256108535979</v>
      </c>
      <c r="R77" s="521">
        <f t="shared" si="107"/>
        <v>1345.2125487669348</v>
      </c>
      <c r="S77" s="518">
        <f t="shared" si="108"/>
        <v>188.7479302250164</v>
      </c>
      <c r="T77" s="519">
        <f t="shared" si="109"/>
        <v>4880.3108912879725</v>
      </c>
      <c r="U77" s="519">
        <f t="shared" si="110"/>
        <v>17694.5274788159</v>
      </c>
      <c r="X77" s="104"/>
      <c r="Y77" s="104"/>
      <c r="Z77" s="104"/>
      <c r="AA77" s="236"/>
      <c r="AB77" s="118"/>
      <c r="AC77" s="662"/>
      <c r="AD77" s="662"/>
      <c r="AE77" s="118"/>
      <c r="AF77" s="118"/>
      <c r="AG77" s="118"/>
      <c r="AH77" s="105"/>
      <c r="AI77" s="1424"/>
      <c r="AJ77" s="1405"/>
      <c r="AK77" s="529"/>
      <c r="AL77" s="529"/>
      <c r="AM77" s="529"/>
      <c r="AN77" s="529"/>
      <c r="AO77" s="1422"/>
      <c r="AP77" s="529"/>
      <c r="AQ77" s="104"/>
    </row>
    <row r="78" spans="1:43">
      <c r="A78" s="4">
        <f>'Input data'!A133</f>
        <v>2033</v>
      </c>
      <c r="B78" s="4"/>
      <c r="C78" s="769">
        <f>'4A SWD Case 1'!BN103</f>
        <v>519.00750805795121</v>
      </c>
      <c r="D78" s="3">
        <f>'4B Biological treatment '!T131</f>
        <v>0.75076293281486894</v>
      </c>
      <c r="E78" s="1159">
        <f>'4B Biological treatment '!U131</f>
        <v>33.784331976669094</v>
      </c>
      <c r="F78" s="1159">
        <f>'4B Biological treatment '!W131</f>
        <v>2.0270599186001457</v>
      </c>
      <c r="G78" s="952">
        <f>'4C2 Open-burning '!R104</f>
        <v>18.746381549056849</v>
      </c>
      <c r="H78" s="952">
        <f>'4C2 Open-burning '!Z104</f>
        <v>6.3075834638019295</v>
      </c>
      <c r="I78" s="952">
        <f>'4C2 Open-burning '!AH104</f>
        <v>8.7812207833052797E-2</v>
      </c>
      <c r="J78" s="987">
        <f>'4D Wastewater treatment and dis'!AV141</f>
        <v>185.8204328244677</v>
      </c>
      <c r="K78" s="770">
        <f>'4D Wastewater treatment and dis'!AW141</f>
        <v>3.4114707621299263</v>
      </c>
      <c r="L78" s="771">
        <f t="shared" si="101"/>
        <v>10899.157669216975</v>
      </c>
      <c r="M78" s="772">
        <f t="shared" si="102"/>
        <v>15.766021589112247</v>
      </c>
      <c r="N78" s="771">
        <f t="shared" si="103"/>
        <v>1337.8595462760961</v>
      </c>
      <c r="O78" s="773">
        <f t="shared" si="104"/>
        <v>178.42741871714372</v>
      </c>
      <c r="P78" s="771">
        <f t="shared" si="105"/>
        <v>4959.7850255740987</v>
      </c>
      <c r="Q78" s="519">
        <f t="shared" si="106"/>
        <v>10899.157669216975</v>
      </c>
      <c r="R78" s="521">
        <f t="shared" si="107"/>
        <v>1353.6255678652083</v>
      </c>
      <c r="S78" s="518">
        <f t="shared" si="108"/>
        <v>178.42741871714372</v>
      </c>
      <c r="T78" s="519">
        <f t="shared" si="109"/>
        <v>4959.7850255740987</v>
      </c>
      <c r="U78" s="519">
        <f t="shared" si="110"/>
        <v>17390.995681373424</v>
      </c>
      <c r="X78" s="104"/>
      <c r="Y78" s="104"/>
      <c r="Z78" s="104"/>
      <c r="AA78" s="236"/>
      <c r="AB78" s="118"/>
      <c r="AC78" s="662"/>
      <c r="AD78" s="662"/>
      <c r="AE78" s="118"/>
      <c r="AF78" s="118"/>
      <c r="AG78" s="118"/>
      <c r="AH78" s="105"/>
      <c r="AI78" s="1424"/>
      <c r="AJ78" s="1405"/>
      <c r="AK78" s="529"/>
      <c r="AL78" s="529"/>
      <c r="AM78" s="529"/>
      <c r="AN78" s="529"/>
      <c r="AO78" s="1422"/>
      <c r="AP78" s="529"/>
      <c r="AQ78" s="104"/>
    </row>
    <row r="79" spans="1:43">
      <c r="A79" s="4">
        <f>'Input data'!A134</f>
        <v>2034</v>
      </c>
      <c r="B79" s="4"/>
      <c r="C79" s="769">
        <f>'4A SWD Case 1'!BN104</f>
        <v>501.40038022094853</v>
      </c>
      <c r="D79" s="3">
        <f>'4B Biological treatment '!T132</f>
        <v>0.75181112463015531</v>
      </c>
      <c r="E79" s="1159">
        <f>'4B Biological treatment '!U132</f>
        <v>33.83150060835699</v>
      </c>
      <c r="F79" s="1159">
        <f>'4B Biological treatment '!W132</f>
        <v>2.0298900365014192</v>
      </c>
      <c r="G79" s="952">
        <f>'4C2 Open-burning '!R105</f>
        <v>17.667870858558523</v>
      </c>
      <c r="H79" s="952">
        <f>'4C2 Open-burning '!Z105</f>
        <v>5.9446976354558663</v>
      </c>
      <c r="I79" s="952">
        <f>'4C2 Open-burning '!AH105</f>
        <v>8.2760224619312345E-2</v>
      </c>
      <c r="J79" s="987">
        <f>'4D Wastewater treatment and dis'!AV142</f>
        <v>189.22280048005791</v>
      </c>
      <c r="K79" s="770">
        <f>'4D Wastewater treatment and dis'!AW142</f>
        <v>3.4405851804256198</v>
      </c>
      <c r="L79" s="771">
        <f t="shared" si="101"/>
        <v>10529.40798463992</v>
      </c>
      <c r="M79" s="772">
        <f t="shared" si="102"/>
        <v>15.788033617233262</v>
      </c>
      <c r="N79" s="771">
        <f t="shared" si="103"/>
        <v>1339.7274240909367</v>
      </c>
      <c r="O79" s="773">
        <f t="shared" si="104"/>
        <v>168.16219083511854</v>
      </c>
      <c r="P79" s="771">
        <f t="shared" si="105"/>
        <v>5040.2602160131582</v>
      </c>
      <c r="Q79" s="519">
        <f t="shared" si="106"/>
        <v>10529.40798463992</v>
      </c>
      <c r="R79" s="521">
        <f t="shared" si="107"/>
        <v>1355.5154577081698</v>
      </c>
      <c r="S79" s="518">
        <f t="shared" si="108"/>
        <v>168.16219083511854</v>
      </c>
      <c r="T79" s="519">
        <f t="shared" si="109"/>
        <v>5040.2602160131582</v>
      </c>
      <c r="U79" s="519">
        <f t="shared" si="110"/>
        <v>17093.345849196368</v>
      </c>
      <c r="X79" s="104"/>
      <c r="Y79" s="104"/>
      <c r="Z79" s="104"/>
      <c r="AA79" s="236"/>
      <c r="AB79" s="118"/>
      <c r="AC79" s="662"/>
      <c r="AD79" s="662"/>
      <c r="AE79" s="118"/>
      <c r="AF79" s="118"/>
      <c r="AG79" s="118"/>
      <c r="AH79" s="105"/>
      <c r="AI79" s="1424"/>
      <c r="AJ79" s="1405"/>
      <c r="AK79" s="529"/>
      <c r="AL79" s="529"/>
      <c r="AM79" s="529"/>
      <c r="AN79" s="529"/>
      <c r="AO79" s="1422"/>
      <c r="AP79" s="529"/>
      <c r="AQ79" s="104"/>
    </row>
    <row r="80" spans="1:43">
      <c r="A80" s="4">
        <f>'Input data'!A135</f>
        <v>2035</v>
      </c>
      <c r="B80" s="4"/>
      <c r="C80" s="769">
        <f>'4A SWD Case 1'!BN105</f>
        <v>484.33088692738664</v>
      </c>
      <c r="D80" s="3">
        <f>'4B Biological treatment '!T133</f>
        <v>0.5751661972491664</v>
      </c>
      <c r="E80" s="1159">
        <f>'4B Biological treatment '!U133</f>
        <v>25.882478876212485</v>
      </c>
      <c r="F80" s="1159">
        <f>'4B Biological treatment '!W133</f>
        <v>1.5529487325727491</v>
      </c>
      <c r="G80" s="952">
        <f>'4C2 Open-burning '!R106</f>
        <v>16.595053922921537</v>
      </c>
      <c r="H80" s="952">
        <f>'4C2 Open-burning '!Z106</f>
        <v>5.5837275813042186</v>
      </c>
      <c r="I80" s="952">
        <f>'4C2 Open-burning '!AH106</f>
        <v>7.773491221582543E-2</v>
      </c>
      <c r="J80" s="987">
        <f>'4D Wastewater treatment and dis'!AV143</f>
        <v>192.66970758852685</v>
      </c>
      <c r="K80" s="770">
        <f>'4D Wastewater treatment and dis'!AW143</f>
        <v>3.4699480690767106</v>
      </c>
      <c r="L80" s="771">
        <f t="shared" si="101"/>
        <v>10170.948625475119</v>
      </c>
      <c r="M80" s="772">
        <f t="shared" si="102"/>
        <v>12.078490142232495</v>
      </c>
      <c r="N80" s="771">
        <f t="shared" si="103"/>
        <v>1024.9461634980144</v>
      </c>
      <c r="O80" s="773">
        <f t="shared" si="104"/>
        <v>157.95115591721603</v>
      </c>
      <c r="P80" s="771">
        <f t="shared" si="105"/>
        <v>5121.7477607728442</v>
      </c>
      <c r="Q80" s="519">
        <f t="shared" si="106"/>
        <v>10170.948625475119</v>
      </c>
      <c r="R80" s="521">
        <f t="shared" si="107"/>
        <v>1037.0246536402469</v>
      </c>
      <c r="S80" s="518">
        <f t="shared" si="108"/>
        <v>157.95115591721603</v>
      </c>
      <c r="T80" s="519">
        <f t="shared" si="109"/>
        <v>5121.7477607728442</v>
      </c>
      <c r="U80" s="519">
        <f t="shared" si="110"/>
        <v>16487.672195805426</v>
      </c>
      <c r="X80" s="104"/>
      <c r="Y80" s="104"/>
      <c r="Z80" s="104"/>
      <c r="AA80" s="236"/>
      <c r="AB80" s="118"/>
      <c r="AC80" s="662"/>
      <c r="AD80" s="662"/>
      <c r="AE80" s="118"/>
      <c r="AF80" s="118"/>
      <c r="AG80" s="118"/>
      <c r="AH80" s="105"/>
      <c r="AI80" s="1424"/>
      <c r="AJ80" s="1405"/>
      <c r="AK80" s="529"/>
      <c r="AL80" s="529"/>
      <c r="AM80" s="529"/>
      <c r="AN80" s="529"/>
      <c r="AO80" s="1422"/>
      <c r="AP80" s="529"/>
      <c r="AQ80" s="104"/>
    </row>
    <row r="81" spans="1:43">
      <c r="A81" s="4">
        <f>'Input data'!A136</f>
        <v>2036</v>
      </c>
      <c r="B81" s="4"/>
      <c r="C81" s="769">
        <f>'4A SWD Case 1'!BN106</f>
        <v>464.26953693737636</v>
      </c>
      <c r="D81" s="3">
        <f>'4B Biological treatment '!T134</f>
        <v>0.5751661972491664</v>
      </c>
      <c r="E81" s="1159">
        <f>'4B Biological treatment '!U134</f>
        <v>25.882478876212485</v>
      </c>
      <c r="F81" s="1159">
        <f>'4B Biological treatment '!W134</f>
        <v>1.5529487325727491</v>
      </c>
      <c r="G81" s="952">
        <f>'4C2 Open-burning '!R107</f>
        <v>15.533146621710603</v>
      </c>
      <c r="H81" s="952">
        <f>'4C2 Open-burning '!Z107</f>
        <v>5.2264282851344142</v>
      </c>
      <c r="I81" s="952">
        <f>'4C2 Open-burning '!AH107</f>
        <v>7.2760702958996254E-2</v>
      </c>
      <c r="J81" s="987">
        <f>'4D Wastewater treatment and dis'!AV144</f>
        <v>195.92571354716031</v>
      </c>
      <c r="K81" s="770">
        <f>'4D Wastewater treatment and dis'!AW144</f>
        <v>3.4953521017314642</v>
      </c>
      <c r="L81" s="771">
        <f t="shared" si="101"/>
        <v>9749.6602756849043</v>
      </c>
      <c r="M81" s="772">
        <f t="shared" si="102"/>
        <v>12.078490142232495</v>
      </c>
      <c r="N81" s="771">
        <f t="shared" si="103"/>
        <v>1024.9461634980144</v>
      </c>
      <c r="O81" s="773">
        <f t="shared" si="104"/>
        <v>147.84395852682215</v>
      </c>
      <c r="P81" s="771">
        <f t="shared" si="105"/>
        <v>5197.9991360271206</v>
      </c>
      <c r="Q81" s="519">
        <f t="shared" si="106"/>
        <v>9749.6602756849043</v>
      </c>
      <c r="R81" s="521">
        <f t="shared" si="107"/>
        <v>1037.0246536402469</v>
      </c>
      <c r="S81" s="518">
        <f t="shared" si="108"/>
        <v>147.84395852682215</v>
      </c>
      <c r="T81" s="519">
        <f t="shared" si="109"/>
        <v>5197.9991360271206</v>
      </c>
      <c r="U81" s="519">
        <f t="shared" si="110"/>
        <v>16132.528023879095</v>
      </c>
      <c r="X81" s="104"/>
      <c r="Y81" s="1402"/>
      <c r="Z81" s="1402"/>
      <c r="AA81" s="1400"/>
      <c r="AB81" s="1406"/>
      <c r="AC81" s="1403"/>
      <c r="AD81" s="1403"/>
      <c r="AE81" s="1143"/>
      <c r="AF81" s="1143"/>
      <c r="AG81" s="1143"/>
      <c r="AH81" s="1404"/>
      <c r="AI81" s="1423"/>
      <c r="AJ81" s="529"/>
      <c r="AK81" s="529"/>
      <c r="AL81" s="529"/>
      <c r="AM81" s="529"/>
      <c r="AN81" s="529"/>
      <c r="AO81" s="1422"/>
      <c r="AP81" s="529"/>
      <c r="AQ81" s="104"/>
    </row>
    <row r="82" spans="1:43">
      <c r="A82" s="4">
        <f>'Input data'!A137</f>
        <v>2037</v>
      </c>
      <c r="B82" s="4"/>
      <c r="C82" s="769">
        <f>'4A SWD Case 1'!BN107</f>
        <v>448.34468074314969</v>
      </c>
      <c r="D82" s="3">
        <f>'4B Biological treatment '!T135</f>
        <v>0.5751661972491664</v>
      </c>
      <c r="E82" s="1159">
        <f>'4B Biological treatment '!U135</f>
        <v>25.882478876212485</v>
      </c>
      <c r="F82" s="1159">
        <f>'4B Biological treatment '!W135</f>
        <v>1.5529487325727491</v>
      </c>
      <c r="G82" s="952">
        <f>'4C2 Open-burning '!R108</f>
        <v>15.156233291943034</v>
      </c>
      <c r="H82" s="952">
        <f>'4C2 Open-burning '!Z108</f>
        <v>5.0996084890096478</v>
      </c>
      <c r="I82" s="952">
        <f>'4C2 Open-burning '!AH108</f>
        <v>7.0995157348928195E-2</v>
      </c>
      <c r="J82" s="987">
        <f>'4D Wastewater treatment and dis'!AV145</f>
        <v>199.21906799623179</v>
      </c>
      <c r="K82" s="770">
        <f>'4D Wastewater treatment and dis'!AW145</f>
        <v>3.5209421212835057</v>
      </c>
      <c r="L82" s="771">
        <f t="shared" si="101"/>
        <v>9415.2382956061429</v>
      </c>
      <c r="M82" s="772">
        <f t="shared" si="102"/>
        <v>12.078490142232495</v>
      </c>
      <c r="N82" s="771">
        <f t="shared" si="103"/>
        <v>1024.9461634980144</v>
      </c>
      <c r="O82" s="773">
        <f t="shared" si="104"/>
        <v>144.25651033931339</v>
      </c>
      <c r="P82" s="771">
        <f t="shared" si="105"/>
        <v>5275.0924855187541</v>
      </c>
      <c r="Q82" s="519">
        <f t="shared" si="106"/>
        <v>9415.2382956061429</v>
      </c>
      <c r="R82" s="521">
        <f t="shared" si="107"/>
        <v>1037.0246536402469</v>
      </c>
      <c r="S82" s="518">
        <f t="shared" si="108"/>
        <v>144.25651033931339</v>
      </c>
      <c r="T82" s="519">
        <f t="shared" si="109"/>
        <v>5275.0924855187541</v>
      </c>
      <c r="U82" s="519">
        <f t="shared" si="110"/>
        <v>15871.611945104458</v>
      </c>
      <c r="X82" s="104"/>
      <c r="Y82" s="104"/>
      <c r="Z82" s="104"/>
      <c r="AA82" s="104"/>
      <c r="AB82" s="104"/>
      <c r="AC82" s="104"/>
      <c r="AD82" s="104"/>
      <c r="AE82" s="104"/>
      <c r="AF82" s="104"/>
      <c r="AG82" s="104"/>
      <c r="AH82" s="104"/>
      <c r="AI82" s="131"/>
      <c r="AJ82" s="104"/>
      <c r="AK82" s="104"/>
      <c r="AL82" s="104"/>
      <c r="AM82" s="104"/>
      <c r="AN82" s="104"/>
      <c r="AO82" s="169"/>
      <c r="AP82" s="104"/>
      <c r="AQ82" s="104"/>
    </row>
    <row r="83" spans="1:43">
      <c r="A83" s="4">
        <f>'Input data'!A138</f>
        <v>2038</v>
      </c>
      <c r="B83" s="4"/>
      <c r="C83" s="769">
        <f>'4A SWD Case 1'!BN108</f>
        <v>433.12215980692935</v>
      </c>
      <c r="D83" s="3">
        <f>'4B Biological treatment '!T136</f>
        <v>0.5751661972491664</v>
      </c>
      <c r="E83" s="1159">
        <f>'4B Biological treatment '!U136</f>
        <v>25.882478876212485</v>
      </c>
      <c r="F83" s="1159">
        <f>'4B Biological treatment '!W136</f>
        <v>1.5529487325727491</v>
      </c>
      <c r="G83" s="952">
        <f>'4C2 Open-burning '!R109</f>
        <v>14.476946652655759</v>
      </c>
      <c r="H83" s="952">
        <f>'4C2 Open-burning '!Z109</f>
        <v>4.8710493315030332</v>
      </c>
      <c r="I83" s="952">
        <f>'4C2 Open-burning '!AH109</f>
        <v>6.7813228111479648E-2</v>
      </c>
      <c r="J83" s="987">
        <f>'4D Wastewater treatment and dis'!AV146</f>
        <v>202.55014328428078</v>
      </c>
      <c r="K83" s="770">
        <f>'4D Wastewater treatment and dis'!AW146</f>
        <v>3.5467194893720086</v>
      </c>
      <c r="L83" s="771">
        <f t="shared" si="101"/>
        <v>9095.5653559455168</v>
      </c>
      <c r="M83" s="772">
        <f t="shared" si="102"/>
        <v>12.078490142232495</v>
      </c>
      <c r="N83" s="771">
        <f t="shared" si="103"/>
        <v>1024.9461634980144</v>
      </c>
      <c r="O83" s="773">
        <f t="shared" si="104"/>
        <v>137.79108332877814</v>
      </c>
      <c r="P83" s="771">
        <f t="shared" si="105"/>
        <v>5353.0360506752186</v>
      </c>
      <c r="Q83" s="519">
        <f t="shared" si="106"/>
        <v>9095.5653559455168</v>
      </c>
      <c r="R83" s="521">
        <f t="shared" si="107"/>
        <v>1037.0246536402469</v>
      </c>
      <c r="S83" s="518">
        <f t="shared" si="108"/>
        <v>137.79108332877814</v>
      </c>
      <c r="T83" s="519">
        <f t="shared" si="109"/>
        <v>5353.0360506752186</v>
      </c>
      <c r="U83" s="519">
        <f t="shared" si="110"/>
        <v>15623.417143589761</v>
      </c>
      <c r="X83" s="104"/>
      <c r="Y83" s="104"/>
      <c r="Z83" s="104"/>
      <c r="AA83" s="104"/>
      <c r="AB83" s="104"/>
      <c r="AC83" s="104"/>
      <c r="AD83" s="104"/>
      <c r="AE83" s="104"/>
      <c r="AF83" s="104"/>
      <c r="AG83" s="104"/>
      <c r="AH83" s="104"/>
      <c r="AI83" s="131"/>
      <c r="AJ83" s="104"/>
      <c r="AK83" s="104"/>
      <c r="AL83" s="104"/>
      <c r="AM83" s="104"/>
      <c r="AN83" s="104"/>
      <c r="AO83" s="169"/>
      <c r="AP83" s="104"/>
      <c r="AQ83" s="104"/>
    </row>
    <row r="84" spans="1:43">
      <c r="A84" s="4">
        <f>'Input data'!A139</f>
        <v>2039</v>
      </c>
      <c r="B84" s="4"/>
      <c r="C84" s="769">
        <f>'4A SWD Case 1'!BN109</f>
        <v>418.44310935433583</v>
      </c>
      <c r="D84" s="3">
        <f>'4B Biological treatment '!T137</f>
        <v>0.5751661972491664</v>
      </c>
      <c r="E84" s="1159">
        <f>'4B Biological treatment '!U137</f>
        <v>25.882478876212485</v>
      </c>
      <c r="F84" s="1159">
        <f>'4B Biological treatment '!W137</f>
        <v>1.5529487325727491</v>
      </c>
      <c r="G84" s="952">
        <f>'4C2 Open-burning '!R110</f>
        <v>13.800644098157552</v>
      </c>
      <c r="H84" s="952">
        <f>'4C2 Open-burning '!Z110</f>
        <v>4.6434942271690707</v>
      </c>
      <c r="I84" s="952">
        <f>'4C2 Open-burning '!AH110</f>
        <v>6.46452769888477E-2</v>
      </c>
      <c r="J84" s="987">
        <f>'4D Wastewater treatment and dis'!AV147</f>
        <v>205.91931521003639</v>
      </c>
      <c r="K84" s="770">
        <f>'4D Wastewater treatment and dis'!AW147</f>
        <v>3.5726855776049167</v>
      </c>
      <c r="L84" s="771">
        <f t="shared" si="101"/>
        <v>8787.3052964410526</v>
      </c>
      <c r="M84" s="772">
        <f t="shared" si="102"/>
        <v>12.078490142232495</v>
      </c>
      <c r="N84" s="771">
        <f t="shared" si="103"/>
        <v>1024.9461634980144</v>
      </c>
      <c r="O84" s="773">
        <f t="shared" si="104"/>
        <v>131.35405873525082</v>
      </c>
      <c r="P84" s="771">
        <f t="shared" si="105"/>
        <v>5431.8381484682886</v>
      </c>
      <c r="Q84" s="519">
        <f t="shared" si="106"/>
        <v>8787.3052964410526</v>
      </c>
      <c r="R84" s="521">
        <f t="shared" si="107"/>
        <v>1037.0246536402469</v>
      </c>
      <c r="S84" s="518">
        <f t="shared" si="108"/>
        <v>131.35405873525082</v>
      </c>
      <c r="T84" s="519">
        <f t="shared" si="109"/>
        <v>5431.8381484682886</v>
      </c>
      <c r="U84" s="519">
        <f t="shared" si="110"/>
        <v>15387.522157284839</v>
      </c>
      <c r="X84" s="104"/>
      <c r="Y84" s="104"/>
      <c r="Z84" s="104"/>
      <c r="AA84" s="104"/>
      <c r="AB84" s="104"/>
      <c r="AC84" s="104"/>
      <c r="AD84" s="104"/>
      <c r="AE84" s="104"/>
      <c r="AF84" s="104"/>
      <c r="AG84" s="104"/>
      <c r="AH84" s="104"/>
      <c r="AI84" s="131"/>
      <c r="AJ84" s="104"/>
      <c r="AK84" s="104"/>
      <c r="AL84" s="104"/>
      <c r="AM84" s="104"/>
      <c r="AN84" s="104"/>
      <c r="AO84" s="169"/>
      <c r="AP84" s="104"/>
      <c r="AQ84" s="104"/>
    </row>
    <row r="85" spans="1:43">
      <c r="A85" s="4">
        <f>'Input data'!A140</f>
        <v>2040</v>
      </c>
      <c r="B85" s="4"/>
      <c r="C85" s="769">
        <f>'4A SWD Case 1'!BN110</f>
        <v>404.27658441455418</v>
      </c>
      <c r="D85" s="3">
        <f>'4B Biological treatment '!T138</f>
        <v>0.5751661972491664</v>
      </c>
      <c r="E85" s="1159">
        <f>'4B Biological treatment '!U138</f>
        <v>25.882478876212485</v>
      </c>
      <c r="F85" s="1159">
        <f>'4B Biological treatment '!W138</f>
        <v>1.5529487325727491</v>
      </c>
      <c r="G85" s="952">
        <f>'4C2 Open-burning '!R111</f>
        <v>13.127275968495754</v>
      </c>
      <c r="H85" s="952">
        <f>'4C2 Open-burning '!Z111</f>
        <v>4.4169264669540507</v>
      </c>
      <c r="I85" s="952">
        <f>'4C2 Open-burning '!AH111</f>
        <v>6.1491071362803011E-2</v>
      </c>
      <c r="J85" s="987">
        <f>'4D Wastewater treatment and dis'!AV148</f>
        <v>209.32696305297864</v>
      </c>
      <c r="K85" s="770">
        <f>'4D Wastewater treatment and dis'!AW148</f>
        <v>3.5988417676319293</v>
      </c>
      <c r="L85" s="771">
        <f t="shared" si="101"/>
        <v>8489.8082727056371</v>
      </c>
      <c r="M85" s="772">
        <f t="shared" si="102"/>
        <v>12.078490142232495</v>
      </c>
      <c r="N85" s="771">
        <f t="shared" si="103"/>
        <v>1024.9461634980144</v>
      </c>
      <c r="O85" s="773">
        <f t="shared" si="104"/>
        <v>124.94496389699975</v>
      </c>
      <c r="P85" s="771">
        <f t="shared" si="105"/>
        <v>5511.507172078449</v>
      </c>
      <c r="Q85" s="519">
        <f t="shared" si="106"/>
        <v>8489.8082727056371</v>
      </c>
      <c r="R85" s="521">
        <f t="shared" si="107"/>
        <v>1037.0246536402469</v>
      </c>
      <c r="S85" s="518">
        <f t="shared" si="108"/>
        <v>124.94496389699975</v>
      </c>
      <c r="T85" s="519">
        <f t="shared" si="109"/>
        <v>5511.507172078449</v>
      </c>
      <c r="U85" s="519">
        <f t="shared" si="110"/>
        <v>15163.285062321333</v>
      </c>
      <c r="X85" s="104"/>
      <c r="Y85" s="104"/>
      <c r="Z85" s="104"/>
      <c r="AA85" s="104"/>
      <c r="AB85" s="104"/>
      <c r="AC85" s="104"/>
      <c r="AD85" s="104"/>
      <c r="AE85" s="104"/>
      <c r="AF85" s="104"/>
      <c r="AG85" s="104"/>
      <c r="AH85" s="104"/>
      <c r="AI85" s="131"/>
      <c r="AJ85" s="104"/>
      <c r="AK85" s="104"/>
      <c r="AL85" s="104"/>
      <c r="AM85" s="104"/>
      <c r="AN85" s="104"/>
      <c r="AO85" s="169"/>
      <c r="AP85" s="104"/>
      <c r="AQ85" s="104"/>
    </row>
    <row r="86" spans="1:43">
      <c r="A86" s="4">
        <f>'Input data'!A141</f>
        <v>2041</v>
      </c>
      <c r="B86" s="4"/>
      <c r="C86" s="769">
        <f>'4A SWD Case 1'!BN111</f>
        <v>390.59314470218266</v>
      </c>
      <c r="D86" s="3">
        <f>'4B Biological treatment '!T139</f>
        <v>0.5751661972491664</v>
      </c>
      <c r="E86" s="1159">
        <f>'4B Biological treatment '!U139</f>
        <v>25.882478876212485</v>
      </c>
      <c r="F86" s="1159">
        <f>'4B Biological treatment '!W139</f>
        <v>1.5529487325727491</v>
      </c>
      <c r="G86" s="952">
        <f>'4C2 Open-burning '!R112</f>
        <v>12.46053668657942</v>
      </c>
      <c r="H86" s="952">
        <f>'4C2 Open-burning '!Z112</f>
        <v>4.1925891110607356</v>
      </c>
      <c r="I86" s="952">
        <f>'4C2 Open-burning '!AH112</f>
        <v>5.836791672942028E-2</v>
      </c>
      <c r="J86" s="987">
        <f>'4D Wastewater treatment and dis'!AV149</f>
        <v>212.53895965397319</v>
      </c>
      <c r="K86" s="770">
        <f>'4D Wastewater treatment and dis'!AW149</f>
        <v>3.6211939201999317</v>
      </c>
      <c r="L86" s="771">
        <f t="shared" si="101"/>
        <v>8202.456038745835</v>
      </c>
      <c r="M86" s="772">
        <f t="shared" si="102"/>
        <v>12.078490142232495</v>
      </c>
      <c r="N86" s="771">
        <f t="shared" si="103"/>
        <v>1024.9461634980144</v>
      </c>
      <c r="O86" s="773">
        <f t="shared" si="104"/>
        <v>118.59896220497515</v>
      </c>
      <c r="P86" s="771">
        <f t="shared" si="105"/>
        <v>5585.8882679954158</v>
      </c>
      <c r="Q86" s="519">
        <f t="shared" si="106"/>
        <v>8202.456038745835</v>
      </c>
      <c r="R86" s="521">
        <f t="shared" si="107"/>
        <v>1037.0246536402469</v>
      </c>
      <c r="S86" s="518">
        <f t="shared" si="108"/>
        <v>118.59896220497515</v>
      </c>
      <c r="T86" s="519">
        <f t="shared" si="109"/>
        <v>5585.8882679954158</v>
      </c>
      <c r="U86" s="519">
        <f t="shared" si="110"/>
        <v>14943.967922586471</v>
      </c>
      <c r="X86" s="104"/>
      <c r="Y86" s="104"/>
      <c r="Z86" s="104"/>
      <c r="AA86" s="104"/>
      <c r="AB86" s="104"/>
      <c r="AC86" s="104"/>
      <c r="AD86" s="104"/>
      <c r="AE86" s="104"/>
      <c r="AF86" s="104"/>
      <c r="AG86" s="104"/>
      <c r="AH86" s="104"/>
      <c r="AI86" s="131"/>
      <c r="AJ86" s="104"/>
      <c r="AK86" s="104"/>
      <c r="AL86" s="104"/>
      <c r="AM86" s="104"/>
      <c r="AN86" s="104"/>
      <c r="AO86" s="169"/>
      <c r="AP86" s="104"/>
      <c r="AQ86" s="104"/>
    </row>
    <row r="87" spans="1:43">
      <c r="A87" s="4">
        <f>'Input data'!A142</f>
        <v>2042</v>
      </c>
      <c r="B87" s="4"/>
      <c r="C87" s="769">
        <f>'4A SWD Case 1'!BN112</f>
        <v>377.3628824841611</v>
      </c>
      <c r="D87" s="3">
        <f>'4B Biological treatment '!T140</f>
        <v>0.5751661972491664</v>
      </c>
      <c r="E87" s="1159">
        <f>'4B Biological treatment '!U140</f>
        <v>25.882478876212485</v>
      </c>
      <c r="F87" s="1159">
        <f>'4B Biological treatment '!W140</f>
        <v>1.5529487325727491</v>
      </c>
      <c r="G87" s="952">
        <f>'4C2 Open-burning '!R113</f>
        <v>11.796174689802916</v>
      </c>
      <c r="H87" s="952">
        <f>'4C2 Open-burning '!Z113</f>
        <v>3.9690516388355039</v>
      </c>
      <c r="I87" s="952">
        <f>'4C2 Open-burning '!AH113</f>
        <v>5.5255897826750736E-2</v>
      </c>
      <c r="J87" s="987">
        <f>'4D Wastewater treatment and dis'!AV150</f>
        <v>215.78278030125657</v>
      </c>
      <c r="K87" s="770">
        <f>'4D Wastewater treatment and dis'!AW150</f>
        <v>3.6436849004121257</v>
      </c>
      <c r="L87" s="771">
        <f t="shared" si="101"/>
        <v>7924.6205321673833</v>
      </c>
      <c r="M87" s="772">
        <f t="shared" si="102"/>
        <v>12.078490142232495</v>
      </c>
      <c r="N87" s="771">
        <f t="shared" si="103"/>
        <v>1024.9461634980144</v>
      </c>
      <c r="O87" s="773">
        <f t="shared" si="104"/>
        <v>112.27558743164121</v>
      </c>
      <c r="P87" s="771">
        <f t="shared" si="105"/>
        <v>5660.9807054541461</v>
      </c>
      <c r="Q87" s="519">
        <f t="shared" si="106"/>
        <v>7924.6205321673833</v>
      </c>
      <c r="R87" s="521">
        <f t="shared" si="107"/>
        <v>1037.0246536402469</v>
      </c>
      <c r="S87" s="518">
        <f t="shared" si="108"/>
        <v>112.27558743164121</v>
      </c>
      <c r="T87" s="519">
        <f t="shared" si="109"/>
        <v>5660.9807054541461</v>
      </c>
      <c r="U87" s="519">
        <f t="shared" si="110"/>
        <v>14734.901478693417</v>
      </c>
    </row>
    <row r="88" spans="1:43">
      <c r="A88" s="4">
        <f>'Input data'!A143</f>
        <v>2043</v>
      </c>
      <c r="B88" s="4"/>
      <c r="C88" s="769">
        <f>'4A SWD Case 1'!BN113</f>
        <v>364.55934784083377</v>
      </c>
      <c r="D88" s="3">
        <f>'4B Biological treatment '!T141</f>
        <v>0.5751661972491664</v>
      </c>
      <c r="E88" s="1159">
        <f>'4B Biological treatment '!U141</f>
        <v>25.882478876212485</v>
      </c>
      <c r="F88" s="1159">
        <f>'4B Biological treatment '!W141</f>
        <v>1.5529487325727491</v>
      </c>
      <c r="G88" s="952">
        <f>'4C2 Open-burning '!R114</f>
        <v>11.134156537847643</v>
      </c>
      <c r="H88" s="952">
        <f>'4C2 Open-burning '!Z114</f>
        <v>3.7463027986349324</v>
      </c>
      <c r="I88" s="952">
        <f>'4C2 Open-burning '!AH114</f>
        <v>5.2154858012927324E-2</v>
      </c>
      <c r="J88" s="987">
        <f>'4D Wastewater treatment and dis'!AV151</f>
        <v>219.05869640380388</v>
      </c>
      <c r="K88" s="770">
        <f>'4D Wastewater treatment and dis'!AW151</f>
        <v>3.666315570517225</v>
      </c>
      <c r="L88" s="771">
        <f t="shared" si="101"/>
        <v>7655.7463046575094</v>
      </c>
      <c r="M88" s="772">
        <f t="shared" si="102"/>
        <v>12.078490142232495</v>
      </c>
      <c r="N88" s="771">
        <f t="shared" si="103"/>
        <v>1024.9461634980144</v>
      </c>
      <c r="O88" s="773">
        <f t="shared" si="104"/>
        <v>105.9745212931887</v>
      </c>
      <c r="P88" s="771">
        <f t="shared" si="105"/>
        <v>5736.7904513402209</v>
      </c>
      <c r="Q88" s="519">
        <f t="shared" si="106"/>
        <v>7655.7463046575094</v>
      </c>
      <c r="R88" s="521">
        <f t="shared" si="107"/>
        <v>1037.0246536402469</v>
      </c>
      <c r="S88" s="518">
        <f t="shared" si="108"/>
        <v>105.9745212931887</v>
      </c>
      <c r="T88" s="519">
        <f t="shared" si="109"/>
        <v>5736.7904513402209</v>
      </c>
      <c r="U88" s="519">
        <f t="shared" si="110"/>
        <v>14535.535930931166</v>
      </c>
    </row>
    <row r="89" spans="1:43">
      <c r="A89" s="4">
        <f>'Input data'!A144</f>
        <v>2044</v>
      </c>
      <c r="B89" s="4"/>
      <c r="C89" s="769">
        <f>'4A SWD Case 1'!BN114</f>
        <v>352.15737527096155</v>
      </c>
      <c r="D89" s="3">
        <f>'4B Biological treatment '!T142</f>
        <v>0.5751661972491664</v>
      </c>
      <c r="E89" s="1159">
        <f>'4B Biological treatment '!U142</f>
        <v>25.882478876212485</v>
      </c>
      <c r="F89" s="1159">
        <f>'4B Biological treatment '!W142</f>
        <v>1.5529487325727491</v>
      </c>
      <c r="G89" s="952">
        <f>'4C2 Open-burning '!R115</f>
        <v>10.47444933348603</v>
      </c>
      <c r="H89" s="952">
        <f>'4C2 Open-burning '!Z115</f>
        <v>3.5243315215491062</v>
      </c>
      <c r="I89" s="952">
        <f>'4C2 Open-burning '!AH115</f>
        <v>4.9064643190041744E-2</v>
      </c>
      <c r="J89" s="987">
        <f>'4D Wastewater treatment and dis'!AV152</f>
        <v>222.36698151436079</v>
      </c>
      <c r="K89" s="770">
        <f>'4D Wastewater treatment and dis'!AW152</f>
        <v>3.6890867981193103</v>
      </c>
      <c r="L89" s="771">
        <f t="shared" si="101"/>
        <v>7395.3048806901925</v>
      </c>
      <c r="M89" s="772">
        <f t="shared" si="102"/>
        <v>12.078490142232495</v>
      </c>
      <c r="N89" s="771">
        <f t="shared" si="103"/>
        <v>1024.9461634980144</v>
      </c>
      <c r="O89" s="773">
        <f t="shared" si="104"/>
        <v>99.695450674930214</v>
      </c>
      <c r="P89" s="771">
        <f t="shared" si="105"/>
        <v>5813.3235192185621</v>
      </c>
      <c r="Q89" s="519">
        <f t="shared" si="106"/>
        <v>7395.3048806901925</v>
      </c>
      <c r="R89" s="521">
        <f t="shared" si="107"/>
        <v>1037.0246536402469</v>
      </c>
      <c r="S89" s="518">
        <f t="shared" si="108"/>
        <v>99.695450674930214</v>
      </c>
      <c r="T89" s="519">
        <f t="shared" si="109"/>
        <v>5813.3235192185621</v>
      </c>
      <c r="U89" s="519">
        <f t="shared" si="110"/>
        <v>14345.348504223932</v>
      </c>
    </row>
    <row r="90" spans="1:43">
      <c r="A90" s="4">
        <f>'Input data'!A145</f>
        <v>2045</v>
      </c>
      <c r="B90" s="4"/>
      <c r="C90" s="769">
        <f>'4A SWD Case 1'!BN115</f>
        <v>340.13302124175578</v>
      </c>
      <c r="D90" s="3">
        <f>'4B Biological treatment '!T143</f>
        <v>0.5751661972491664</v>
      </c>
      <c r="E90" s="1159">
        <f>'4B Biological treatment '!U143</f>
        <v>25.882478876212485</v>
      </c>
      <c r="F90" s="1159">
        <f>'4B Biological treatment '!W143</f>
        <v>1.5529487325727491</v>
      </c>
      <c r="G90" s="952">
        <f>'4C2 Open-burning '!R116</f>
        <v>9.8170207118697927</v>
      </c>
      <c r="H90" s="952">
        <f>'4C2 Open-burning '!Z116</f>
        <v>3.3031269177974401</v>
      </c>
      <c r="I90" s="952">
        <f>'4C2 Open-burning '!AH116</f>
        <v>4.5985101753968347E-2</v>
      </c>
      <c r="J90" s="987">
        <f>'4D Wastewater treatment and dis'!AV153</f>
        <v>225.70791134560363</v>
      </c>
      <c r="K90" s="770">
        <f>'4D Wastewater treatment and dis'!AW153</f>
        <v>3.711999456211089</v>
      </c>
      <c r="L90" s="771">
        <f t="shared" si="101"/>
        <v>7142.7934460768711</v>
      </c>
      <c r="M90" s="772">
        <f t="shared" si="102"/>
        <v>12.078490142232495</v>
      </c>
      <c r="N90" s="771">
        <f t="shared" si="103"/>
        <v>1024.9461634980144</v>
      </c>
      <c r="O90" s="773">
        <f t="shared" si="104"/>
        <v>93.438067529346228</v>
      </c>
      <c r="P90" s="771">
        <f t="shared" si="105"/>
        <v>5890.5859696831139</v>
      </c>
      <c r="Q90" s="519">
        <f t="shared" si="106"/>
        <v>7142.7934460768711</v>
      </c>
      <c r="R90" s="521">
        <f t="shared" si="107"/>
        <v>1037.0246536402469</v>
      </c>
      <c r="S90" s="518">
        <f t="shared" si="108"/>
        <v>93.438067529346228</v>
      </c>
      <c r="T90" s="519">
        <f t="shared" si="109"/>
        <v>5890.5859696831139</v>
      </c>
      <c r="U90" s="519">
        <f t="shared" si="110"/>
        <v>14163.842136929579</v>
      </c>
    </row>
    <row r="91" spans="1:43">
      <c r="A91" s="4">
        <f>'Input data'!A146</f>
        <v>2046</v>
      </c>
      <c r="B91" s="4"/>
      <c r="C91" s="769">
        <f>'4A SWD Case 1'!BN116</f>
        <v>328.4635047781868</v>
      </c>
      <c r="D91" s="3">
        <f>'4B Biological treatment '!T144</f>
        <v>0.5751661972491664</v>
      </c>
      <c r="E91" s="1159">
        <f>'4B Biological treatment '!U144</f>
        <v>25.882478876212485</v>
      </c>
      <c r="F91" s="1159">
        <f>'4B Biological treatment '!W144</f>
        <v>1.5529487325727491</v>
      </c>
      <c r="G91" s="952">
        <f>'4C2 Open-burning '!R117</f>
        <v>9.1644826462201969</v>
      </c>
      <c r="H91" s="952">
        <f>'4C2 Open-burning '!Z117</f>
        <v>3.0835678364023558</v>
      </c>
      <c r="I91" s="952">
        <f>'4C2 Open-burning '!AH117</f>
        <v>4.2928468766431443E-2</v>
      </c>
      <c r="J91" s="987">
        <f>'4D Wastewater treatment and dis'!AV154</f>
        <v>228.82994288598573</v>
      </c>
      <c r="K91" s="770">
        <f>'4D Wastewater treatment and dis'!AW154</f>
        <v>3.7309486194433799</v>
      </c>
      <c r="L91" s="771">
        <f t="shared" si="101"/>
        <v>6897.7336003419232</v>
      </c>
      <c r="M91" s="772">
        <f t="shared" si="102"/>
        <v>12.078490142232495</v>
      </c>
      <c r="N91" s="771">
        <f t="shared" si="103"/>
        <v>1024.9461634980144</v>
      </c>
      <c r="O91" s="773">
        <f t="shared" si="104"/>
        <v>87.227232528263414</v>
      </c>
      <c r="P91" s="771">
        <f t="shared" si="105"/>
        <v>5962.0228726331479</v>
      </c>
      <c r="Q91" s="519">
        <f t="shared" si="106"/>
        <v>6897.7336003419232</v>
      </c>
      <c r="R91" s="521">
        <f t="shared" si="107"/>
        <v>1037.0246536402469</v>
      </c>
      <c r="S91" s="518">
        <f t="shared" si="108"/>
        <v>87.227232528263414</v>
      </c>
      <c r="T91" s="519">
        <f t="shared" si="109"/>
        <v>5962.0228726331479</v>
      </c>
      <c r="U91" s="519">
        <f t="shared" si="110"/>
        <v>13984.008359143583</v>
      </c>
    </row>
    <row r="92" spans="1:43">
      <c r="A92" s="4">
        <f>'Input data'!A147</f>
        <v>2047</v>
      </c>
      <c r="B92" s="4"/>
      <c r="C92" s="769">
        <f>'4A SWD Case 1'!BN117</f>
        <v>317.12549196335993</v>
      </c>
      <c r="D92" s="3">
        <f>'4B Biological treatment '!T145</f>
        <v>0.5751661972491664</v>
      </c>
      <c r="E92" s="1159">
        <f>'4B Biological treatment '!U145</f>
        <v>25.882478876212485</v>
      </c>
      <c r="F92" s="1159">
        <f>'4B Biological treatment '!W145</f>
        <v>1.5529487325727491</v>
      </c>
      <c r="G92" s="952">
        <f>'4C2 Open-burning '!R118</f>
        <v>8.5137490095967827</v>
      </c>
      <c r="H92" s="952">
        <f>'4C2 Open-burning '!Z118</f>
        <v>2.8646158901313141</v>
      </c>
      <c r="I92" s="952">
        <f>'4C2 Open-burning '!AH118</f>
        <v>3.9880288124551327E-2</v>
      </c>
      <c r="J92" s="987">
        <f>'4D Wastewater treatment and dis'!AV155</f>
        <v>231.97796755845934</v>
      </c>
      <c r="K92" s="770">
        <f>'4D Wastewater treatment and dis'!AW155</f>
        <v>3.74999451512174</v>
      </c>
      <c r="L92" s="771">
        <f t="shared" si="101"/>
        <v>6659.6353312305582</v>
      </c>
      <c r="M92" s="772">
        <f t="shared" si="102"/>
        <v>12.078490142232495</v>
      </c>
      <c r="N92" s="771">
        <f t="shared" si="103"/>
        <v>1024.9461634980144</v>
      </c>
      <c r="O92" s="773">
        <f t="shared" si="104"/>
        <v>81.033572020965295</v>
      </c>
      <c r="P92" s="771">
        <f t="shared" si="105"/>
        <v>6034.0356184153861</v>
      </c>
      <c r="Q92" s="519">
        <f t="shared" si="106"/>
        <v>6659.6353312305582</v>
      </c>
      <c r="R92" s="521">
        <f t="shared" si="107"/>
        <v>1037.0246536402469</v>
      </c>
      <c r="S92" s="518">
        <f t="shared" si="108"/>
        <v>81.033572020965295</v>
      </c>
      <c r="T92" s="519">
        <f t="shared" si="109"/>
        <v>6034.0356184153861</v>
      </c>
      <c r="U92" s="519">
        <f t="shared" si="110"/>
        <v>13811.729175307155</v>
      </c>
    </row>
    <row r="93" spans="1:43">
      <c r="A93" s="4">
        <f>'Input data'!A148</f>
        <v>2048</v>
      </c>
      <c r="B93" s="4"/>
      <c r="C93" s="769">
        <f>'4A SWD Case 1'!BN118</f>
        <v>306.09854116417949</v>
      </c>
      <c r="D93" s="3">
        <f>'4B Biological treatment '!T146</f>
        <v>0.5751661972491664</v>
      </c>
      <c r="E93" s="1159">
        <f>'4B Biological treatment '!U146</f>
        <v>25.882478876212485</v>
      </c>
      <c r="F93" s="1159">
        <f>'4B Biological treatment '!W146</f>
        <v>1.5529487325727491</v>
      </c>
      <c r="G93" s="952">
        <f>'4C2 Open-burning '!R119</f>
        <v>8.502485492904615</v>
      </c>
      <c r="H93" s="952">
        <f>'4C2 Open-burning '!Z119</f>
        <v>2.8608260616011587</v>
      </c>
      <c r="I93" s="952">
        <f>'4C2 Open-burning '!AH119</f>
        <v>3.9827527314892378E-2</v>
      </c>
      <c r="J93" s="987">
        <f>'4D Wastewater treatment and dis'!AV156</f>
        <v>235.15216938634282</v>
      </c>
      <c r="K93" s="770">
        <f>'4D Wastewater treatment and dis'!AW156</f>
        <v>3.769137637049826</v>
      </c>
      <c r="L93" s="771">
        <f t="shared" si="101"/>
        <v>6428.0693644477697</v>
      </c>
      <c r="M93" s="772">
        <f t="shared" si="102"/>
        <v>12.078490142232495</v>
      </c>
      <c r="N93" s="771">
        <f t="shared" si="103"/>
        <v>1024.9461634980144</v>
      </c>
      <c r="O93" s="773">
        <f t="shared" si="104"/>
        <v>80.926366254145591</v>
      </c>
      <c r="P93" s="771">
        <f t="shared" si="105"/>
        <v>6106.6282245986458</v>
      </c>
      <c r="Q93" s="519">
        <f t="shared" si="106"/>
        <v>6428.0693644477697</v>
      </c>
      <c r="R93" s="521">
        <f t="shared" si="107"/>
        <v>1037.0246536402469</v>
      </c>
      <c r="S93" s="518">
        <f t="shared" si="108"/>
        <v>80.926366254145591</v>
      </c>
      <c r="T93" s="519">
        <f t="shared" si="109"/>
        <v>6106.6282245986458</v>
      </c>
      <c r="U93" s="519">
        <f t="shared" si="110"/>
        <v>13652.648608940808</v>
      </c>
    </row>
    <row r="94" spans="1:43">
      <c r="A94" s="4">
        <f>'Input data'!A149</f>
        <v>2049</v>
      </c>
      <c r="B94" s="4"/>
      <c r="C94" s="769">
        <f>'4A SWD Case 1'!BN119</f>
        <v>295.64625915710093</v>
      </c>
      <c r="D94" s="3">
        <f>'4B Biological treatment '!T147</f>
        <v>0.5751661972491664</v>
      </c>
      <c r="E94" s="1159">
        <f>'4B Biological treatment '!U147</f>
        <v>25.882478876212485</v>
      </c>
      <c r="F94" s="1159">
        <f>'4B Biological treatment '!W147</f>
        <v>1.5529487325727491</v>
      </c>
      <c r="G94" s="952">
        <f>'4C2 Open-burning '!R120</f>
        <v>8.491308719896784</v>
      </c>
      <c r="H94" s="952">
        <f>'4C2 Open-burning '!Z120</f>
        <v>2.8570654196650942</v>
      </c>
      <c r="I94" s="952">
        <f>'4C2 Open-burning '!AH120</f>
        <v>3.9775172831884656E-2</v>
      </c>
      <c r="J94" s="987">
        <f>'4D Wastewater treatment and dis'!AV157</f>
        <v>238.35273359440882</v>
      </c>
      <c r="K94" s="770">
        <f>'4D Wastewater treatment and dis'!AW157</f>
        <v>3.7883784815520856</v>
      </c>
      <c r="L94" s="771">
        <f t="shared" si="101"/>
        <v>6208.5714422991196</v>
      </c>
      <c r="M94" s="772">
        <f t="shared" si="102"/>
        <v>12.078490142232495</v>
      </c>
      <c r="N94" s="771">
        <f t="shared" si="103"/>
        <v>1024.9461634980144</v>
      </c>
      <c r="O94" s="773">
        <f t="shared" si="104"/>
        <v>80.81998611074799</v>
      </c>
      <c r="P94" s="771">
        <f t="shared" si="105"/>
        <v>6179.8047347637312</v>
      </c>
      <c r="Q94" s="519">
        <f t="shared" si="106"/>
        <v>6208.5714422991196</v>
      </c>
      <c r="R94" s="521">
        <f t="shared" si="107"/>
        <v>1037.0246536402469</v>
      </c>
      <c r="S94" s="518">
        <f t="shared" si="108"/>
        <v>80.81998611074799</v>
      </c>
      <c r="T94" s="519">
        <f t="shared" si="109"/>
        <v>6179.8047347637312</v>
      </c>
      <c r="U94" s="519">
        <f t="shared" si="110"/>
        <v>13506.220816813846</v>
      </c>
    </row>
    <row r="95" spans="1:43">
      <c r="A95" s="4">
        <f>'Input data'!A150</f>
        <v>2050</v>
      </c>
      <c r="B95" s="4"/>
      <c r="C95" s="769">
        <f>'4A SWD Case 1'!BN120</f>
        <v>285.74072084361967</v>
      </c>
      <c r="D95" s="3">
        <f>'4B Biological treatment '!T148</f>
        <v>0.5751661972491664</v>
      </c>
      <c r="E95" s="1159">
        <f>'4B Biological treatment '!U148</f>
        <v>25.882478876212485</v>
      </c>
      <c r="F95" s="1159">
        <f>'4B Biological treatment '!W148</f>
        <v>1.5529487325727491</v>
      </c>
      <c r="G95" s="952">
        <f>'4C2 Open-burning '!R121</f>
        <v>8.480217835584158</v>
      </c>
      <c r="H95" s="952">
        <f>'4C2 Open-burning '!Z121</f>
        <v>2.8533336766454509</v>
      </c>
      <c r="I95" s="952">
        <f>'4C2 Open-burning '!AH121</f>
        <v>3.9723220670569465E-2</v>
      </c>
      <c r="J95" s="987">
        <f>'4D Wastewater treatment and dis'!AV158</f>
        <v>241.57984661635467</v>
      </c>
      <c r="K95" s="770">
        <f>'4D Wastewater treatment and dis'!AW158</f>
        <v>3.8077175474866229</v>
      </c>
      <c r="L95" s="771">
        <f t="shared" si="101"/>
        <v>6000.5551377160127</v>
      </c>
      <c r="M95" s="772">
        <f t="shared" si="102"/>
        <v>12.078490142232495</v>
      </c>
      <c r="N95" s="771">
        <f t="shared" si="103"/>
        <v>1024.9461634980144</v>
      </c>
      <c r="O95" s="773">
        <f t="shared" si="104"/>
        <v>80.714423453015158</v>
      </c>
      <c r="P95" s="771">
        <f t="shared" si="105"/>
        <v>6253.5692186643009</v>
      </c>
      <c r="Q95" s="471">
        <f t="shared" si="106"/>
        <v>6000.5551377160127</v>
      </c>
      <c r="R95" s="517">
        <f t="shared" si="107"/>
        <v>1037.0246536402469</v>
      </c>
      <c r="S95" s="514">
        <f t="shared" si="108"/>
        <v>80.714423453015158</v>
      </c>
      <c r="T95" s="471">
        <f t="shared" si="109"/>
        <v>6253.5692186643009</v>
      </c>
      <c r="U95" s="471">
        <f t="shared" si="110"/>
        <v>13371.863433473576</v>
      </c>
    </row>
    <row r="96" spans="1:43">
      <c r="A96" s="413" t="s">
        <v>645</v>
      </c>
      <c r="B96" s="413"/>
      <c r="C96" s="471"/>
      <c r="D96" s="3"/>
      <c r="E96" s="472"/>
      <c r="F96" s="472"/>
      <c r="G96" s="952"/>
      <c r="H96" s="952"/>
      <c r="I96" s="952"/>
      <c r="J96" s="986"/>
      <c r="K96" s="515"/>
      <c r="L96" s="471"/>
      <c r="M96" s="3"/>
      <c r="N96" s="471"/>
      <c r="O96" s="514"/>
      <c r="P96" s="471"/>
      <c r="Q96" s="471"/>
      <c r="R96" s="517"/>
      <c r="S96" s="514"/>
      <c r="T96" s="471"/>
      <c r="U96" s="471"/>
    </row>
    <row r="97" spans="1:21">
      <c r="A97" s="4">
        <f>'Input data'!A118</f>
        <v>2018</v>
      </c>
      <c r="B97" s="4"/>
      <c r="C97" s="769">
        <f>'4A SWD Case 2'!BG88</f>
        <v>821.57255218782393</v>
      </c>
      <c r="D97" s="3">
        <f>'4B Biological treatment '!T150</f>
        <v>0.32146709865844858</v>
      </c>
      <c r="E97" s="1159">
        <f>'4B Biological treatment '!U150</f>
        <v>20.398057107378527</v>
      </c>
      <c r="F97" s="1159">
        <f>'4B Biological treatment '!W150</f>
        <v>1.2238834264427116</v>
      </c>
      <c r="G97" s="952">
        <f>'4C2 Open-burning '!R123</f>
        <v>32.917048058163878</v>
      </c>
      <c r="H97" s="952">
        <f>'4C2 Open-burning '!Z123</f>
        <v>11.075578903881526</v>
      </c>
      <c r="I97" s="952">
        <f>'4C2 Open-burning '!AH123</f>
        <v>0.15419075184029304</v>
      </c>
      <c r="J97" s="987">
        <f>'4D Wastewater treatment and dis'!AV160</f>
        <v>137.16052165703309</v>
      </c>
      <c r="K97" s="770">
        <f>'4D Wastewater treatment and dis'!AW160</f>
        <v>2.8960026873618072</v>
      </c>
      <c r="L97" s="771">
        <f t="shared" ref="L97:L129" si="111">C97*$B$3</f>
        <v>17253.023595944302</v>
      </c>
      <c r="M97" s="772">
        <f t="shared" ref="M97:M129" si="112">D97*$B$3</f>
        <v>6.7508090718274198</v>
      </c>
      <c r="N97" s="771">
        <f t="shared" ref="N97:N129" si="113">E97*$B$3+F97*$C$3</f>
        <v>807.76306145218973</v>
      </c>
      <c r="O97" s="773">
        <f t="shared" ref="O97:O129" si="114">G97+H97*$B$3+I97*$C$3</f>
        <v>313.30333811016675</v>
      </c>
      <c r="P97" s="771">
        <f t="shared" ref="P97:P129" si="115">J97*$B$3+K97*$C$3</f>
        <v>3778.1317878798554</v>
      </c>
      <c r="Q97" s="471">
        <f t="shared" si="74"/>
        <v>17253.023595944302</v>
      </c>
      <c r="R97" s="517">
        <f t="shared" si="75"/>
        <v>814.51387052401719</v>
      </c>
      <c r="S97" s="514">
        <f t="shared" si="76"/>
        <v>313.30333811016675</v>
      </c>
      <c r="T97" s="471">
        <f t="shared" si="77"/>
        <v>3778.1317878798554</v>
      </c>
      <c r="U97" s="471">
        <f t="shared" si="78"/>
        <v>22158.97259245834</v>
      </c>
    </row>
    <row r="98" spans="1:21">
      <c r="A98" s="4">
        <f>'Input data'!A119</f>
        <v>2019</v>
      </c>
      <c r="B98" s="4"/>
      <c r="C98" s="769">
        <f>'4A SWD Case 2'!BG89</f>
        <v>802.90915867354249</v>
      </c>
      <c r="D98" s="3">
        <f>'4B Biological treatment '!T151</f>
        <v>0.37490238576394763</v>
      </c>
      <c r="E98" s="1159">
        <f>'4B Biological treatment '!U151</f>
        <v>21.68365386662515</v>
      </c>
      <c r="F98" s="1159">
        <f>'4B Biological treatment '!W151</f>
        <v>1.3010192319975089</v>
      </c>
      <c r="G98" s="952">
        <f>'4C2 Open-burning '!R124</f>
        <v>32.340305277661429</v>
      </c>
      <c r="H98" s="952">
        <f>'4C2 Open-burning '!Z124</f>
        <v>10.881522615437561</v>
      </c>
      <c r="I98" s="952">
        <f>'4C2 Open-burning '!AH124</f>
        <v>0.15148916077456326</v>
      </c>
      <c r="J98" s="987">
        <f>'4D Wastewater treatment and dis'!AV161</f>
        <v>143.32271319274017</v>
      </c>
      <c r="K98" s="770">
        <f>'4D Wastewater treatment and dis'!AW161</f>
        <v>2.9428357992270668</v>
      </c>
      <c r="L98" s="771">
        <f t="shared" si="111"/>
        <v>16861.092332144392</v>
      </c>
      <c r="M98" s="772">
        <f t="shared" si="112"/>
        <v>7.8729501010429006</v>
      </c>
      <c r="N98" s="771">
        <f t="shared" si="113"/>
        <v>858.67269311835594</v>
      </c>
      <c r="O98" s="773">
        <f t="shared" si="114"/>
        <v>307.81392004196488</v>
      </c>
      <c r="P98" s="771">
        <f t="shared" si="115"/>
        <v>3922.0560748079342</v>
      </c>
      <c r="Q98" s="519">
        <f t="shared" si="74"/>
        <v>16861.092332144392</v>
      </c>
      <c r="R98" s="521">
        <f t="shared" si="75"/>
        <v>866.54564321939881</v>
      </c>
      <c r="S98" s="518">
        <f t="shared" si="76"/>
        <v>307.81392004196488</v>
      </c>
      <c r="T98" s="519">
        <f t="shared" si="77"/>
        <v>3922.0560748079342</v>
      </c>
      <c r="U98" s="519">
        <f t="shared" si="78"/>
        <v>21957.50797021369</v>
      </c>
    </row>
    <row r="99" spans="1:21">
      <c r="A99" s="4">
        <f>'Input data'!A120</f>
        <v>2020</v>
      </c>
      <c r="B99" s="4"/>
      <c r="C99" s="769">
        <f>'4A SWD Case 2'!BG90</f>
        <v>784.21536232583389</v>
      </c>
      <c r="D99" s="3">
        <f>'4B Biological treatment '!T152</f>
        <v>0.44809964143093628</v>
      </c>
      <c r="E99" s="1159">
        <f>'4B Biological treatment '!U152</f>
        <v>23.858539211138797</v>
      </c>
      <c r="F99" s="1159">
        <f>'4B Biological treatment '!W152</f>
        <v>1.431512352668328</v>
      </c>
      <c r="G99" s="952">
        <f>'4C2 Open-burning '!R125</f>
        <v>31.469339877453482</v>
      </c>
      <c r="H99" s="952">
        <f>'4C2 Open-burning '!Z125</f>
        <v>10.588469423197822</v>
      </c>
      <c r="I99" s="952">
        <f>'4C2 Open-burning '!AH125</f>
        <v>0.14740936571980473</v>
      </c>
      <c r="J99" s="987">
        <f>'4D Wastewater treatment and dis'!AV162</f>
        <v>149.64833972612956</v>
      </c>
      <c r="K99" s="770">
        <f>'4D Wastewater treatment and dis'!AW162</f>
        <v>2.9904262793007734</v>
      </c>
      <c r="L99" s="771">
        <f t="shared" si="111"/>
        <v>16468.522608842512</v>
      </c>
      <c r="M99" s="772">
        <f t="shared" si="112"/>
        <v>9.410092470049662</v>
      </c>
      <c r="N99" s="771">
        <f t="shared" si="113"/>
        <v>944.79815276109639</v>
      </c>
      <c r="O99" s="773">
        <f t="shared" si="114"/>
        <v>299.52410113774715</v>
      </c>
      <c r="P99" s="771">
        <f t="shared" si="115"/>
        <v>4069.6472808319609</v>
      </c>
      <c r="Q99" s="519">
        <f t="shared" si="74"/>
        <v>16468.522608842512</v>
      </c>
      <c r="R99" s="521">
        <f t="shared" si="75"/>
        <v>954.20824523114607</v>
      </c>
      <c r="S99" s="518">
        <f t="shared" si="76"/>
        <v>299.52410113774715</v>
      </c>
      <c r="T99" s="519">
        <f t="shared" si="77"/>
        <v>4069.6472808319609</v>
      </c>
      <c r="U99" s="519">
        <f t="shared" si="78"/>
        <v>21791.902236043363</v>
      </c>
    </row>
    <row r="100" spans="1:21">
      <c r="A100" s="4">
        <f>'Input data'!A121</f>
        <v>2021</v>
      </c>
      <c r="B100" s="4"/>
      <c r="C100" s="769">
        <f>'4A SWD Case 2'!BG91</f>
        <v>764.05320314825872</v>
      </c>
      <c r="D100" s="3">
        <f>'4B Biological treatment '!T153</f>
        <v>0.59967426924423284</v>
      </c>
      <c r="E100" s="1159">
        <f>'4B Biological treatment '!U153</f>
        <v>29.317727464612144</v>
      </c>
      <c r="F100" s="1159">
        <f>'4B Biological treatment '!W153</f>
        <v>1.7590636478767285</v>
      </c>
      <c r="G100" s="952">
        <f>'4C2 Open-burning '!R126</f>
        <v>28.931012243244801</v>
      </c>
      <c r="H100" s="952">
        <f>'4C2 Open-burning '!Z126</f>
        <v>9.7343998861328558</v>
      </c>
      <c r="I100" s="952">
        <f>'4C2 Open-burning '!AH126</f>
        <v>0.13551927625479393</v>
      </c>
      <c r="J100" s="987">
        <f>'4D Wastewater treatment and dis'!AV163</f>
        <v>155.42542691703585</v>
      </c>
      <c r="K100" s="770">
        <f>'4D Wastewater treatment and dis'!AW163</f>
        <v>3.0248585614028385</v>
      </c>
      <c r="L100" s="771">
        <f t="shared" si="111"/>
        <v>16045.117266113433</v>
      </c>
      <c r="M100" s="772">
        <f t="shared" si="112"/>
        <v>12.59315965412889</v>
      </c>
      <c r="N100" s="771">
        <f t="shared" si="113"/>
        <v>1160.9820075986408</v>
      </c>
      <c r="O100" s="773">
        <f t="shared" si="114"/>
        <v>275.36438549102087</v>
      </c>
      <c r="P100" s="771">
        <f t="shared" si="115"/>
        <v>4201.6401192926323</v>
      </c>
      <c r="Q100" s="519">
        <f t="shared" si="74"/>
        <v>16045.117266113433</v>
      </c>
      <c r="R100" s="521">
        <f t="shared" si="75"/>
        <v>1173.5751672527697</v>
      </c>
      <c r="S100" s="518">
        <f t="shared" si="76"/>
        <v>275.36438549102087</v>
      </c>
      <c r="T100" s="519">
        <f t="shared" si="77"/>
        <v>4201.6401192926323</v>
      </c>
      <c r="U100" s="519">
        <f t="shared" si="78"/>
        <v>21695.696938149857</v>
      </c>
    </row>
    <row r="101" spans="1:21">
      <c r="A101" s="4">
        <f>'Input data'!A122</f>
        <v>2022</v>
      </c>
      <c r="B101" s="4"/>
      <c r="C101" s="769">
        <f>'4A SWD Case 2'!BG92</f>
        <v>738.75490847693175</v>
      </c>
      <c r="D101" s="3">
        <f>'4B Biological treatment '!T154</f>
        <v>0.7098393054649641</v>
      </c>
      <c r="E101" s="1159">
        <f>'4B Biological treatment '!U154</f>
        <v>31.942768745923377</v>
      </c>
      <c r="F101" s="1159">
        <f>'4B Biological treatment '!W154</f>
        <v>1.9165661247554029</v>
      </c>
      <c r="G101" s="952">
        <f>'4C2 Open-burning '!R127</f>
        <v>24.077995052126731</v>
      </c>
      <c r="H101" s="952">
        <f>'4C2 Open-burning '!Z127</f>
        <v>8.1015081782510823</v>
      </c>
      <c r="I101" s="952">
        <f>'4C2 Open-burning '!AH127</f>
        <v>0.11278666766637657</v>
      </c>
      <c r="J101" s="987">
        <f>'4D Wastewater treatment and dis'!AV164</f>
        <v>161.31571105616422</v>
      </c>
      <c r="K101" s="770">
        <f>'4D Wastewater treatment and dis'!AW164</f>
        <v>3.0596873027184164</v>
      </c>
      <c r="L101" s="771">
        <f t="shared" si="111"/>
        <v>15513.853078015567</v>
      </c>
      <c r="M101" s="772">
        <f t="shared" si="112"/>
        <v>14.906625414764246</v>
      </c>
      <c r="N101" s="771">
        <f t="shared" si="113"/>
        <v>1264.9336423385657</v>
      </c>
      <c r="O101" s="773">
        <f t="shared" si="114"/>
        <v>229.17353377197622</v>
      </c>
      <c r="P101" s="771">
        <f t="shared" si="115"/>
        <v>4336.1329960221574</v>
      </c>
      <c r="Q101" s="519">
        <f t="shared" si="74"/>
        <v>15513.853078015567</v>
      </c>
      <c r="R101" s="521">
        <f t="shared" si="75"/>
        <v>1279.84026775333</v>
      </c>
      <c r="S101" s="518">
        <f t="shared" si="76"/>
        <v>229.17353377197622</v>
      </c>
      <c r="T101" s="519">
        <f t="shared" si="77"/>
        <v>4336.1329960221574</v>
      </c>
      <c r="U101" s="519">
        <f t="shared" si="78"/>
        <v>21358.999875563029</v>
      </c>
    </row>
    <row r="102" spans="1:21">
      <c r="A102" s="4">
        <f>'Input data'!A123</f>
        <v>2023</v>
      </c>
      <c r="B102" s="4"/>
      <c r="C102" s="769">
        <f>'4A SWD Case 2'!BG93</f>
        <v>710.97883331894081</v>
      </c>
      <c r="D102" s="3">
        <f>'4B Biological treatment '!T155</f>
        <v>0.71280022924122233</v>
      </c>
      <c r="E102" s="1159">
        <f>'4B Biological treatment '!U155</f>
        <v>32.076010315855001</v>
      </c>
      <c r="F102" s="1159">
        <f>'4B Biological treatment '!W155</f>
        <v>1.9245606189513</v>
      </c>
      <c r="G102" s="952">
        <f>'4C2 Open-burning '!R128</f>
        <v>22.834713354191653</v>
      </c>
      <c r="H102" s="952">
        <f>'4C2 Open-burning '!Z128</f>
        <v>7.6831819504283345</v>
      </c>
      <c r="I102" s="952">
        <f>'4C2 Open-burning '!AH128</f>
        <v>0.10696286051893281</v>
      </c>
      <c r="J102" s="987">
        <f>'4D Wastewater treatment and dis'!AV165</f>
        <v>167.32103297774702</v>
      </c>
      <c r="K102" s="770">
        <f>'4D Wastewater treatment and dis'!AW165</f>
        <v>3.0949170681470224</v>
      </c>
      <c r="L102" s="771">
        <f t="shared" si="111"/>
        <v>14930.555499697757</v>
      </c>
      <c r="M102" s="772">
        <f t="shared" si="112"/>
        <v>14.968804814065669</v>
      </c>
      <c r="N102" s="771">
        <f t="shared" si="113"/>
        <v>1270.210008507858</v>
      </c>
      <c r="O102" s="773">
        <f t="shared" si="114"/>
        <v>217.34002107405581</v>
      </c>
      <c r="P102" s="771">
        <f t="shared" si="115"/>
        <v>4473.1659836582639</v>
      </c>
      <c r="Q102" s="519">
        <f t="shared" si="74"/>
        <v>14930.555499697757</v>
      </c>
      <c r="R102" s="521">
        <f t="shared" si="75"/>
        <v>1285.1788133219236</v>
      </c>
      <c r="S102" s="518">
        <f t="shared" si="76"/>
        <v>217.34002107405581</v>
      </c>
      <c r="T102" s="519">
        <f t="shared" si="77"/>
        <v>4473.1659836582639</v>
      </c>
      <c r="U102" s="519">
        <f t="shared" si="78"/>
        <v>20906.240317752003</v>
      </c>
    </row>
    <row r="103" spans="1:21">
      <c r="A103" s="4">
        <f>'Input data'!A124</f>
        <v>2024</v>
      </c>
      <c r="B103" s="4"/>
      <c r="C103" s="769">
        <f>'4A SWD Case 2'!BG94</f>
        <v>684.33575204323415</v>
      </c>
      <c r="D103" s="3">
        <f>'4B Biological treatment '!T156</f>
        <v>0.71623482128156013</v>
      </c>
      <c r="E103" s="1159">
        <f>'4B Biological treatment '!U156</f>
        <v>32.230566957670206</v>
      </c>
      <c r="F103" s="1159">
        <f>'4B Biological treatment '!W156</f>
        <v>1.9338340174602124</v>
      </c>
      <c r="G103" s="952">
        <f>'4C2 Open-burning '!R129</f>
        <v>21.570135720604139</v>
      </c>
      <c r="H103" s="952">
        <f>'4C2 Open-burning '!Z129</f>
        <v>7.2576902922415494</v>
      </c>
      <c r="I103" s="952">
        <f>'4C2 Open-burning '!AH129</f>
        <v>0.10103929848692009</v>
      </c>
      <c r="J103" s="987">
        <f>'4D Wastewater treatment and dis'!AV166</f>
        <v>173.44326090016418</v>
      </c>
      <c r="K103" s="770">
        <f>'4D Wastewater treatment and dis'!AW166</f>
        <v>3.1305524751492158</v>
      </c>
      <c r="L103" s="771">
        <f t="shared" si="111"/>
        <v>14371.050792907918</v>
      </c>
      <c r="M103" s="772">
        <f t="shared" si="112"/>
        <v>15.040931246912763</v>
      </c>
      <c r="N103" s="771">
        <f t="shared" si="113"/>
        <v>1276.3304515237401</v>
      </c>
      <c r="O103" s="773">
        <f t="shared" si="114"/>
        <v>205.3038143886219</v>
      </c>
      <c r="P103" s="771">
        <f t="shared" si="115"/>
        <v>4612.7797461997052</v>
      </c>
      <c r="Q103" s="519">
        <f t="shared" si="74"/>
        <v>14371.050792907918</v>
      </c>
      <c r="R103" s="521">
        <f t="shared" si="75"/>
        <v>1291.3713827706529</v>
      </c>
      <c r="S103" s="518">
        <f t="shared" si="76"/>
        <v>205.3038143886219</v>
      </c>
      <c r="T103" s="519">
        <f t="shared" si="77"/>
        <v>4612.7797461997052</v>
      </c>
      <c r="U103" s="519">
        <f t="shared" si="78"/>
        <v>20480.505736266896</v>
      </c>
    </row>
    <row r="104" spans="1:21">
      <c r="A104" s="4">
        <f>'Input data'!A125</f>
        <v>2025</v>
      </c>
      <c r="B104" s="4"/>
      <c r="C104" s="769">
        <f>'4A SWD Case 2'!BG95</f>
        <v>658.74433298155498</v>
      </c>
      <c r="D104" s="3">
        <f>'4B Biological treatment '!T157</f>
        <v>0.71969241382106797</v>
      </c>
      <c r="E104" s="1159">
        <f>'4B Biological treatment '!U157</f>
        <v>32.386158621948056</v>
      </c>
      <c r="F104" s="1159">
        <f>'4B Biological treatment '!W157</f>
        <v>1.9431695173168833</v>
      </c>
      <c r="G104" s="952">
        <f>'4C2 Open-burning '!R130</f>
        <v>20.283486456074918</v>
      </c>
      <c r="H104" s="952">
        <f>'4C2 Open-burning '!Z130</f>
        <v>6.8247722059740834</v>
      </c>
      <c r="I104" s="952">
        <f>'4C2 Open-burning '!AH130</f>
        <v>9.5012348041607686E-2</v>
      </c>
      <c r="J104" s="987">
        <f>'4D Wastewater treatment and dis'!AV167</f>
        <v>179.68429081250378</v>
      </c>
      <c r="K104" s="770">
        <f>'4D Wastewater treatment and dis'!AW167</f>
        <v>3.166598194351784</v>
      </c>
      <c r="L104" s="771">
        <f t="shared" si="111"/>
        <v>13833.630992612654</v>
      </c>
      <c r="M104" s="772">
        <f t="shared" si="112"/>
        <v>15.113540690242427</v>
      </c>
      <c r="N104" s="771">
        <f t="shared" si="113"/>
        <v>1282.4918814291432</v>
      </c>
      <c r="O104" s="773">
        <f t="shared" si="114"/>
        <v>193.05753067442905</v>
      </c>
      <c r="P104" s="771">
        <f t="shared" si="115"/>
        <v>4755.015547311632</v>
      </c>
      <c r="Q104" s="519">
        <f t="shared" si="74"/>
        <v>13833.630992612654</v>
      </c>
      <c r="R104" s="521">
        <f t="shared" si="75"/>
        <v>1297.6054221193856</v>
      </c>
      <c r="S104" s="518">
        <f t="shared" si="76"/>
        <v>193.05753067442905</v>
      </c>
      <c r="T104" s="519">
        <f t="shared" si="77"/>
        <v>4755.015547311632</v>
      </c>
      <c r="U104" s="519">
        <f t="shared" si="78"/>
        <v>20079.309492718101</v>
      </c>
    </row>
    <row r="105" spans="1:21">
      <c r="A105" s="4">
        <f>'Input data'!A126</f>
        <v>2026</v>
      </c>
      <c r="B105" s="4"/>
      <c r="C105" s="769">
        <f>'4A SWD Case 2'!BG96</f>
        <v>634.12673709939804</v>
      </c>
      <c r="D105" s="3">
        <f>'4B Biological treatment '!T158</f>
        <v>0.72324166392652123</v>
      </c>
      <c r="E105" s="1159">
        <f>'4B Biological treatment '!U158</f>
        <v>32.545874876693453</v>
      </c>
      <c r="F105" s="1159">
        <f>'4B Biological treatment '!W158</f>
        <v>1.9527524926016073</v>
      </c>
      <c r="G105" s="952">
        <f>'4C2 Open-burning '!R131</f>
        <v>18.985188117273655</v>
      </c>
      <c r="H105" s="952">
        <f>'4C2 Open-burning '!Z131</f>
        <v>6.3879345628548228</v>
      </c>
      <c r="I105" s="952">
        <f>'4C2 Open-burning '!AH131</f>
        <v>8.8930830749442052E-2</v>
      </c>
      <c r="J105" s="987">
        <f>'4D Wastewater treatment and dis'!AV168</f>
        <v>185.73930530907452</v>
      </c>
      <c r="K105" s="770">
        <f>'4D Wastewater treatment and dis'!AW168</f>
        <v>3.1977779387807019</v>
      </c>
      <c r="L105" s="771">
        <f t="shared" si="111"/>
        <v>13316.661479087359</v>
      </c>
      <c r="M105" s="772">
        <f t="shared" si="112"/>
        <v>15.188074942456947</v>
      </c>
      <c r="N105" s="771">
        <f t="shared" si="113"/>
        <v>1288.8166451170609</v>
      </c>
      <c r="O105" s="773">
        <f t="shared" si="114"/>
        <v>180.70037146955198</v>
      </c>
      <c r="P105" s="771">
        <f t="shared" si="115"/>
        <v>4891.8365725125823</v>
      </c>
      <c r="Q105" s="519">
        <f t="shared" si="74"/>
        <v>13316.661479087359</v>
      </c>
      <c r="R105" s="521">
        <f t="shared" si="75"/>
        <v>1304.0047200595179</v>
      </c>
      <c r="S105" s="518">
        <f t="shared" si="76"/>
        <v>180.70037146955198</v>
      </c>
      <c r="T105" s="519">
        <f t="shared" si="77"/>
        <v>4891.8365725125823</v>
      </c>
      <c r="U105" s="519">
        <f t="shared" si="78"/>
        <v>19693.203143129009</v>
      </c>
    </row>
    <row r="106" spans="1:21">
      <c r="A106" s="4">
        <f>'Input data'!A127</f>
        <v>2027</v>
      </c>
      <c r="B106" s="4"/>
      <c r="C106" s="769">
        <f>'4A SWD Case 2'!BG97</f>
        <v>610.40463923099992</v>
      </c>
      <c r="D106" s="3">
        <f>'4B Biological treatment '!T159</f>
        <v>0.72670669088531825</v>
      </c>
      <c r="E106" s="1159">
        <f>'4B Biological treatment '!U159</f>
        <v>32.701801089839321</v>
      </c>
      <c r="F106" s="1159">
        <f>'4B Biological treatment '!W159</f>
        <v>1.9621080653903591</v>
      </c>
      <c r="G106" s="952">
        <f>'4C2 Open-burning '!R132</f>
        <v>17.661577035208047</v>
      </c>
      <c r="H106" s="952">
        <f>'4C2 Open-burning '!Z132</f>
        <v>5.9425799565861794</v>
      </c>
      <c r="I106" s="952">
        <f>'4C2 Open-burning '!AH132</f>
        <v>8.2730742955201886E-2</v>
      </c>
      <c r="J106" s="987">
        <f>'4D Wastewater treatment and dis'!AV169</f>
        <v>191.89613972825521</v>
      </c>
      <c r="K106" s="770">
        <f>'4D Wastewater treatment and dis'!AW169</f>
        <v>3.2292646929415123</v>
      </c>
      <c r="L106" s="771">
        <f t="shared" si="111"/>
        <v>12818.497423850999</v>
      </c>
      <c r="M106" s="772">
        <f t="shared" si="112"/>
        <v>15.260840508591683</v>
      </c>
      <c r="N106" s="771">
        <f t="shared" si="113"/>
        <v>1294.991323157637</v>
      </c>
      <c r="O106" s="773">
        <f t="shared" si="114"/>
        <v>168.10228643963038</v>
      </c>
      <c r="P106" s="771">
        <f t="shared" si="115"/>
        <v>5030.8909891052281</v>
      </c>
      <c r="Q106" s="519">
        <f t="shared" si="74"/>
        <v>12818.497423850999</v>
      </c>
      <c r="R106" s="521">
        <f t="shared" si="75"/>
        <v>1310.2521636662286</v>
      </c>
      <c r="S106" s="518">
        <f t="shared" si="76"/>
        <v>168.10228643963038</v>
      </c>
      <c r="T106" s="519">
        <f t="shared" si="77"/>
        <v>5030.8909891052281</v>
      </c>
      <c r="U106" s="519">
        <f t="shared" si="78"/>
        <v>19327.742863062085</v>
      </c>
    </row>
    <row r="107" spans="1:21">
      <c r="A107" s="4">
        <f>'Input data'!A128</f>
        <v>2028</v>
      </c>
      <c r="B107" s="4"/>
      <c r="C107" s="769">
        <f>'4A SWD Case 2'!BG98</f>
        <v>587.50714081633862</v>
      </c>
      <c r="D107" s="3">
        <f>'4B Biological treatment '!T160</f>
        <v>0.73033528775676571</v>
      </c>
      <c r="E107" s="1159">
        <f>'4B Biological treatment '!U160</f>
        <v>32.865087949054455</v>
      </c>
      <c r="F107" s="1159">
        <f>'4B Biological treatment '!W160</f>
        <v>1.971905276943267</v>
      </c>
      <c r="G107" s="952">
        <f>'4C2 Open-burning '!R133</f>
        <v>16.311739327952857</v>
      </c>
      <c r="H107" s="952">
        <f>'4C2 Open-burning '!Z133</f>
        <v>5.48840089387914</v>
      </c>
      <c r="I107" s="952">
        <f>'4C2 Open-burning '!AH133</f>
        <v>7.6407803833313151E-2</v>
      </c>
      <c r="J107" s="987">
        <f>'4D Wastewater treatment and dis'!AV170</f>
        <v>198.15621215016739</v>
      </c>
      <c r="K107" s="770">
        <f>'4D Wastewater treatment and dis'!AW170</f>
        <v>3.2610614797895683</v>
      </c>
      <c r="L107" s="771">
        <f t="shared" si="111"/>
        <v>12337.64995714311</v>
      </c>
      <c r="M107" s="772">
        <f t="shared" si="112"/>
        <v>15.33704104289208</v>
      </c>
      <c r="N107" s="771">
        <f t="shared" si="113"/>
        <v>1301.4574827825563</v>
      </c>
      <c r="O107" s="773">
        <f t="shared" si="114"/>
        <v>155.25457728774188</v>
      </c>
      <c r="P107" s="771">
        <f t="shared" si="115"/>
        <v>5172.2095138882814</v>
      </c>
      <c r="Q107" s="519">
        <f t="shared" si="74"/>
        <v>12337.64995714311</v>
      </c>
      <c r="R107" s="521">
        <f t="shared" si="75"/>
        <v>1316.7945238254483</v>
      </c>
      <c r="S107" s="518">
        <f t="shared" si="76"/>
        <v>155.25457728774188</v>
      </c>
      <c r="T107" s="519">
        <f t="shared" si="77"/>
        <v>5172.2095138882814</v>
      </c>
      <c r="U107" s="519">
        <f t="shared" si="78"/>
        <v>18981.908572144581</v>
      </c>
    </row>
    <row r="108" spans="1:21">
      <c r="A108" s="4">
        <f>'Input data'!A129</f>
        <v>2029</v>
      </c>
      <c r="B108" s="4"/>
      <c r="C108" s="769">
        <f>'4A SWD Case 2'!BG99</f>
        <v>565.36629857646562</v>
      </c>
      <c r="D108" s="3">
        <f>'4B Biological treatment '!T161</f>
        <v>0.73380793744347517</v>
      </c>
      <c r="E108" s="1159">
        <f>'4B Biological treatment '!U161</f>
        <v>33.021357184956379</v>
      </c>
      <c r="F108" s="1159">
        <f>'4B Biological treatment '!W161</f>
        <v>1.9812814310973828</v>
      </c>
      <c r="G108" s="952">
        <f>'4C2 Open-burning '!R134</f>
        <v>14.93472003386634</v>
      </c>
      <c r="H108" s="952">
        <f>'4C2 Open-burning '!Z134</f>
        <v>5.0250760593777697</v>
      </c>
      <c r="I108" s="952">
        <f>'4C2 Open-burning '!AH134</f>
        <v>6.9957540131701232E-2</v>
      </c>
      <c r="J108" s="987">
        <f>'4D Wastewater treatment and dis'!AV171</f>
        <v>204.52095870933701</v>
      </c>
      <c r="K108" s="770">
        <f>'4D Wastewater treatment and dis'!AW171</f>
        <v>3.2931713520456056</v>
      </c>
      <c r="L108" s="771">
        <f t="shared" si="111"/>
        <v>11872.692270105777</v>
      </c>
      <c r="M108" s="772">
        <f t="shared" si="112"/>
        <v>15.409966686312979</v>
      </c>
      <c r="N108" s="771">
        <f t="shared" si="113"/>
        <v>1307.6457445242727</v>
      </c>
      <c r="O108" s="773">
        <f t="shared" si="114"/>
        <v>142.1481547216269</v>
      </c>
      <c r="P108" s="771">
        <f t="shared" si="115"/>
        <v>5315.8232520302154</v>
      </c>
      <c r="Q108" s="519">
        <f t="shared" si="74"/>
        <v>11872.692270105777</v>
      </c>
      <c r="R108" s="521">
        <f t="shared" si="75"/>
        <v>1323.0557112105857</v>
      </c>
      <c r="S108" s="518">
        <f t="shared" si="76"/>
        <v>142.1481547216269</v>
      </c>
      <c r="T108" s="519">
        <f t="shared" si="77"/>
        <v>5315.8232520302154</v>
      </c>
      <c r="U108" s="519">
        <f t="shared" si="78"/>
        <v>18653.719388068203</v>
      </c>
    </row>
    <row r="109" spans="1:21">
      <c r="A109" s="4">
        <f>'Input data'!A130</f>
        <v>2030</v>
      </c>
      <c r="B109" s="4"/>
      <c r="C109" s="769">
        <f>'4A SWD Case 2'!BG100</f>
        <v>543.91696180929534</v>
      </c>
      <c r="D109" s="3">
        <f>'4B Biological treatment '!T162</f>
        <v>0.73738513770084768</v>
      </c>
      <c r="E109" s="1159">
        <f>'4B Biological treatment '!U162</f>
        <v>33.182331196538144</v>
      </c>
      <c r="F109" s="1159">
        <f>'4B Biological treatment '!W162</f>
        <v>1.9909398717922886</v>
      </c>
      <c r="G109" s="952">
        <f>'4C2 Open-burning '!R135</f>
        <v>13.529520713203713</v>
      </c>
      <c r="H109" s="952">
        <f>'4C2 Open-burning '!Z135</f>
        <v>4.5522695086755505</v>
      </c>
      <c r="I109" s="952">
        <f>'4C2 Open-burning '!AH135</f>
        <v>6.3375274937216314E-2</v>
      </c>
      <c r="J109" s="987">
        <f>'4D Wastewater treatment and dis'!AV172</f>
        <v>210.99183381275145</v>
      </c>
      <c r="K109" s="770">
        <f>'4D Wastewater treatment and dis'!AW172</f>
        <v>3.3255973924888065</v>
      </c>
      <c r="L109" s="771">
        <f t="shared" si="111"/>
        <v>11422.256197995202</v>
      </c>
      <c r="M109" s="772">
        <f t="shared" si="112"/>
        <v>15.485087891717802</v>
      </c>
      <c r="N109" s="771">
        <f t="shared" si="113"/>
        <v>1314.0203153829104</v>
      </c>
      <c r="O109" s="773">
        <f t="shared" si="114"/>
        <v>128.77351562592733</v>
      </c>
      <c r="P109" s="771">
        <f t="shared" si="115"/>
        <v>5461.7637017393099</v>
      </c>
      <c r="Q109" s="519">
        <f t="shared" si="74"/>
        <v>11422.256197995202</v>
      </c>
      <c r="R109" s="521">
        <f t="shared" si="75"/>
        <v>1329.5054032746282</v>
      </c>
      <c r="S109" s="518">
        <f t="shared" si="76"/>
        <v>128.77351562592733</v>
      </c>
      <c r="T109" s="519">
        <f t="shared" si="77"/>
        <v>5461.7637017393099</v>
      </c>
      <c r="U109" s="519">
        <f t="shared" si="78"/>
        <v>18342.29881863507</v>
      </c>
    </row>
    <row r="110" spans="1:21">
      <c r="A110" s="4">
        <f>'Input data'!A131</f>
        <v>2031</v>
      </c>
      <c r="B110" s="4"/>
      <c r="C110" s="769">
        <f>'4A SWD Case 2'!BG101</f>
        <v>523.09661643595405</v>
      </c>
      <c r="D110" s="3">
        <f>'4B Biological treatment '!T163</f>
        <v>0.74158327645395927</v>
      </c>
      <c r="E110" s="1159">
        <f>'4B Biological treatment '!U163</f>
        <v>33.371247440428164</v>
      </c>
      <c r="F110" s="1159">
        <f>'4B Biological treatment '!W163</f>
        <v>2.0022748464256899</v>
      </c>
      <c r="G110" s="952">
        <f>'4C2 Open-burning '!R136</f>
        <v>11.932120220532866</v>
      </c>
      <c r="H110" s="952">
        <f>'4C2 Open-burning '!Z136</f>
        <v>4.014793147903057</v>
      </c>
      <c r="I110" s="952">
        <f>'4C2 Open-burning '!AH136</f>
        <v>5.5892696836052552E-2</v>
      </c>
      <c r="J110" s="987">
        <f>'4D Wastewater treatment and dis'!AV173</f>
        <v>212.79249544373798</v>
      </c>
      <c r="K110" s="770">
        <f>'4D Wastewater treatment and dis'!AW173</f>
        <v>3.3539789441183268</v>
      </c>
      <c r="L110" s="771">
        <f t="shared" si="111"/>
        <v>10985.028945155034</v>
      </c>
      <c r="M110" s="772">
        <f t="shared" si="112"/>
        <v>15.573248805533146</v>
      </c>
      <c r="N110" s="771">
        <f t="shared" si="113"/>
        <v>1321.5013986409554</v>
      </c>
      <c r="O110" s="773">
        <f t="shared" si="114"/>
        <v>113.56951234567336</v>
      </c>
      <c r="P110" s="771">
        <f t="shared" si="115"/>
        <v>5508.3758769951792</v>
      </c>
      <c r="Q110" s="519">
        <f t="shared" si="74"/>
        <v>10985.028945155034</v>
      </c>
      <c r="R110" s="521">
        <f t="shared" si="75"/>
        <v>1337.0746474464886</v>
      </c>
      <c r="S110" s="518">
        <f t="shared" si="76"/>
        <v>113.56951234567336</v>
      </c>
      <c r="T110" s="519">
        <f t="shared" si="77"/>
        <v>5508.3758769951792</v>
      </c>
      <c r="U110" s="519">
        <f t="shared" si="78"/>
        <v>17944.048981942375</v>
      </c>
    </row>
    <row r="111" spans="1:21">
      <c r="A111" s="4">
        <f>'Input data'!A132</f>
        <v>2032</v>
      </c>
      <c r="B111" s="4"/>
      <c r="C111" s="769">
        <f>'4A SWD Case 2'!BG102</f>
        <v>502.72009120012837</v>
      </c>
      <c r="D111" s="3">
        <f>'4B Biological treatment '!T164</f>
        <v>0.74609681018687468</v>
      </c>
      <c r="E111" s="1159">
        <f>'4B Biological treatment '!U164</f>
        <v>33.574356458409355</v>
      </c>
      <c r="F111" s="1159">
        <f>'4B Biological treatment '!W164</f>
        <v>2.0144613875045616</v>
      </c>
      <c r="G111" s="952">
        <f>'4C2 Open-burning '!R137</f>
        <v>10.344645425665796</v>
      </c>
      <c r="H111" s="952">
        <f>'4C2 Open-burning '!Z137</f>
        <v>3.4806564805625984</v>
      </c>
      <c r="I111" s="952">
        <f>'4C2 Open-burning '!AH137</f>
        <v>4.8456612904238333E-2</v>
      </c>
      <c r="J111" s="987">
        <f>'4D Wastewater treatment and dis'!AV174</f>
        <v>214.60852441027842</v>
      </c>
      <c r="K111" s="770">
        <f>'4D Wastewater treatment and dis'!AW174</f>
        <v>3.3826027116200144</v>
      </c>
      <c r="L111" s="771">
        <f t="shared" si="111"/>
        <v>10557.121915202695</v>
      </c>
      <c r="M111" s="772">
        <f t="shared" si="112"/>
        <v>15.668033013924369</v>
      </c>
      <c r="N111" s="771">
        <f t="shared" si="113"/>
        <v>1329.5445157530105</v>
      </c>
      <c r="O111" s="773">
        <f t="shared" si="114"/>
        <v>98.459981517794233</v>
      </c>
      <c r="P111" s="771">
        <f t="shared" si="115"/>
        <v>5555.3858532180511</v>
      </c>
      <c r="Q111" s="519">
        <f t="shared" si="74"/>
        <v>10557.121915202695</v>
      </c>
      <c r="R111" s="521">
        <f t="shared" si="75"/>
        <v>1345.2125487669348</v>
      </c>
      <c r="S111" s="518">
        <f t="shared" si="76"/>
        <v>98.459981517794233</v>
      </c>
      <c r="T111" s="519">
        <f t="shared" si="77"/>
        <v>5555.3858532180511</v>
      </c>
      <c r="U111" s="519">
        <f t="shared" si="78"/>
        <v>17556.180298705476</v>
      </c>
    </row>
    <row r="112" spans="1:21">
      <c r="A112" s="4">
        <f>'Input data'!A133</f>
        <v>2033</v>
      </c>
      <c r="B112" s="4"/>
      <c r="C112" s="769">
        <f>'4A SWD Case 2'!BG103</f>
        <v>482.76343691748349</v>
      </c>
      <c r="D112" s="3">
        <f>'4B Biological treatment '!T165</f>
        <v>0.75076293281486894</v>
      </c>
      <c r="E112" s="1159">
        <f>'4B Biological treatment '!U165</f>
        <v>33.784331976669094</v>
      </c>
      <c r="F112" s="1159">
        <f>'4B Biological treatment '!W165</f>
        <v>2.0270599186001457</v>
      </c>
      <c r="G112" s="952">
        <f>'4C2 Open-burning '!R138</f>
        <v>10.313981067569168</v>
      </c>
      <c r="H112" s="952">
        <f>'4C2 Open-burning '!Z138</f>
        <v>3.4703388628638314</v>
      </c>
      <c r="I112" s="952">
        <f>'4C2 Open-burning '!AH138</f>
        <v>4.8312974251669485E-2</v>
      </c>
      <c r="J112" s="987">
        <f>'4D Wastewater treatment and dis'!AV175</f>
        <v>216.44005186138909</v>
      </c>
      <c r="K112" s="770">
        <f>'4D Wastewater treatment and dis'!AW175</f>
        <v>3.4114707621299263</v>
      </c>
      <c r="L112" s="771">
        <f t="shared" si="111"/>
        <v>10138.032175267153</v>
      </c>
      <c r="M112" s="772">
        <f t="shared" si="112"/>
        <v>15.766021589112247</v>
      </c>
      <c r="N112" s="771">
        <f t="shared" si="113"/>
        <v>1337.8595462760961</v>
      </c>
      <c r="O112" s="773">
        <f t="shared" si="114"/>
        <v>98.168119205727166</v>
      </c>
      <c r="P112" s="771">
        <f t="shared" si="115"/>
        <v>5602.7970253494477</v>
      </c>
      <c r="Q112" s="519">
        <f t="shared" si="74"/>
        <v>10138.032175267153</v>
      </c>
      <c r="R112" s="521">
        <f t="shared" si="75"/>
        <v>1353.6255678652083</v>
      </c>
      <c r="S112" s="518">
        <f t="shared" si="76"/>
        <v>98.168119205727166</v>
      </c>
      <c r="T112" s="519">
        <f t="shared" si="77"/>
        <v>5602.7970253494477</v>
      </c>
      <c r="U112" s="519">
        <f t="shared" si="78"/>
        <v>17192.622887687539</v>
      </c>
    </row>
    <row r="113" spans="1:21">
      <c r="A113" s="4">
        <f>'Input data'!A134</f>
        <v>2034</v>
      </c>
      <c r="B113" s="4"/>
      <c r="C113" s="769">
        <f>'4A SWD Case 2'!BG104</f>
        <v>463.79165700620831</v>
      </c>
      <c r="D113" s="3">
        <f>'4B Biological treatment '!T166</f>
        <v>0.75181112463015531</v>
      </c>
      <c r="E113" s="1159">
        <f>'4B Biological treatment '!U166</f>
        <v>33.83150060835699</v>
      </c>
      <c r="F113" s="1159">
        <f>'4B Biological treatment '!W166</f>
        <v>2.0298900365014192</v>
      </c>
      <c r="G113" s="952">
        <f>'4C2 Open-burning '!R139</f>
        <v>10.283755160967955</v>
      </c>
      <c r="H113" s="952">
        <f>'4C2 Open-burning '!Z139</f>
        <v>3.4601687706699158</v>
      </c>
      <c r="I113" s="952">
        <f>'4C2 Open-burning '!AH139</f>
        <v>4.8171389403123509E-2</v>
      </c>
      <c r="J113" s="987">
        <f>'4D Wastewater treatment and dis'!AV176</f>
        <v>218.28721006534801</v>
      </c>
      <c r="K113" s="770">
        <f>'4D Wastewater treatment and dis'!AW176</f>
        <v>3.4405851804256198</v>
      </c>
      <c r="L113" s="771">
        <f t="shared" si="111"/>
        <v>9739.6247971303746</v>
      </c>
      <c r="M113" s="772">
        <f t="shared" si="112"/>
        <v>15.788033617233262</v>
      </c>
      <c r="N113" s="771">
        <f t="shared" si="113"/>
        <v>1339.7274240909367</v>
      </c>
      <c r="O113" s="773">
        <f t="shared" si="114"/>
        <v>97.880430060004471</v>
      </c>
      <c r="P113" s="771">
        <f t="shared" si="115"/>
        <v>5650.6128173042498</v>
      </c>
      <c r="Q113" s="519">
        <f t="shared" si="74"/>
        <v>9739.6247971303746</v>
      </c>
      <c r="R113" s="521">
        <f t="shared" si="75"/>
        <v>1355.5154577081698</v>
      </c>
      <c r="S113" s="518">
        <f t="shared" si="76"/>
        <v>97.880430060004471</v>
      </c>
      <c r="T113" s="519">
        <f t="shared" si="77"/>
        <v>5650.6128173042498</v>
      </c>
      <c r="U113" s="519">
        <f t="shared" si="78"/>
        <v>16843.6335022028</v>
      </c>
    </row>
    <row r="114" spans="1:21">
      <c r="A114" s="4">
        <f>'Input data'!A135</f>
        <v>2035</v>
      </c>
      <c r="B114" s="4"/>
      <c r="C114" s="769">
        <f>'4A SWD Case 2'!BG105</f>
        <v>445.7567327912634</v>
      </c>
      <c r="D114" s="3">
        <f>'4B Biological treatment '!T167</f>
        <v>0.5751661972491664</v>
      </c>
      <c r="E114" s="1159">
        <f>'4B Biological treatment '!U167</f>
        <v>25.882478876212485</v>
      </c>
      <c r="F114" s="1159">
        <f>'4B Biological treatment '!W167</f>
        <v>1.5529487325727491</v>
      </c>
      <c r="G114" s="952">
        <f>'4C2 Open-burning '!R140</f>
        <v>10.253959437125518</v>
      </c>
      <c r="H114" s="952">
        <f>'4C2 Open-burning '!Z140</f>
        <v>3.450143421804122</v>
      </c>
      <c r="I114" s="952">
        <f>'4C2 Open-burning '!AH140</f>
        <v>4.8031819626004571E-2</v>
      </c>
      <c r="J114" s="987">
        <f>'4D Wastewater treatment and dis'!AV177</f>
        <v>220.15013241924632</v>
      </c>
      <c r="K114" s="770">
        <f>'4D Wastewater treatment and dis'!AW177</f>
        <v>3.4699480690767106</v>
      </c>
      <c r="L114" s="771">
        <f t="shared" si="111"/>
        <v>9360.8913886165319</v>
      </c>
      <c r="M114" s="772">
        <f t="shared" si="112"/>
        <v>12.078490142232495</v>
      </c>
      <c r="N114" s="771">
        <f t="shared" si="113"/>
        <v>1024.9461634980144</v>
      </c>
      <c r="O114" s="773">
        <f t="shared" si="114"/>
        <v>97.596835379073497</v>
      </c>
      <c r="P114" s="771">
        <f t="shared" si="115"/>
        <v>5698.8366822179532</v>
      </c>
      <c r="Q114" s="519">
        <f t="shared" si="74"/>
        <v>9360.8913886165319</v>
      </c>
      <c r="R114" s="521">
        <f t="shared" si="75"/>
        <v>1037.0246536402469</v>
      </c>
      <c r="S114" s="518">
        <f t="shared" si="76"/>
        <v>97.596835379073497</v>
      </c>
      <c r="T114" s="519">
        <f t="shared" si="77"/>
        <v>5698.8366822179532</v>
      </c>
      <c r="U114" s="519">
        <f t="shared" si="78"/>
        <v>16194.349559853807</v>
      </c>
    </row>
    <row r="115" spans="1:21">
      <c r="A115" s="4">
        <f>'Input data'!A136</f>
        <v>2036</v>
      </c>
      <c r="B115" s="4"/>
      <c r="C115" s="769">
        <f>'4A SWD Case 2'!BG106</f>
        <v>425.11697632250548</v>
      </c>
      <c r="D115" s="3">
        <f>'4B Biological treatment '!T168</f>
        <v>0.5751661972491664</v>
      </c>
      <c r="E115" s="1159">
        <f>'4B Biological treatment '!U168</f>
        <v>25.882478876212485</v>
      </c>
      <c r="F115" s="1159">
        <f>'4B Biological treatment '!W168</f>
        <v>1.5529487325727491</v>
      </c>
      <c r="G115" s="952">
        <f>'4C2 Open-burning '!R141</f>
        <v>10.228720631598184</v>
      </c>
      <c r="H115" s="952">
        <f>'4C2 Open-burning '!Z141</f>
        <v>3.4416513364396093</v>
      </c>
      <c r="I115" s="952">
        <f>'4C2 Open-burning '!AH141</f>
        <v>4.7913595464684461E-2</v>
      </c>
      <c r="J115" s="987">
        <f>'4D Wastewater treatment and dis'!AV178</f>
        <v>221.76188597912451</v>
      </c>
      <c r="K115" s="770">
        <f>'4D Wastewater treatment and dis'!AW178</f>
        <v>3.4953521017314642</v>
      </c>
      <c r="L115" s="771">
        <f t="shared" si="111"/>
        <v>8927.4565027726148</v>
      </c>
      <c r="M115" s="772">
        <f t="shared" si="112"/>
        <v>12.078490142232495</v>
      </c>
      <c r="N115" s="771">
        <f t="shared" si="113"/>
        <v>1024.9461634980144</v>
      </c>
      <c r="O115" s="773">
        <f t="shared" si="114"/>
        <v>97.356613290882166</v>
      </c>
      <c r="P115" s="771">
        <f t="shared" si="115"/>
        <v>5740.5587570983689</v>
      </c>
      <c r="Q115" s="519">
        <f t="shared" si="74"/>
        <v>8927.4565027726148</v>
      </c>
      <c r="R115" s="521">
        <f t="shared" si="75"/>
        <v>1037.0246536402469</v>
      </c>
      <c r="S115" s="518">
        <f t="shared" si="76"/>
        <v>97.356613290882166</v>
      </c>
      <c r="T115" s="519">
        <f t="shared" si="77"/>
        <v>5740.5587570983689</v>
      </c>
      <c r="U115" s="519">
        <f t="shared" si="78"/>
        <v>15802.396526802113</v>
      </c>
    </row>
    <row r="116" spans="1:21">
      <c r="A116" s="4">
        <f>'Input data'!A137</f>
        <v>2037</v>
      </c>
      <c r="B116" s="4"/>
      <c r="C116" s="769">
        <f>'4A SWD Case 2'!BG107</f>
        <v>405.49352137893845</v>
      </c>
      <c r="D116" s="3">
        <f>'4B Biological treatment '!T169</f>
        <v>0.5751661972491664</v>
      </c>
      <c r="E116" s="1159">
        <f>'4B Biological treatment '!U169</f>
        <v>25.882478876212485</v>
      </c>
      <c r="F116" s="1159">
        <f>'4B Biological treatment '!W169</f>
        <v>1.5529487325727491</v>
      </c>
      <c r="G116" s="952">
        <f>'4C2 Open-burning '!R142</f>
        <v>10.203787853753198</v>
      </c>
      <c r="H116" s="952">
        <f>'4C2 Open-burning '!Z142</f>
        <v>3.4332622200210539</v>
      </c>
      <c r="I116" s="952">
        <f>'4C2 Open-burning '!AH142</f>
        <v>4.7796804804884324E-2</v>
      </c>
      <c r="J116" s="987">
        <f>'4D Wastewater treatment and dis'!AV179</f>
        <v>223.38543943895829</v>
      </c>
      <c r="K116" s="770">
        <f>'4D Wastewater treatment and dis'!AW179</f>
        <v>3.5209421212835057</v>
      </c>
      <c r="L116" s="771">
        <f t="shared" si="111"/>
        <v>8515.3639489577072</v>
      </c>
      <c r="M116" s="772">
        <f t="shared" si="112"/>
        <v>12.078490142232495</v>
      </c>
      <c r="N116" s="771">
        <f t="shared" si="113"/>
        <v>1024.9461634980144</v>
      </c>
      <c r="O116" s="773">
        <f t="shared" si="114"/>
        <v>97.11930396370947</v>
      </c>
      <c r="P116" s="771">
        <f t="shared" si="115"/>
        <v>5782.5862858160108</v>
      </c>
      <c r="Q116" s="519">
        <f t="shared" si="74"/>
        <v>8515.3639489577072</v>
      </c>
      <c r="R116" s="521">
        <f t="shared" si="75"/>
        <v>1037.0246536402469</v>
      </c>
      <c r="S116" s="518">
        <f t="shared" si="76"/>
        <v>97.11930396370947</v>
      </c>
      <c r="T116" s="519">
        <f t="shared" si="77"/>
        <v>5782.5862858160108</v>
      </c>
      <c r="U116" s="519">
        <f t="shared" si="78"/>
        <v>15432.094192377674</v>
      </c>
    </row>
    <row r="117" spans="1:21">
      <c r="A117" s="4">
        <f>'Input data'!A138</f>
        <v>2038</v>
      </c>
      <c r="B117" s="4"/>
      <c r="C117" s="769">
        <f>'4A SWD Case 2'!BG108</f>
        <v>386.83683188570217</v>
      </c>
      <c r="D117" s="3">
        <f>'4B Biological treatment '!T170</f>
        <v>0.5751661972491664</v>
      </c>
      <c r="E117" s="1159">
        <f>'4B Biological treatment '!U170</f>
        <v>25.882478876212485</v>
      </c>
      <c r="F117" s="1159">
        <f>'4B Biological treatment '!W170</f>
        <v>1.5529487325727491</v>
      </c>
      <c r="G117" s="952">
        <f>'4C2 Open-burning '!R143</f>
        <v>10.179156222495859</v>
      </c>
      <c r="H117" s="952">
        <f>'4C2 Open-burning '!Z143</f>
        <v>3.4249744302095286</v>
      </c>
      <c r="I117" s="952">
        <f>'4C2 Open-burning '!AH143</f>
        <v>4.7681424782474335E-2</v>
      </c>
      <c r="J117" s="987">
        <f>'4D Wastewater treatment and dis'!AV180</f>
        <v>225.02087918766139</v>
      </c>
      <c r="K117" s="770">
        <f>'4D Wastewater treatment and dis'!AW180</f>
        <v>3.5467194893720086</v>
      </c>
      <c r="L117" s="771">
        <f t="shared" si="111"/>
        <v>8123.5734695997453</v>
      </c>
      <c r="M117" s="772">
        <f t="shared" si="112"/>
        <v>12.078490142232495</v>
      </c>
      <c r="N117" s="771">
        <f t="shared" si="113"/>
        <v>1024.9461634980144</v>
      </c>
      <c r="O117" s="773">
        <f t="shared" si="114"/>
        <v>96.88486093946301</v>
      </c>
      <c r="P117" s="771">
        <f t="shared" si="115"/>
        <v>5824.9215046462123</v>
      </c>
      <c r="Q117" s="519">
        <f t="shared" si="74"/>
        <v>8123.5734695997453</v>
      </c>
      <c r="R117" s="521">
        <f t="shared" si="75"/>
        <v>1037.0246536402469</v>
      </c>
      <c r="S117" s="518">
        <f t="shared" si="76"/>
        <v>96.88486093946301</v>
      </c>
      <c r="T117" s="519">
        <f t="shared" si="77"/>
        <v>5824.9215046462123</v>
      </c>
      <c r="U117" s="519">
        <f t="shared" si="78"/>
        <v>15082.404488825667</v>
      </c>
    </row>
    <row r="118" spans="1:21">
      <c r="A118" s="4">
        <f>'Input data'!A139</f>
        <v>2039</v>
      </c>
      <c r="B118" s="4"/>
      <c r="C118" s="769">
        <f>'4A SWD Case 2'!BG109</f>
        <v>369.09978503413464</v>
      </c>
      <c r="D118" s="3">
        <f>'4B Biological treatment '!T171</f>
        <v>0.5751661972491664</v>
      </c>
      <c r="E118" s="1159">
        <f>'4B Biological treatment '!U171</f>
        <v>25.882478876212485</v>
      </c>
      <c r="F118" s="1159">
        <f>'4B Biological treatment '!W171</f>
        <v>1.5529487325727491</v>
      </c>
      <c r="G118" s="952">
        <f>'4C2 Open-burning '!R144</f>
        <v>10.154820958102038</v>
      </c>
      <c r="H118" s="952">
        <f>'4C2 Open-burning '!Z144</f>
        <v>3.4167863587741936</v>
      </c>
      <c r="I118" s="952">
        <f>'4C2 Open-burning '!AH144</f>
        <v>4.7567433008166821E-2</v>
      </c>
      <c r="J118" s="987">
        <f>'4D Wastewater treatment and dis'!AV181</f>
        <v>226.66829224661399</v>
      </c>
      <c r="K118" s="770">
        <f>'4D Wastewater treatment and dis'!AW181</f>
        <v>3.5726855776049167</v>
      </c>
      <c r="L118" s="771">
        <f t="shared" si="111"/>
        <v>7751.0954857168272</v>
      </c>
      <c r="M118" s="772">
        <f t="shared" si="112"/>
        <v>12.078490142232495</v>
      </c>
      <c r="N118" s="771">
        <f t="shared" si="113"/>
        <v>1024.9461634980144</v>
      </c>
      <c r="O118" s="773">
        <f t="shared" si="114"/>
        <v>96.653238724891821</v>
      </c>
      <c r="P118" s="771">
        <f t="shared" si="115"/>
        <v>5867.5666662364183</v>
      </c>
      <c r="Q118" s="519">
        <f t="shared" si="74"/>
        <v>7751.0954857168272</v>
      </c>
      <c r="R118" s="521">
        <f t="shared" si="75"/>
        <v>1037.0246536402469</v>
      </c>
      <c r="S118" s="518">
        <f t="shared" si="76"/>
        <v>96.653238724891821</v>
      </c>
      <c r="T118" s="519">
        <f t="shared" si="77"/>
        <v>5867.5666662364183</v>
      </c>
      <c r="U118" s="519">
        <f t="shared" si="78"/>
        <v>14752.340044318384</v>
      </c>
    </row>
    <row r="119" spans="1:21">
      <c r="A119" s="4">
        <f>'Input data'!A140</f>
        <v>2040</v>
      </c>
      <c r="B119" s="4"/>
      <c r="C119" s="769">
        <f>'4A SWD Case 2'!BG110</f>
        <v>352.86024647140943</v>
      </c>
      <c r="D119" s="3">
        <f>'4B Biological treatment '!T172</f>
        <v>0.5751661972491664</v>
      </c>
      <c r="E119" s="1159">
        <f>'4B Biological treatment '!U172</f>
        <v>25.882478876212485</v>
      </c>
      <c r="F119" s="1159">
        <f>'4B Biological treatment '!W172</f>
        <v>1.5529487325727491</v>
      </c>
      <c r="G119" s="952">
        <f>'4C2 Open-burning '!R145</f>
        <v>10.130777379596603</v>
      </c>
      <c r="H119" s="952">
        <f>'4C2 Open-burning '!Z145</f>
        <v>3.4086964307102301</v>
      </c>
      <c r="I119" s="952">
        <f>'4C2 Open-burning '!AH145</f>
        <v>4.7454807555236386E-2</v>
      </c>
      <c r="J119" s="987">
        <f>'4D Wastewater treatment and dis'!AV182</f>
        <v>228.32776627429359</v>
      </c>
      <c r="K119" s="770">
        <f>'4D Wastewater treatment and dis'!AW182</f>
        <v>3.5988417676319293</v>
      </c>
      <c r="L119" s="771">
        <f t="shared" si="111"/>
        <v>7410.0651758995982</v>
      </c>
      <c r="M119" s="772">
        <f t="shared" si="112"/>
        <v>12.078490142232495</v>
      </c>
      <c r="N119" s="771">
        <f t="shared" si="113"/>
        <v>1024.9461634980144</v>
      </c>
      <c r="O119" s="773">
        <f t="shared" si="114"/>
        <v>96.424392766634725</v>
      </c>
      <c r="P119" s="771">
        <f t="shared" si="115"/>
        <v>5910.5240397260632</v>
      </c>
      <c r="Q119" s="519">
        <f t="shared" si="74"/>
        <v>7410.0651758995982</v>
      </c>
      <c r="R119" s="521">
        <f t="shared" si="75"/>
        <v>1037.0246536402469</v>
      </c>
      <c r="S119" s="518">
        <f t="shared" si="76"/>
        <v>96.424392766634725</v>
      </c>
      <c r="T119" s="519">
        <f t="shared" si="77"/>
        <v>5910.5240397260632</v>
      </c>
      <c r="U119" s="519">
        <f t="shared" si="78"/>
        <v>14454.038262032544</v>
      </c>
    </row>
    <row r="120" spans="1:21">
      <c r="A120" s="4">
        <f>'Input data'!A141</f>
        <v>2041</v>
      </c>
      <c r="B120" s="4"/>
      <c r="C120" s="769">
        <f>'4A SWD Case 2'!BG111</f>
        <v>340.2958279371968</v>
      </c>
      <c r="D120" s="3">
        <f>'4B Biological treatment '!T173</f>
        <v>0.5751661972491664</v>
      </c>
      <c r="E120" s="1159">
        <f>'4B Biological treatment '!U173</f>
        <v>25.882478876212485</v>
      </c>
      <c r="F120" s="1159">
        <f>'4B Biological treatment '!W173</f>
        <v>1.5529487325727491</v>
      </c>
      <c r="G120" s="952">
        <f>'4C2 Open-burning '!R146</f>
        <v>10.110594115867606</v>
      </c>
      <c r="H120" s="952">
        <f>'4C2 Open-burning '!Z146</f>
        <v>3.4019053803835613</v>
      </c>
      <c r="I120" s="952">
        <f>'4C2 Open-burning '!AH146</f>
        <v>4.7360264672670904E-2</v>
      </c>
      <c r="J120" s="987">
        <f>'4D Wastewater treatment and dis'!AV183</f>
        <v>229.74589393780369</v>
      </c>
      <c r="K120" s="770">
        <f>'4D Wastewater treatment and dis'!AW183</f>
        <v>3.6211939201999317</v>
      </c>
      <c r="L120" s="771">
        <f t="shared" si="111"/>
        <v>7146.2123866811326</v>
      </c>
      <c r="M120" s="772">
        <f t="shared" si="112"/>
        <v>12.078490142232495</v>
      </c>
      <c r="N120" s="771">
        <f t="shared" si="113"/>
        <v>1024.9461634980144</v>
      </c>
      <c r="O120" s="773">
        <f t="shared" si="114"/>
        <v>96.232289152450377</v>
      </c>
      <c r="P120" s="771">
        <f t="shared" si="115"/>
        <v>5947.2338879558556</v>
      </c>
      <c r="Q120" s="519">
        <f t="shared" si="74"/>
        <v>7146.2123866811326</v>
      </c>
      <c r="R120" s="521">
        <f t="shared" si="75"/>
        <v>1037.0246536402469</v>
      </c>
      <c r="S120" s="518">
        <f t="shared" si="76"/>
        <v>96.232289152450377</v>
      </c>
      <c r="T120" s="519">
        <f t="shared" si="77"/>
        <v>5947.2338879558556</v>
      </c>
      <c r="U120" s="519">
        <f t="shared" si="78"/>
        <v>14226.703217429686</v>
      </c>
    </row>
    <row r="121" spans="1:21">
      <c r="A121" s="4">
        <f>'Input data'!A142</f>
        <v>2042</v>
      </c>
      <c r="B121" s="4"/>
      <c r="C121" s="769">
        <f>'4A SWD Case 2'!BG112</f>
        <v>328.35225450552497</v>
      </c>
      <c r="D121" s="3">
        <f>'4B Biological treatment '!T174</f>
        <v>0.5751661972491664</v>
      </c>
      <c r="E121" s="1159">
        <f>'4B Biological treatment '!U174</f>
        <v>25.882478876212485</v>
      </c>
      <c r="F121" s="1159">
        <f>'4B Biological treatment '!W174</f>
        <v>1.5529487325727491</v>
      </c>
      <c r="G121" s="952">
        <f>'4C2 Open-burning '!R147</f>
        <v>10.090614955764785</v>
      </c>
      <c r="H121" s="952">
        <f>'4C2 Open-burning '!Z147</f>
        <v>3.3951830046783922</v>
      </c>
      <c r="I121" s="952">
        <f>'4C2 Open-burning '!AH147</f>
        <v>4.7266677856746583E-2</v>
      </c>
      <c r="J121" s="987">
        <f>'4D Wastewater treatment and dis'!AV184</f>
        <v>231.17282949228024</v>
      </c>
      <c r="K121" s="770">
        <f>'4D Wastewater treatment and dis'!AW184</f>
        <v>3.6436849004121257</v>
      </c>
      <c r="L121" s="771">
        <f t="shared" si="111"/>
        <v>6895.3973446160244</v>
      </c>
      <c r="M121" s="772">
        <f t="shared" si="112"/>
        <v>12.078490142232495</v>
      </c>
      <c r="N121" s="771">
        <f t="shared" si="113"/>
        <v>1024.9461634980144</v>
      </c>
      <c r="O121" s="773">
        <f t="shared" si="114"/>
        <v>96.042128189602451</v>
      </c>
      <c r="P121" s="771">
        <f t="shared" si="115"/>
        <v>5984.171738465644</v>
      </c>
      <c r="Q121" s="519">
        <f t="shared" si="74"/>
        <v>6895.3973446160244</v>
      </c>
      <c r="R121" s="521">
        <f t="shared" si="75"/>
        <v>1037.0246536402469</v>
      </c>
      <c r="S121" s="518">
        <f t="shared" si="76"/>
        <v>96.042128189602451</v>
      </c>
      <c r="T121" s="519">
        <f t="shared" si="77"/>
        <v>5984.171738465644</v>
      </c>
      <c r="U121" s="519">
        <f t="shared" si="78"/>
        <v>14012.635864911517</v>
      </c>
    </row>
    <row r="122" spans="1:21">
      <c r="A122" s="4">
        <f>'Input data'!A143</f>
        <v>2043</v>
      </c>
      <c r="B122" s="4"/>
      <c r="C122" s="769">
        <f>'4A SWD Case 2'!BG113</f>
        <v>316.99928131585733</v>
      </c>
      <c r="D122" s="3">
        <f>'4B Biological treatment '!T175</f>
        <v>0.5751661972491664</v>
      </c>
      <c r="E122" s="1159">
        <f>'4B Biological treatment '!U175</f>
        <v>25.882478876212485</v>
      </c>
      <c r="F122" s="1159">
        <f>'4B Biological treatment '!W175</f>
        <v>1.5529487325727491</v>
      </c>
      <c r="G122" s="952">
        <f>'4C2 Open-burning '!R148</f>
        <v>10.070837196069071</v>
      </c>
      <c r="H122" s="952">
        <f>'4C2 Open-burning '!Z148</f>
        <v>3.3885283940442661</v>
      </c>
      <c r="I122" s="952">
        <f>'4C2 Open-burning '!AH148</f>
        <v>4.7174034444985899E-2</v>
      </c>
      <c r="J122" s="987">
        <f>'4D Wastewater treatment and dis'!AV185</f>
        <v>232.6086276429136</v>
      </c>
      <c r="K122" s="770">
        <f>'4D Wastewater treatment and dis'!AW185</f>
        <v>3.666315570517225</v>
      </c>
      <c r="L122" s="771">
        <f t="shared" si="111"/>
        <v>6656.9849076330038</v>
      </c>
      <c r="M122" s="772">
        <f t="shared" si="112"/>
        <v>12.078490142232495</v>
      </c>
      <c r="N122" s="771">
        <f t="shared" si="113"/>
        <v>1024.9461634980144</v>
      </c>
      <c r="O122" s="773">
        <f t="shared" si="114"/>
        <v>95.853884148944275</v>
      </c>
      <c r="P122" s="771">
        <f t="shared" si="115"/>
        <v>6021.3390073615255</v>
      </c>
      <c r="Q122" s="519">
        <f t="shared" si="74"/>
        <v>6656.9849076330038</v>
      </c>
      <c r="R122" s="521">
        <f t="shared" si="75"/>
        <v>1037.0246536402469</v>
      </c>
      <c r="S122" s="518">
        <f t="shared" si="76"/>
        <v>95.853884148944275</v>
      </c>
      <c r="T122" s="519">
        <f t="shared" si="77"/>
        <v>6021.3390073615255</v>
      </c>
      <c r="U122" s="519">
        <f t="shared" si="78"/>
        <v>13811.20245278372</v>
      </c>
    </row>
    <row r="123" spans="1:21">
      <c r="A123" s="4">
        <f>'Input data'!A144</f>
        <v>2044</v>
      </c>
      <c r="B123" s="4"/>
      <c r="C123" s="769">
        <f>'4A SWD Case 2'!BG114</f>
        <v>306.20813597963775</v>
      </c>
      <c r="D123" s="3">
        <f>'4B Biological treatment '!T176</f>
        <v>0.5751661972491664</v>
      </c>
      <c r="E123" s="1159">
        <f>'4B Biological treatment '!U176</f>
        <v>25.882478876212485</v>
      </c>
      <c r="F123" s="1159">
        <f>'4B Biological treatment '!W176</f>
        <v>1.5529487325727491</v>
      </c>
      <c r="G123" s="952">
        <f>'4C2 Open-burning '!R149</f>
        <v>10.051258180143671</v>
      </c>
      <c r="H123" s="952">
        <f>'4C2 Open-burning '!Z149</f>
        <v>3.3819406546042359</v>
      </c>
      <c r="I123" s="952">
        <f>'4C2 Open-burning '!AH149</f>
        <v>4.7082321993113047E-2</v>
      </c>
      <c r="J123" s="987">
        <f>'4D Wastewater treatment and dis'!AV186</f>
        <v>234.0533434346637</v>
      </c>
      <c r="K123" s="770">
        <f>'4D Wastewater treatment and dis'!AW186</f>
        <v>3.6890867981193103</v>
      </c>
      <c r="L123" s="771">
        <f t="shared" si="111"/>
        <v>6430.3708555723924</v>
      </c>
      <c r="M123" s="772">
        <f t="shared" si="112"/>
        <v>12.078490142232495</v>
      </c>
      <c r="N123" s="771">
        <f t="shared" si="113"/>
        <v>1024.9461634980144</v>
      </c>
      <c r="O123" s="773">
        <f t="shared" si="114"/>
        <v>95.667531744697669</v>
      </c>
      <c r="P123" s="771">
        <f t="shared" si="115"/>
        <v>6058.7371195449232</v>
      </c>
      <c r="Q123" s="519">
        <f t="shared" si="74"/>
        <v>6430.3708555723924</v>
      </c>
      <c r="R123" s="521">
        <f t="shared" si="75"/>
        <v>1037.0246536402469</v>
      </c>
      <c r="S123" s="518">
        <f t="shared" si="76"/>
        <v>95.667531744697669</v>
      </c>
      <c r="T123" s="519">
        <f t="shared" si="77"/>
        <v>6058.7371195449232</v>
      </c>
      <c r="U123" s="519">
        <f t="shared" si="78"/>
        <v>13621.800160502262</v>
      </c>
    </row>
    <row r="124" spans="1:21">
      <c r="A124" s="4">
        <f>'Input data'!A145</f>
        <v>2045</v>
      </c>
      <c r="B124" s="4"/>
      <c r="C124" s="769">
        <f>'4A SWD Case 2'!BG115</f>
        <v>295.95144695509998</v>
      </c>
      <c r="D124" s="3">
        <f>'4B Biological treatment '!T177</f>
        <v>0.5751661972491664</v>
      </c>
      <c r="E124" s="1159">
        <f>'4B Biological treatment '!U177</f>
        <v>25.882478876212485</v>
      </c>
      <c r="F124" s="1159">
        <f>'4B Biological treatment '!W177</f>
        <v>1.5529487325727491</v>
      </c>
      <c r="G124" s="952">
        <f>'4C2 Open-burning '!R150</f>
        <v>10.031875296933661</v>
      </c>
      <c r="H124" s="952">
        <f>'4C2 Open-burning '!Z150</f>
        <v>3.3754189078182595</v>
      </c>
      <c r="I124" s="952">
        <f>'4C2 Open-burning '!AH150</f>
        <v>4.699152827036783E-2</v>
      </c>
      <c r="J124" s="987">
        <f>'4D Wastewater treatment and dis'!AV187</f>
        <v>235.50703225437104</v>
      </c>
      <c r="K124" s="770">
        <f>'4D Wastewater treatment and dis'!AW187</f>
        <v>3.711999456211089</v>
      </c>
      <c r="L124" s="771">
        <f t="shared" si="111"/>
        <v>6214.9803860570992</v>
      </c>
      <c r="M124" s="772">
        <f t="shared" si="112"/>
        <v>12.078490142232495</v>
      </c>
      <c r="N124" s="771">
        <f t="shared" si="113"/>
        <v>1024.9461634980144</v>
      </c>
      <c r="O124" s="773">
        <f t="shared" si="114"/>
        <v>95.48304612493115</v>
      </c>
      <c r="P124" s="771">
        <f t="shared" si="115"/>
        <v>6096.3675087672291</v>
      </c>
      <c r="Q124" s="519">
        <f t="shared" si="74"/>
        <v>6214.9803860570992</v>
      </c>
      <c r="R124" s="521">
        <f t="shared" si="75"/>
        <v>1037.0246536402469</v>
      </c>
      <c r="S124" s="518">
        <f t="shared" si="76"/>
        <v>95.48304612493115</v>
      </c>
      <c r="T124" s="519">
        <f t="shared" si="77"/>
        <v>6096.3675087672291</v>
      </c>
      <c r="U124" s="519">
        <f t="shared" si="78"/>
        <v>13443.855594589506</v>
      </c>
    </row>
    <row r="125" spans="1:21">
      <c r="A125" s="4">
        <f>'Input data'!A146</f>
        <v>2046</v>
      </c>
      <c r="B125" s="4"/>
      <c r="C125" s="769">
        <f>'4A SWD Case 2'!BG116</f>
        <v>286.20317540396729</v>
      </c>
      <c r="D125" s="3">
        <f>'4B Biological treatment '!T178</f>
        <v>0.5751661972491664</v>
      </c>
      <c r="E125" s="1159">
        <f>'4B Biological treatment '!U178</f>
        <v>25.882478876212485</v>
      </c>
      <c r="F125" s="1159">
        <f>'4B Biological treatment '!W178</f>
        <v>1.5529487325727491</v>
      </c>
      <c r="G125" s="952">
        <f>'4C2 Open-burning '!R151</f>
        <v>10.016080649685344</v>
      </c>
      <c r="H125" s="952">
        <f>'4C2 Open-burning '!Z151</f>
        <v>3.3701044925782111</v>
      </c>
      <c r="I125" s="952">
        <f>'4C2 Open-burning '!AH151</f>
        <v>4.6917542640490965E-2</v>
      </c>
      <c r="J125" s="987">
        <f>'4D Wastewater treatment and dis'!AV188</f>
        <v>236.70925796835201</v>
      </c>
      <c r="K125" s="770">
        <f>'4D Wastewater treatment and dis'!AW188</f>
        <v>3.7309486194433799</v>
      </c>
      <c r="L125" s="771">
        <f t="shared" si="111"/>
        <v>6010.2666834833135</v>
      </c>
      <c r="M125" s="772">
        <f t="shared" si="112"/>
        <v>12.078490142232495</v>
      </c>
      <c r="N125" s="771">
        <f t="shared" si="113"/>
        <v>1024.9461634980144</v>
      </c>
      <c r="O125" s="773">
        <f t="shared" si="114"/>
        <v>95.332713212379986</v>
      </c>
      <c r="P125" s="771">
        <f t="shared" si="115"/>
        <v>6127.4884893628396</v>
      </c>
      <c r="Q125" s="519">
        <f t="shared" si="74"/>
        <v>6010.2666834833135</v>
      </c>
      <c r="R125" s="521">
        <f t="shared" si="75"/>
        <v>1037.0246536402469</v>
      </c>
      <c r="S125" s="518">
        <f t="shared" si="76"/>
        <v>95.332713212379986</v>
      </c>
      <c r="T125" s="519">
        <f t="shared" si="77"/>
        <v>6127.4884893628396</v>
      </c>
      <c r="U125" s="519">
        <f t="shared" si="78"/>
        <v>13270.112539698781</v>
      </c>
    </row>
    <row r="126" spans="1:21">
      <c r="A126" s="4">
        <f>'Input data'!A147</f>
        <v>2047</v>
      </c>
      <c r="B126" s="4"/>
      <c r="C126" s="769">
        <f>'4A SWD Case 2'!BG117</f>
        <v>276.93682935400375</v>
      </c>
      <c r="D126" s="3">
        <f>'4B Biological treatment '!T179</f>
        <v>0.5751661972491664</v>
      </c>
      <c r="E126" s="1159">
        <f>'4B Biological treatment '!U179</f>
        <v>25.882478876212485</v>
      </c>
      <c r="F126" s="1159">
        <f>'4B Biological treatment '!W179</f>
        <v>1.5529487325727491</v>
      </c>
      <c r="G126" s="952">
        <f>'4C2 Open-burning '!R152</f>
        <v>10.000415502259907</v>
      </c>
      <c r="H126" s="952">
        <f>'4C2 Open-burning '!Z152</f>
        <v>3.3648336500638756</v>
      </c>
      <c r="I126" s="952">
        <f>'4C2 Open-burning '!AH152</f>
        <v>4.6844163616498617E-2</v>
      </c>
      <c r="J126" s="987">
        <f>'4D Wastewater treatment and dis'!AV189</f>
        <v>237.91762085222362</v>
      </c>
      <c r="K126" s="770">
        <f>'4D Wastewater treatment and dis'!AW189</f>
        <v>3.74999451512174</v>
      </c>
      <c r="L126" s="771">
        <f t="shared" si="111"/>
        <v>5815.6734164340787</v>
      </c>
      <c r="M126" s="772">
        <f t="shared" si="112"/>
        <v>12.078490142232495</v>
      </c>
      <c r="N126" s="771">
        <f t="shared" si="113"/>
        <v>1024.9461634980144</v>
      </c>
      <c r="O126" s="773">
        <f t="shared" si="114"/>
        <v>95.183612874715863</v>
      </c>
      <c r="P126" s="771">
        <f t="shared" si="115"/>
        <v>6158.7683375844354</v>
      </c>
      <c r="Q126" s="519">
        <f t="shared" ref="Q126:Q129" si="116">L126</f>
        <v>5815.6734164340787</v>
      </c>
      <c r="R126" s="521">
        <f t="shared" ref="R126:R129" si="117">M126+N126</f>
        <v>1037.0246536402469</v>
      </c>
      <c r="S126" s="518">
        <f t="shared" ref="S126:S129" si="118">O126</f>
        <v>95.183612874715863</v>
      </c>
      <c r="T126" s="519">
        <f t="shared" ref="T126:T129" si="119">P126</f>
        <v>6158.7683375844354</v>
      </c>
      <c r="U126" s="519">
        <f t="shared" ref="U126:U129" si="120">SUM(Q126:T126)</f>
        <v>13106.650020533478</v>
      </c>
    </row>
    <row r="127" spans="1:21">
      <c r="A127" s="4">
        <f>'Input data'!A148</f>
        <v>2048</v>
      </c>
      <c r="B127" s="4"/>
      <c r="C127" s="769">
        <f>'4A SWD Case 2'!BG118</f>
        <v>268.12894141917309</v>
      </c>
      <c r="D127" s="3">
        <f>'4B Biological treatment '!T180</f>
        <v>0.5751661972491664</v>
      </c>
      <c r="E127" s="1159">
        <f>'4B Biological treatment '!U180</f>
        <v>25.882478876212485</v>
      </c>
      <c r="F127" s="1159">
        <f>'4B Biological treatment '!W180</f>
        <v>1.5529487325727491</v>
      </c>
      <c r="G127" s="952">
        <f>'4C2 Open-burning '!R153</f>
        <v>9.984878469104487</v>
      </c>
      <c r="H127" s="952">
        <f>'4C2 Open-burning '!Z153</f>
        <v>3.3596059140791366</v>
      </c>
      <c r="I127" s="952">
        <f>'4C2 Open-burning '!AH153</f>
        <v>4.6771384708153965E-2</v>
      </c>
      <c r="J127" s="987">
        <f>'4D Wastewater treatment and dis'!AV190</f>
        <v>239.13215223525594</v>
      </c>
      <c r="K127" s="770">
        <f>'4D Wastewater treatment and dis'!AW190</f>
        <v>3.769137637049826</v>
      </c>
      <c r="L127" s="771">
        <f t="shared" si="111"/>
        <v>5630.7077698026351</v>
      </c>
      <c r="M127" s="772">
        <f t="shared" si="112"/>
        <v>12.078490142232495</v>
      </c>
      <c r="N127" s="771">
        <f t="shared" si="113"/>
        <v>1024.9461634980144</v>
      </c>
      <c r="O127" s="773">
        <f t="shared" si="114"/>
        <v>95.035731924294083</v>
      </c>
      <c r="P127" s="771">
        <f t="shared" si="115"/>
        <v>6190.2078644258199</v>
      </c>
      <c r="Q127" s="519">
        <f t="shared" si="116"/>
        <v>5630.7077698026351</v>
      </c>
      <c r="R127" s="521">
        <f t="shared" si="117"/>
        <v>1037.0246536402469</v>
      </c>
      <c r="S127" s="518">
        <f t="shared" si="118"/>
        <v>95.035731924294083</v>
      </c>
      <c r="T127" s="519">
        <f t="shared" si="119"/>
        <v>6190.2078644258199</v>
      </c>
      <c r="U127" s="519">
        <f t="shared" si="120"/>
        <v>12952.976019792995</v>
      </c>
    </row>
    <row r="128" spans="1:21">
      <c r="A128" s="4">
        <f>'Input data'!A149</f>
        <v>2049</v>
      </c>
      <c r="B128" s="4"/>
      <c r="C128" s="769">
        <f>'4A SWD Case 2'!BG119</f>
        <v>259.75718622946454</v>
      </c>
      <c r="D128" s="3">
        <f>'4B Biological treatment '!T181</f>
        <v>0.5751661972491664</v>
      </c>
      <c r="E128" s="1159">
        <f>'4B Biological treatment '!U181</f>
        <v>25.882478876212485</v>
      </c>
      <c r="F128" s="1159">
        <f>'4B Biological treatment '!W181</f>
        <v>1.5529487325727491</v>
      </c>
      <c r="G128" s="952">
        <f>'4C2 Open-burning '!R154</f>
        <v>9.9694681839421868</v>
      </c>
      <c r="H128" s="952">
        <f>'4C2 Open-burning '!Z154</f>
        <v>3.3544208249136438</v>
      </c>
      <c r="I128" s="952">
        <f>'4C2 Open-burning '!AH154</f>
        <v>4.669919951551306E-2</v>
      </c>
      <c r="J128" s="987">
        <f>'4D Wastewater treatment and dis'!AV191</f>
        <v>240.35288360665007</v>
      </c>
      <c r="K128" s="770">
        <f>'4D Wastewater treatment and dis'!AW191</f>
        <v>3.7883784815520856</v>
      </c>
      <c r="L128" s="771">
        <f t="shared" si="111"/>
        <v>5454.9009108187556</v>
      </c>
      <c r="M128" s="772">
        <f t="shared" si="112"/>
        <v>12.078490142232495</v>
      </c>
      <c r="N128" s="771">
        <f t="shared" si="113"/>
        <v>1024.9461634980144</v>
      </c>
      <c r="O128" s="773">
        <f t="shared" si="114"/>
        <v>94.889057356937755</v>
      </c>
      <c r="P128" s="771">
        <f t="shared" si="115"/>
        <v>6221.8078850207985</v>
      </c>
      <c r="Q128" s="519">
        <f t="shared" si="116"/>
        <v>5454.9009108187556</v>
      </c>
      <c r="R128" s="521">
        <f t="shared" si="117"/>
        <v>1037.0246536402469</v>
      </c>
      <c r="S128" s="518">
        <f t="shared" si="118"/>
        <v>94.889057356937755</v>
      </c>
      <c r="T128" s="519">
        <f t="shared" si="119"/>
        <v>6221.8078850207985</v>
      </c>
      <c r="U128" s="519">
        <f t="shared" si="120"/>
        <v>12808.622506836738</v>
      </c>
    </row>
    <row r="129" spans="1:21">
      <c r="A129" s="4">
        <f>'Input data'!A150</f>
        <v>2050</v>
      </c>
      <c r="B129" s="4"/>
      <c r="C129" s="769">
        <f>'4A SWD Case 2'!BG120</f>
        <v>251.80032490063209</v>
      </c>
      <c r="D129" s="3">
        <f>'4B Biological treatment '!T182</f>
        <v>0.5751661972491664</v>
      </c>
      <c r="E129" s="1159">
        <f>'4B Biological treatment '!U182</f>
        <v>25.882478876212485</v>
      </c>
      <c r="F129" s="1159">
        <f>'4B Biological treatment '!W182</f>
        <v>1.5529487325727491</v>
      </c>
      <c r="G129" s="952">
        <f>'4C2 Open-burning '!R155</f>
        <v>9.9541832994375596</v>
      </c>
      <c r="H129" s="952">
        <f>'4C2 Open-burning '!Z155</f>
        <v>3.3492779292302703</v>
      </c>
      <c r="I129" s="952">
        <f>'4C2 Open-burning '!AH155</f>
        <v>4.6627601727357929E-2</v>
      </c>
      <c r="J129" s="987">
        <f>'4D Wastewater treatment and dis'!AV192</f>
        <v>241.57984661635467</v>
      </c>
      <c r="K129" s="770">
        <f>'4D Wastewater treatment and dis'!AW192</f>
        <v>3.8077175474866229</v>
      </c>
      <c r="L129" s="771">
        <f t="shared" si="111"/>
        <v>5287.8068229132741</v>
      </c>
      <c r="M129" s="772">
        <f t="shared" si="112"/>
        <v>12.078490142232495</v>
      </c>
      <c r="N129" s="771">
        <f t="shared" si="113"/>
        <v>1024.9461634980144</v>
      </c>
      <c r="O129" s="773">
        <f t="shared" si="114"/>
        <v>94.743576348754203</v>
      </c>
      <c r="P129" s="771">
        <f t="shared" si="115"/>
        <v>6253.5692186643009</v>
      </c>
      <c r="Q129" s="471">
        <f t="shared" si="116"/>
        <v>5287.8068229132741</v>
      </c>
      <c r="R129" s="517">
        <f t="shared" si="117"/>
        <v>1037.0246536402469</v>
      </c>
      <c r="S129" s="514">
        <f t="shared" si="118"/>
        <v>94.743576348754203</v>
      </c>
      <c r="T129" s="471">
        <f t="shared" si="119"/>
        <v>6253.5692186643009</v>
      </c>
      <c r="U129" s="471">
        <f t="shared" si="120"/>
        <v>12673.144271566576</v>
      </c>
    </row>
    <row r="130" spans="1:21">
      <c r="A130" s="413" t="s">
        <v>649</v>
      </c>
      <c r="B130" s="413"/>
      <c r="C130" s="471"/>
      <c r="D130" s="3"/>
      <c r="E130" s="472"/>
      <c r="F130" s="472"/>
      <c r="G130" s="952"/>
      <c r="H130" s="952"/>
      <c r="I130" s="952"/>
      <c r="J130" s="986"/>
      <c r="K130" s="515"/>
      <c r="L130" s="471"/>
      <c r="M130" s="3"/>
      <c r="N130" s="471"/>
      <c r="O130" s="514"/>
      <c r="P130" s="471"/>
      <c r="Q130" s="471"/>
      <c r="R130" s="517"/>
      <c r="S130" s="514"/>
      <c r="T130" s="471"/>
      <c r="U130" s="471"/>
    </row>
    <row r="131" spans="1:21">
      <c r="A131" s="4">
        <f>'Input data'!A118</f>
        <v>2018</v>
      </c>
      <c r="B131" s="4"/>
      <c r="C131" s="769">
        <f>'4A SWD Case 2'!BN88</f>
        <v>821.57255218782393</v>
      </c>
      <c r="D131" s="3">
        <f>'4B Biological treatment '!T184</f>
        <v>0.32146709865844858</v>
      </c>
      <c r="E131" s="1159">
        <f>'4B Biological treatment '!U184</f>
        <v>20.398057107378527</v>
      </c>
      <c r="F131" s="1159">
        <f>'4B Biological treatment '!W184</f>
        <v>1.2238834264427116</v>
      </c>
      <c r="G131" s="952">
        <f>'4C2 Open-burning '!R123</f>
        <v>32.917048058163878</v>
      </c>
      <c r="H131" s="952">
        <f>'4C2 Open-burning '!Z123</f>
        <v>11.075578903881526</v>
      </c>
      <c r="I131" s="952">
        <f>'4C2 Open-burning '!AH123</f>
        <v>0.15419075184029304</v>
      </c>
      <c r="J131" s="987">
        <f>'4D Wastewater treatment and dis'!AV160</f>
        <v>137.16052165703309</v>
      </c>
      <c r="K131" s="770">
        <f>'4D Wastewater treatment and dis'!AW160</f>
        <v>2.8960026873618072</v>
      </c>
      <c r="L131" s="771">
        <f t="shared" ref="L131:L163" si="121">C131*$B$3</f>
        <v>17253.023595944302</v>
      </c>
      <c r="M131" s="772">
        <f t="shared" ref="M131:M163" si="122">D131*$B$3</f>
        <v>6.7508090718274198</v>
      </c>
      <c r="N131" s="771">
        <f t="shared" ref="N131:N163" si="123">E131*$B$3+F131*$C$3</f>
        <v>807.76306145218973</v>
      </c>
      <c r="O131" s="773">
        <f t="shared" ref="O131:O163" si="124">G131+H131*$B$3+I131*$C$3</f>
        <v>313.30333811016675</v>
      </c>
      <c r="P131" s="771">
        <f t="shared" ref="P131:P163" si="125">J131*$B$3+K131*$C$3</f>
        <v>3778.1317878798554</v>
      </c>
      <c r="Q131" s="471">
        <f t="shared" ref="Q131:Q163" si="126">L131</f>
        <v>17253.023595944302</v>
      </c>
      <c r="R131" s="517">
        <f t="shared" ref="R131:R163" si="127">M131+N131</f>
        <v>814.51387052401719</v>
      </c>
      <c r="S131" s="514">
        <f t="shared" ref="S131:S163" si="128">O131</f>
        <v>313.30333811016675</v>
      </c>
      <c r="T131" s="471">
        <f t="shared" ref="T131:T163" si="129">P131</f>
        <v>3778.1317878798554</v>
      </c>
      <c r="U131" s="471">
        <f t="shared" ref="U131:U163" si="130">SUM(Q131:T131)</f>
        <v>22158.97259245834</v>
      </c>
    </row>
    <row r="132" spans="1:21">
      <c r="A132" s="4">
        <f>'Input data'!A119</f>
        <v>2019</v>
      </c>
      <c r="B132" s="4"/>
      <c r="C132" s="769">
        <f>'4A SWD Case 2'!BN89</f>
        <v>802.90915867354249</v>
      </c>
      <c r="D132" s="3">
        <f>'4B Biological treatment '!T185</f>
        <v>0.37490238576394763</v>
      </c>
      <c r="E132" s="1159">
        <f>'4B Biological treatment '!U185</f>
        <v>21.68365386662515</v>
      </c>
      <c r="F132" s="1159">
        <f>'4B Biological treatment '!W185</f>
        <v>1.3010192319975089</v>
      </c>
      <c r="G132" s="952">
        <f>'4C2 Open-burning '!R124</f>
        <v>32.340305277661429</v>
      </c>
      <c r="H132" s="952">
        <f>'4C2 Open-burning '!Z124</f>
        <v>10.881522615437561</v>
      </c>
      <c r="I132" s="952">
        <f>'4C2 Open-burning '!AH124</f>
        <v>0.15148916077456326</v>
      </c>
      <c r="J132" s="987">
        <f>'4D Wastewater treatment and dis'!AV161</f>
        <v>143.32271319274017</v>
      </c>
      <c r="K132" s="770">
        <f>'4D Wastewater treatment and dis'!AW161</f>
        <v>2.9428357992270668</v>
      </c>
      <c r="L132" s="771">
        <f t="shared" si="121"/>
        <v>16861.092332144392</v>
      </c>
      <c r="M132" s="772">
        <f t="shared" si="122"/>
        <v>7.8729501010429006</v>
      </c>
      <c r="N132" s="771">
        <f t="shared" si="123"/>
        <v>858.67269311835594</v>
      </c>
      <c r="O132" s="773">
        <f t="shared" si="124"/>
        <v>307.81392004196488</v>
      </c>
      <c r="P132" s="771">
        <f t="shared" si="125"/>
        <v>3922.0560748079342</v>
      </c>
      <c r="Q132" s="519">
        <f t="shared" si="126"/>
        <v>16861.092332144392</v>
      </c>
      <c r="R132" s="521">
        <f t="shared" si="127"/>
        <v>866.54564321939881</v>
      </c>
      <c r="S132" s="518">
        <f t="shared" si="128"/>
        <v>307.81392004196488</v>
      </c>
      <c r="T132" s="519">
        <f t="shared" si="129"/>
        <v>3922.0560748079342</v>
      </c>
      <c r="U132" s="519">
        <f t="shared" si="130"/>
        <v>21957.50797021369</v>
      </c>
    </row>
    <row r="133" spans="1:21">
      <c r="A133" s="4">
        <f>'Input data'!A120</f>
        <v>2020</v>
      </c>
      <c r="B133" s="4"/>
      <c r="C133" s="769">
        <f>'4A SWD Case 2'!BN90</f>
        <v>784.21536232583389</v>
      </c>
      <c r="D133" s="3">
        <f>'4B Biological treatment '!T186</f>
        <v>0.44809964143093628</v>
      </c>
      <c r="E133" s="1159">
        <f>'4B Biological treatment '!U186</f>
        <v>23.858539211138797</v>
      </c>
      <c r="F133" s="1159">
        <f>'4B Biological treatment '!W186</f>
        <v>1.431512352668328</v>
      </c>
      <c r="G133" s="952">
        <f>'4C2 Open-burning '!R125</f>
        <v>31.469339877453482</v>
      </c>
      <c r="H133" s="952">
        <f>'4C2 Open-burning '!Z125</f>
        <v>10.588469423197822</v>
      </c>
      <c r="I133" s="952">
        <f>'4C2 Open-burning '!AH125</f>
        <v>0.14740936571980473</v>
      </c>
      <c r="J133" s="987">
        <f>'4D Wastewater treatment and dis'!AV162</f>
        <v>149.64833972612956</v>
      </c>
      <c r="K133" s="770">
        <f>'4D Wastewater treatment and dis'!AW162</f>
        <v>2.9904262793007734</v>
      </c>
      <c r="L133" s="771">
        <f t="shared" si="121"/>
        <v>16468.522608842512</v>
      </c>
      <c r="M133" s="772">
        <f t="shared" si="122"/>
        <v>9.410092470049662</v>
      </c>
      <c r="N133" s="771">
        <f t="shared" si="123"/>
        <v>944.79815276109639</v>
      </c>
      <c r="O133" s="773">
        <f t="shared" si="124"/>
        <v>299.52410113774715</v>
      </c>
      <c r="P133" s="771">
        <f t="shared" si="125"/>
        <v>4069.6472808319609</v>
      </c>
      <c r="Q133" s="519">
        <f t="shared" si="126"/>
        <v>16468.522608842512</v>
      </c>
      <c r="R133" s="521">
        <f t="shared" si="127"/>
        <v>954.20824523114607</v>
      </c>
      <c r="S133" s="518">
        <f t="shared" si="128"/>
        <v>299.52410113774715</v>
      </c>
      <c r="T133" s="519">
        <f t="shared" si="129"/>
        <v>4069.6472808319609</v>
      </c>
      <c r="U133" s="519">
        <f t="shared" si="130"/>
        <v>21791.902236043363</v>
      </c>
    </row>
    <row r="134" spans="1:21">
      <c r="A134" s="4">
        <f>'Input data'!A121</f>
        <v>2021</v>
      </c>
      <c r="B134" s="4"/>
      <c r="C134" s="769">
        <f>'4A SWD Case 2'!BN91</f>
        <v>764.05320314825872</v>
      </c>
      <c r="D134" s="3">
        <f>'4B Biological treatment '!T187</f>
        <v>0.59967426924423284</v>
      </c>
      <c r="E134" s="1159">
        <f>'4B Biological treatment '!U187</f>
        <v>29.317727464612144</v>
      </c>
      <c r="F134" s="1159">
        <f>'4B Biological treatment '!W187</f>
        <v>1.7590636478767285</v>
      </c>
      <c r="G134" s="952">
        <f>'4C2 Open-burning '!R126</f>
        <v>28.931012243244801</v>
      </c>
      <c r="H134" s="952">
        <f>'4C2 Open-burning '!Z126</f>
        <v>9.7343998861328558</v>
      </c>
      <c r="I134" s="952">
        <f>'4C2 Open-burning '!AH126</f>
        <v>0.13551927625479393</v>
      </c>
      <c r="J134" s="987">
        <f>'4D Wastewater treatment and dis'!AV163</f>
        <v>155.42542691703585</v>
      </c>
      <c r="K134" s="770">
        <f>'4D Wastewater treatment and dis'!AW163</f>
        <v>3.0248585614028385</v>
      </c>
      <c r="L134" s="771">
        <f t="shared" si="121"/>
        <v>16045.117266113433</v>
      </c>
      <c r="M134" s="772">
        <f t="shared" si="122"/>
        <v>12.59315965412889</v>
      </c>
      <c r="N134" s="771">
        <f t="shared" si="123"/>
        <v>1160.9820075986408</v>
      </c>
      <c r="O134" s="773">
        <f t="shared" si="124"/>
        <v>275.36438549102087</v>
      </c>
      <c r="P134" s="771">
        <f t="shared" si="125"/>
        <v>4201.6401192926323</v>
      </c>
      <c r="Q134" s="519">
        <f t="shared" si="126"/>
        <v>16045.117266113433</v>
      </c>
      <c r="R134" s="521">
        <f t="shared" si="127"/>
        <v>1173.5751672527697</v>
      </c>
      <c r="S134" s="518">
        <f t="shared" si="128"/>
        <v>275.36438549102087</v>
      </c>
      <c r="T134" s="519">
        <f t="shared" si="129"/>
        <v>4201.6401192926323</v>
      </c>
      <c r="U134" s="519">
        <f t="shared" si="130"/>
        <v>21695.696938149857</v>
      </c>
    </row>
    <row r="135" spans="1:21">
      <c r="A135" s="4">
        <f>'Input data'!A122</f>
        <v>2022</v>
      </c>
      <c r="B135" s="4"/>
      <c r="C135" s="769">
        <f>'4A SWD Case 2'!BN92</f>
        <v>738.75490847693175</v>
      </c>
      <c r="D135" s="3">
        <f>'4B Biological treatment '!T188</f>
        <v>0.7098393054649641</v>
      </c>
      <c r="E135" s="1159">
        <f>'4B Biological treatment '!U188</f>
        <v>31.942768745923377</v>
      </c>
      <c r="F135" s="1159">
        <f>'4B Biological treatment '!W188</f>
        <v>1.9165661247554029</v>
      </c>
      <c r="G135" s="952">
        <f>'4C2 Open-burning '!R127</f>
        <v>24.077995052126731</v>
      </c>
      <c r="H135" s="952">
        <f>'4C2 Open-burning '!Z127</f>
        <v>8.1015081782510823</v>
      </c>
      <c r="I135" s="952">
        <f>'4C2 Open-burning '!AH127</f>
        <v>0.11278666766637657</v>
      </c>
      <c r="J135" s="987">
        <f>'4D Wastewater treatment and dis'!AV164</f>
        <v>161.31571105616422</v>
      </c>
      <c r="K135" s="770">
        <f>'4D Wastewater treatment and dis'!AW164</f>
        <v>3.0596873027184164</v>
      </c>
      <c r="L135" s="771">
        <f t="shared" si="121"/>
        <v>15513.853078015567</v>
      </c>
      <c r="M135" s="772">
        <f t="shared" si="122"/>
        <v>14.906625414764246</v>
      </c>
      <c r="N135" s="771">
        <f t="shared" si="123"/>
        <v>1264.9336423385657</v>
      </c>
      <c r="O135" s="773">
        <f t="shared" si="124"/>
        <v>229.17353377197622</v>
      </c>
      <c r="P135" s="771">
        <f t="shared" si="125"/>
        <v>4336.1329960221574</v>
      </c>
      <c r="Q135" s="519">
        <f t="shared" si="126"/>
        <v>15513.853078015567</v>
      </c>
      <c r="R135" s="521">
        <f t="shared" si="127"/>
        <v>1279.84026775333</v>
      </c>
      <c r="S135" s="518">
        <f t="shared" si="128"/>
        <v>229.17353377197622</v>
      </c>
      <c r="T135" s="519">
        <f t="shared" si="129"/>
        <v>4336.1329960221574</v>
      </c>
      <c r="U135" s="519">
        <f t="shared" si="130"/>
        <v>21358.999875563029</v>
      </c>
    </row>
    <row r="136" spans="1:21">
      <c r="A136" s="4">
        <f>'Input data'!A123</f>
        <v>2023</v>
      </c>
      <c r="B136" s="4"/>
      <c r="C136" s="769">
        <f>'4A SWD Case 2'!BN93</f>
        <v>710.97883331894081</v>
      </c>
      <c r="D136" s="3">
        <f>'4B Biological treatment '!T189</f>
        <v>0.71280022924122233</v>
      </c>
      <c r="E136" s="1159">
        <f>'4B Biological treatment '!U189</f>
        <v>32.076010315855001</v>
      </c>
      <c r="F136" s="1159">
        <f>'4B Biological treatment '!W189</f>
        <v>1.9245606189513</v>
      </c>
      <c r="G136" s="952">
        <f>'4C2 Open-burning '!R128</f>
        <v>22.834713354191653</v>
      </c>
      <c r="H136" s="952">
        <f>'4C2 Open-burning '!Z128</f>
        <v>7.6831819504283345</v>
      </c>
      <c r="I136" s="952">
        <f>'4C2 Open-burning '!AH128</f>
        <v>0.10696286051893281</v>
      </c>
      <c r="J136" s="987">
        <f>'4D Wastewater treatment and dis'!AV165</f>
        <v>167.32103297774702</v>
      </c>
      <c r="K136" s="770">
        <f>'4D Wastewater treatment and dis'!AW165</f>
        <v>3.0949170681470224</v>
      </c>
      <c r="L136" s="771">
        <f t="shared" si="121"/>
        <v>14930.555499697757</v>
      </c>
      <c r="M136" s="772">
        <f t="shared" si="122"/>
        <v>14.968804814065669</v>
      </c>
      <c r="N136" s="771">
        <f t="shared" si="123"/>
        <v>1270.210008507858</v>
      </c>
      <c r="O136" s="773">
        <f t="shared" si="124"/>
        <v>217.34002107405581</v>
      </c>
      <c r="P136" s="771">
        <f t="shared" si="125"/>
        <v>4473.1659836582639</v>
      </c>
      <c r="Q136" s="519">
        <f t="shared" si="126"/>
        <v>14930.555499697757</v>
      </c>
      <c r="R136" s="521">
        <f t="shared" si="127"/>
        <v>1285.1788133219236</v>
      </c>
      <c r="S136" s="518">
        <f t="shared" si="128"/>
        <v>217.34002107405581</v>
      </c>
      <c r="T136" s="519">
        <f t="shared" si="129"/>
        <v>4473.1659836582639</v>
      </c>
      <c r="U136" s="519">
        <f t="shared" si="130"/>
        <v>20906.240317752003</v>
      </c>
    </row>
    <row r="137" spans="1:21">
      <c r="A137" s="4">
        <f>'Input data'!A124</f>
        <v>2024</v>
      </c>
      <c r="B137" s="4"/>
      <c r="C137" s="769">
        <f>'4A SWD Case 2'!BN94</f>
        <v>684.33575204323415</v>
      </c>
      <c r="D137" s="3">
        <f>'4B Biological treatment '!T190</f>
        <v>0.71623482128156013</v>
      </c>
      <c r="E137" s="1159">
        <f>'4B Biological treatment '!U190</f>
        <v>32.230566957670206</v>
      </c>
      <c r="F137" s="1159">
        <f>'4B Biological treatment '!W190</f>
        <v>1.9338340174602124</v>
      </c>
      <c r="G137" s="952">
        <f>'4C2 Open-burning '!R129</f>
        <v>21.570135720604139</v>
      </c>
      <c r="H137" s="952">
        <f>'4C2 Open-burning '!Z129</f>
        <v>7.2576902922415494</v>
      </c>
      <c r="I137" s="952">
        <f>'4C2 Open-burning '!AH129</f>
        <v>0.10103929848692009</v>
      </c>
      <c r="J137" s="987">
        <f>'4D Wastewater treatment and dis'!AV166</f>
        <v>173.44326090016418</v>
      </c>
      <c r="K137" s="770">
        <f>'4D Wastewater treatment and dis'!AW166</f>
        <v>3.1305524751492158</v>
      </c>
      <c r="L137" s="771">
        <f t="shared" si="121"/>
        <v>14371.050792907918</v>
      </c>
      <c r="M137" s="772">
        <f t="shared" si="122"/>
        <v>15.040931246912763</v>
      </c>
      <c r="N137" s="771">
        <f t="shared" si="123"/>
        <v>1276.3304515237401</v>
      </c>
      <c r="O137" s="773">
        <f t="shared" si="124"/>
        <v>205.3038143886219</v>
      </c>
      <c r="P137" s="771">
        <f t="shared" si="125"/>
        <v>4612.7797461997052</v>
      </c>
      <c r="Q137" s="519">
        <f t="shared" si="126"/>
        <v>14371.050792907918</v>
      </c>
      <c r="R137" s="521">
        <f t="shared" si="127"/>
        <v>1291.3713827706529</v>
      </c>
      <c r="S137" s="518">
        <f t="shared" si="128"/>
        <v>205.3038143886219</v>
      </c>
      <c r="T137" s="519">
        <f t="shared" si="129"/>
        <v>4612.7797461997052</v>
      </c>
      <c r="U137" s="519">
        <f t="shared" si="130"/>
        <v>20480.505736266896</v>
      </c>
    </row>
    <row r="138" spans="1:21">
      <c r="A138" s="4">
        <f>'Input data'!A125</f>
        <v>2025</v>
      </c>
      <c r="B138" s="4"/>
      <c r="C138" s="769">
        <f>'4A SWD Case 2'!BN95</f>
        <v>658.74433298155498</v>
      </c>
      <c r="D138" s="3">
        <f>'4B Biological treatment '!T191</f>
        <v>0.71969241382106797</v>
      </c>
      <c r="E138" s="1159">
        <f>'4B Biological treatment '!U191</f>
        <v>32.386158621948056</v>
      </c>
      <c r="F138" s="1159">
        <f>'4B Biological treatment '!W191</f>
        <v>1.9431695173168833</v>
      </c>
      <c r="G138" s="952">
        <f>'4C2 Open-burning '!R130</f>
        <v>20.283486456074918</v>
      </c>
      <c r="H138" s="952">
        <f>'4C2 Open-burning '!Z130</f>
        <v>6.8247722059740834</v>
      </c>
      <c r="I138" s="952">
        <f>'4C2 Open-burning '!AH130</f>
        <v>9.5012348041607686E-2</v>
      </c>
      <c r="J138" s="987">
        <f>'4D Wastewater treatment and dis'!AV167</f>
        <v>179.68429081250378</v>
      </c>
      <c r="K138" s="770">
        <f>'4D Wastewater treatment and dis'!AW167</f>
        <v>3.166598194351784</v>
      </c>
      <c r="L138" s="771">
        <f t="shared" si="121"/>
        <v>13833.630992612654</v>
      </c>
      <c r="M138" s="772">
        <f t="shared" si="122"/>
        <v>15.113540690242427</v>
      </c>
      <c r="N138" s="771">
        <f t="shared" si="123"/>
        <v>1282.4918814291432</v>
      </c>
      <c r="O138" s="773">
        <f t="shared" si="124"/>
        <v>193.05753067442905</v>
      </c>
      <c r="P138" s="771">
        <f t="shared" si="125"/>
        <v>4755.015547311632</v>
      </c>
      <c r="Q138" s="519">
        <f t="shared" si="126"/>
        <v>13833.630992612654</v>
      </c>
      <c r="R138" s="521">
        <f t="shared" si="127"/>
        <v>1297.6054221193856</v>
      </c>
      <c r="S138" s="518">
        <f t="shared" si="128"/>
        <v>193.05753067442905</v>
      </c>
      <c r="T138" s="519">
        <f t="shared" si="129"/>
        <v>4755.015547311632</v>
      </c>
      <c r="U138" s="519">
        <f t="shared" si="130"/>
        <v>20079.309492718101</v>
      </c>
    </row>
    <row r="139" spans="1:21">
      <c r="A139" s="4">
        <f>'Input data'!A126</f>
        <v>2026</v>
      </c>
      <c r="B139" s="4"/>
      <c r="C139" s="769">
        <f>'4A SWD Case 2'!BN96</f>
        <v>634.12673709939804</v>
      </c>
      <c r="D139" s="3">
        <f>'4B Biological treatment '!T192</f>
        <v>0.72324166392652123</v>
      </c>
      <c r="E139" s="1159">
        <f>'4B Biological treatment '!U192</f>
        <v>32.545874876693453</v>
      </c>
      <c r="F139" s="1159">
        <f>'4B Biological treatment '!W192</f>
        <v>1.9527524926016073</v>
      </c>
      <c r="G139" s="952">
        <f>'4C2 Open-burning '!R131</f>
        <v>18.985188117273655</v>
      </c>
      <c r="H139" s="952">
        <f>'4C2 Open-burning '!Z131</f>
        <v>6.3879345628548228</v>
      </c>
      <c r="I139" s="952">
        <f>'4C2 Open-burning '!AH131</f>
        <v>8.8930830749442052E-2</v>
      </c>
      <c r="J139" s="987">
        <f>'4D Wastewater treatment and dis'!AV168</f>
        <v>185.73930530907452</v>
      </c>
      <c r="K139" s="770">
        <f>'4D Wastewater treatment and dis'!AW168</f>
        <v>3.1977779387807019</v>
      </c>
      <c r="L139" s="771">
        <f t="shared" si="121"/>
        <v>13316.661479087359</v>
      </c>
      <c r="M139" s="772">
        <f t="shared" si="122"/>
        <v>15.188074942456947</v>
      </c>
      <c r="N139" s="771">
        <f t="shared" si="123"/>
        <v>1288.8166451170609</v>
      </c>
      <c r="O139" s="773">
        <f t="shared" si="124"/>
        <v>180.70037146955198</v>
      </c>
      <c r="P139" s="771">
        <f t="shared" si="125"/>
        <v>4891.8365725125823</v>
      </c>
      <c r="Q139" s="519">
        <f t="shared" si="126"/>
        <v>13316.661479087359</v>
      </c>
      <c r="R139" s="521">
        <f t="shared" si="127"/>
        <v>1304.0047200595179</v>
      </c>
      <c r="S139" s="518">
        <f t="shared" si="128"/>
        <v>180.70037146955198</v>
      </c>
      <c r="T139" s="519">
        <f t="shared" si="129"/>
        <v>4891.8365725125823</v>
      </c>
      <c r="U139" s="519">
        <f t="shared" si="130"/>
        <v>19693.203143129009</v>
      </c>
    </row>
    <row r="140" spans="1:21">
      <c r="A140" s="4">
        <f>'Input data'!A127</f>
        <v>2027</v>
      </c>
      <c r="B140" s="4"/>
      <c r="C140" s="769">
        <f>'4A SWD Case 2'!BN97</f>
        <v>610.40463923099992</v>
      </c>
      <c r="D140" s="3">
        <f>'4B Biological treatment '!T193</f>
        <v>0.72670669088531825</v>
      </c>
      <c r="E140" s="1159">
        <f>'4B Biological treatment '!U193</f>
        <v>32.701801089839321</v>
      </c>
      <c r="F140" s="1159">
        <f>'4B Biological treatment '!W193</f>
        <v>1.9621080653903591</v>
      </c>
      <c r="G140" s="952">
        <f>'4C2 Open-burning '!R132</f>
        <v>17.661577035208047</v>
      </c>
      <c r="H140" s="952">
        <f>'4C2 Open-burning '!Z132</f>
        <v>5.9425799565861794</v>
      </c>
      <c r="I140" s="952">
        <f>'4C2 Open-burning '!AH132</f>
        <v>8.2730742955201886E-2</v>
      </c>
      <c r="J140" s="987">
        <f>'4D Wastewater treatment and dis'!AV169</f>
        <v>191.89613972825521</v>
      </c>
      <c r="K140" s="770">
        <f>'4D Wastewater treatment and dis'!AW169</f>
        <v>3.2292646929415123</v>
      </c>
      <c r="L140" s="771">
        <f t="shared" si="121"/>
        <v>12818.497423850999</v>
      </c>
      <c r="M140" s="772">
        <f t="shared" si="122"/>
        <v>15.260840508591683</v>
      </c>
      <c r="N140" s="771">
        <f t="shared" si="123"/>
        <v>1294.991323157637</v>
      </c>
      <c r="O140" s="773">
        <f t="shared" si="124"/>
        <v>168.10228643963038</v>
      </c>
      <c r="P140" s="771">
        <f t="shared" si="125"/>
        <v>5030.8909891052281</v>
      </c>
      <c r="Q140" s="519">
        <f t="shared" si="126"/>
        <v>12818.497423850999</v>
      </c>
      <c r="R140" s="521">
        <f t="shared" si="127"/>
        <v>1310.2521636662286</v>
      </c>
      <c r="S140" s="518">
        <f t="shared" si="128"/>
        <v>168.10228643963038</v>
      </c>
      <c r="T140" s="519">
        <f t="shared" si="129"/>
        <v>5030.8909891052281</v>
      </c>
      <c r="U140" s="519">
        <f t="shared" si="130"/>
        <v>19327.742863062085</v>
      </c>
    </row>
    <row r="141" spans="1:21">
      <c r="A141" s="4">
        <f>'Input data'!A128</f>
        <v>2028</v>
      </c>
      <c r="B141" s="4"/>
      <c r="C141" s="769">
        <f>'4A SWD Case 2'!BN98</f>
        <v>587.50714081633862</v>
      </c>
      <c r="D141" s="3">
        <f>'4B Biological treatment '!T194</f>
        <v>0.73033528775676571</v>
      </c>
      <c r="E141" s="1159">
        <f>'4B Biological treatment '!U194</f>
        <v>32.865087949054455</v>
      </c>
      <c r="F141" s="1159">
        <f>'4B Biological treatment '!W194</f>
        <v>1.971905276943267</v>
      </c>
      <c r="G141" s="952">
        <f>'4C2 Open-burning '!R133</f>
        <v>16.311739327952857</v>
      </c>
      <c r="H141" s="952">
        <f>'4C2 Open-burning '!Z133</f>
        <v>5.48840089387914</v>
      </c>
      <c r="I141" s="952">
        <f>'4C2 Open-burning '!AH133</f>
        <v>7.6407803833313151E-2</v>
      </c>
      <c r="J141" s="987">
        <f>'4D Wastewater treatment and dis'!AV170</f>
        <v>198.15621215016739</v>
      </c>
      <c r="K141" s="770">
        <f>'4D Wastewater treatment and dis'!AW170</f>
        <v>3.2610614797895683</v>
      </c>
      <c r="L141" s="771">
        <f t="shared" si="121"/>
        <v>12337.64995714311</v>
      </c>
      <c r="M141" s="772">
        <f t="shared" si="122"/>
        <v>15.33704104289208</v>
      </c>
      <c r="N141" s="771">
        <f t="shared" si="123"/>
        <v>1301.4574827825563</v>
      </c>
      <c r="O141" s="773">
        <f t="shared" si="124"/>
        <v>155.25457728774188</v>
      </c>
      <c r="P141" s="771">
        <f t="shared" si="125"/>
        <v>5172.2095138882814</v>
      </c>
      <c r="Q141" s="519">
        <f t="shared" si="126"/>
        <v>12337.64995714311</v>
      </c>
      <c r="R141" s="521">
        <f t="shared" si="127"/>
        <v>1316.7945238254483</v>
      </c>
      <c r="S141" s="518">
        <f t="shared" si="128"/>
        <v>155.25457728774188</v>
      </c>
      <c r="T141" s="519">
        <f t="shared" si="129"/>
        <v>5172.2095138882814</v>
      </c>
      <c r="U141" s="519">
        <f t="shared" si="130"/>
        <v>18981.908572144581</v>
      </c>
    </row>
    <row r="142" spans="1:21">
      <c r="A142" s="4">
        <f>'Input data'!A129</f>
        <v>2029</v>
      </c>
      <c r="B142" s="4"/>
      <c r="C142" s="769">
        <f>'4A SWD Case 2'!BN99</f>
        <v>565.36629857646562</v>
      </c>
      <c r="D142" s="3">
        <f>'4B Biological treatment '!T195</f>
        <v>0.73380793744347517</v>
      </c>
      <c r="E142" s="1159">
        <f>'4B Biological treatment '!U195</f>
        <v>33.021357184956379</v>
      </c>
      <c r="F142" s="1159">
        <f>'4B Biological treatment '!W195</f>
        <v>1.9812814310973828</v>
      </c>
      <c r="G142" s="952">
        <f>'4C2 Open-burning '!R134</f>
        <v>14.93472003386634</v>
      </c>
      <c r="H142" s="952">
        <f>'4C2 Open-burning '!Z134</f>
        <v>5.0250760593777697</v>
      </c>
      <c r="I142" s="952">
        <f>'4C2 Open-burning '!AH134</f>
        <v>6.9957540131701232E-2</v>
      </c>
      <c r="J142" s="987">
        <f>'4D Wastewater treatment and dis'!AV171</f>
        <v>204.52095870933701</v>
      </c>
      <c r="K142" s="770">
        <f>'4D Wastewater treatment and dis'!AW171</f>
        <v>3.2931713520456056</v>
      </c>
      <c r="L142" s="771">
        <f t="shared" si="121"/>
        <v>11872.692270105777</v>
      </c>
      <c r="M142" s="772">
        <f t="shared" si="122"/>
        <v>15.409966686312979</v>
      </c>
      <c r="N142" s="771">
        <f t="shared" si="123"/>
        <v>1307.6457445242727</v>
      </c>
      <c r="O142" s="773">
        <f t="shared" si="124"/>
        <v>142.1481547216269</v>
      </c>
      <c r="P142" s="771">
        <f t="shared" si="125"/>
        <v>5315.8232520302154</v>
      </c>
      <c r="Q142" s="519">
        <f t="shared" si="126"/>
        <v>11872.692270105777</v>
      </c>
      <c r="R142" s="521">
        <f t="shared" si="127"/>
        <v>1323.0557112105857</v>
      </c>
      <c r="S142" s="518">
        <f t="shared" si="128"/>
        <v>142.1481547216269</v>
      </c>
      <c r="T142" s="519">
        <f t="shared" si="129"/>
        <v>5315.8232520302154</v>
      </c>
      <c r="U142" s="519">
        <f t="shared" si="130"/>
        <v>18653.719388068203</v>
      </c>
    </row>
    <row r="143" spans="1:21">
      <c r="A143" s="4">
        <f>'Input data'!A130</f>
        <v>2030</v>
      </c>
      <c r="B143" s="4"/>
      <c r="C143" s="769">
        <f>'4A SWD Case 2'!BN100</f>
        <v>543.91696180929534</v>
      </c>
      <c r="D143" s="3">
        <f>'4B Biological treatment '!T196</f>
        <v>0.73738513770084768</v>
      </c>
      <c r="E143" s="1159">
        <f>'4B Biological treatment '!U196</f>
        <v>33.182331196538144</v>
      </c>
      <c r="F143" s="1159">
        <f>'4B Biological treatment '!W196</f>
        <v>1.9909398717922886</v>
      </c>
      <c r="G143" s="952">
        <f>'4C2 Open-burning '!R135</f>
        <v>13.529520713203713</v>
      </c>
      <c r="H143" s="952">
        <f>'4C2 Open-burning '!Z135</f>
        <v>4.5522695086755505</v>
      </c>
      <c r="I143" s="952">
        <f>'4C2 Open-burning '!AH135</f>
        <v>6.3375274937216314E-2</v>
      </c>
      <c r="J143" s="987">
        <f>'4D Wastewater treatment and dis'!AV172</f>
        <v>210.99183381275145</v>
      </c>
      <c r="K143" s="770">
        <f>'4D Wastewater treatment and dis'!AW172</f>
        <v>3.3255973924888065</v>
      </c>
      <c r="L143" s="771">
        <f t="shared" si="121"/>
        <v>11422.256197995202</v>
      </c>
      <c r="M143" s="772">
        <f t="shared" si="122"/>
        <v>15.485087891717802</v>
      </c>
      <c r="N143" s="771">
        <f t="shared" si="123"/>
        <v>1314.0203153829104</v>
      </c>
      <c r="O143" s="773">
        <f t="shared" si="124"/>
        <v>128.77351562592733</v>
      </c>
      <c r="P143" s="771">
        <f t="shared" si="125"/>
        <v>5461.7637017393099</v>
      </c>
      <c r="Q143" s="519">
        <f t="shared" si="126"/>
        <v>11422.256197995202</v>
      </c>
      <c r="R143" s="521">
        <f t="shared" si="127"/>
        <v>1329.5054032746282</v>
      </c>
      <c r="S143" s="518">
        <f t="shared" si="128"/>
        <v>128.77351562592733</v>
      </c>
      <c r="T143" s="519">
        <f t="shared" si="129"/>
        <v>5461.7637017393099</v>
      </c>
      <c r="U143" s="519">
        <f t="shared" si="130"/>
        <v>18342.29881863507</v>
      </c>
    </row>
    <row r="144" spans="1:21">
      <c r="A144" s="4">
        <f>'Input data'!A131</f>
        <v>2031</v>
      </c>
      <c r="B144" s="4"/>
      <c r="C144" s="769">
        <f>'4A SWD Case 2'!BN101</f>
        <v>523.09661643595405</v>
      </c>
      <c r="D144" s="3">
        <f>'4B Biological treatment '!T197</f>
        <v>0.74158327645395927</v>
      </c>
      <c r="E144" s="1159">
        <f>'4B Biological treatment '!U197</f>
        <v>33.371247440428164</v>
      </c>
      <c r="F144" s="1159">
        <f>'4B Biological treatment '!W197</f>
        <v>2.0022748464256899</v>
      </c>
      <c r="G144" s="952">
        <f>'4C2 Open-burning '!R136</f>
        <v>11.932120220532866</v>
      </c>
      <c r="H144" s="952">
        <f>'4C2 Open-burning '!Z136</f>
        <v>4.014793147903057</v>
      </c>
      <c r="I144" s="952">
        <f>'4C2 Open-burning '!AH136</f>
        <v>5.5892696836052552E-2</v>
      </c>
      <c r="J144" s="987">
        <f>'4D Wastewater treatment and dis'!AV173</f>
        <v>212.79249544373798</v>
      </c>
      <c r="K144" s="770">
        <f>'4D Wastewater treatment and dis'!AW173</f>
        <v>3.3539789441183268</v>
      </c>
      <c r="L144" s="771">
        <f t="shared" si="121"/>
        <v>10985.028945155034</v>
      </c>
      <c r="M144" s="772">
        <f t="shared" si="122"/>
        <v>15.573248805533146</v>
      </c>
      <c r="N144" s="771">
        <f t="shared" si="123"/>
        <v>1321.5013986409554</v>
      </c>
      <c r="O144" s="773">
        <f t="shared" si="124"/>
        <v>113.56951234567336</v>
      </c>
      <c r="P144" s="771">
        <f t="shared" si="125"/>
        <v>5508.3758769951792</v>
      </c>
      <c r="Q144" s="519">
        <f t="shared" si="126"/>
        <v>10985.028945155034</v>
      </c>
      <c r="R144" s="521">
        <f t="shared" si="127"/>
        <v>1337.0746474464886</v>
      </c>
      <c r="S144" s="518">
        <f t="shared" si="128"/>
        <v>113.56951234567336</v>
      </c>
      <c r="T144" s="519">
        <f t="shared" si="129"/>
        <v>5508.3758769951792</v>
      </c>
      <c r="U144" s="519">
        <f t="shared" si="130"/>
        <v>17944.048981942375</v>
      </c>
    </row>
    <row r="145" spans="1:21">
      <c r="A145" s="4">
        <f>'Input data'!A132</f>
        <v>2032</v>
      </c>
      <c r="B145" s="4"/>
      <c r="C145" s="769">
        <f>'4A SWD Case 2'!BN102</f>
        <v>502.72009120012837</v>
      </c>
      <c r="D145" s="3">
        <f>'4B Biological treatment '!T198</f>
        <v>0.74609681018687468</v>
      </c>
      <c r="E145" s="1159">
        <f>'4B Biological treatment '!U198</f>
        <v>33.574356458409355</v>
      </c>
      <c r="F145" s="1159">
        <f>'4B Biological treatment '!W198</f>
        <v>2.0144613875045616</v>
      </c>
      <c r="G145" s="952">
        <f>'4C2 Open-burning '!R137</f>
        <v>10.344645425665796</v>
      </c>
      <c r="H145" s="952">
        <f>'4C2 Open-burning '!Z137</f>
        <v>3.4806564805625984</v>
      </c>
      <c r="I145" s="952">
        <f>'4C2 Open-burning '!AH137</f>
        <v>4.8456612904238333E-2</v>
      </c>
      <c r="J145" s="987">
        <f>'4D Wastewater treatment and dis'!AV174</f>
        <v>214.60852441027842</v>
      </c>
      <c r="K145" s="770">
        <f>'4D Wastewater treatment and dis'!AW174</f>
        <v>3.3826027116200144</v>
      </c>
      <c r="L145" s="771">
        <f t="shared" si="121"/>
        <v>10557.121915202695</v>
      </c>
      <c r="M145" s="772">
        <f t="shared" si="122"/>
        <v>15.668033013924369</v>
      </c>
      <c r="N145" s="771">
        <f t="shared" si="123"/>
        <v>1329.5445157530105</v>
      </c>
      <c r="O145" s="773">
        <f t="shared" si="124"/>
        <v>98.459981517794233</v>
      </c>
      <c r="P145" s="771">
        <f t="shared" si="125"/>
        <v>5555.3858532180511</v>
      </c>
      <c r="Q145" s="519">
        <f t="shared" si="126"/>
        <v>10557.121915202695</v>
      </c>
      <c r="R145" s="521">
        <f t="shared" si="127"/>
        <v>1345.2125487669348</v>
      </c>
      <c r="S145" s="518">
        <f t="shared" si="128"/>
        <v>98.459981517794233</v>
      </c>
      <c r="T145" s="519">
        <f t="shared" si="129"/>
        <v>5555.3858532180511</v>
      </c>
      <c r="U145" s="519">
        <f t="shared" si="130"/>
        <v>17556.180298705476</v>
      </c>
    </row>
    <row r="146" spans="1:21">
      <c r="A146" s="4">
        <f>'Input data'!A133</f>
        <v>2033</v>
      </c>
      <c r="B146" s="4"/>
      <c r="C146" s="769">
        <f>'4A SWD Case 2'!BN103</f>
        <v>482.76343691748349</v>
      </c>
      <c r="D146" s="3">
        <f>'4B Biological treatment '!T199</f>
        <v>0.75076293281486894</v>
      </c>
      <c r="E146" s="1159">
        <f>'4B Biological treatment '!U199</f>
        <v>33.784331976669094</v>
      </c>
      <c r="F146" s="1159">
        <f>'4B Biological treatment '!W199</f>
        <v>2.0270599186001457</v>
      </c>
      <c r="G146" s="952">
        <f>'4C2 Open-burning '!R138</f>
        <v>10.313981067569168</v>
      </c>
      <c r="H146" s="952">
        <f>'4C2 Open-burning '!Z138</f>
        <v>3.4703388628638314</v>
      </c>
      <c r="I146" s="952">
        <f>'4C2 Open-burning '!AH138</f>
        <v>4.8312974251669485E-2</v>
      </c>
      <c r="J146" s="987">
        <f>'4D Wastewater treatment and dis'!AV175</f>
        <v>216.44005186138909</v>
      </c>
      <c r="K146" s="770">
        <f>'4D Wastewater treatment and dis'!AW175</f>
        <v>3.4114707621299263</v>
      </c>
      <c r="L146" s="771">
        <f t="shared" si="121"/>
        <v>10138.032175267153</v>
      </c>
      <c r="M146" s="772">
        <f t="shared" si="122"/>
        <v>15.766021589112247</v>
      </c>
      <c r="N146" s="771">
        <f t="shared" si="123"/>
        <v>1337.8595462760961</v>
      </c>
      <c r="O146" s="773">
        <f t="shared" si="124"/>
        <v>98.168119205727166</v>
      </c>
      <c r="P146" s="771">
        <f t="shared" si="125"/>
        <v>5602.7970253494477</v>
      </c>
      <c r="Q146" s="519">
        <f t="shared" si="126"/>
        <v>10138.032175267153</v>
      </c>
      <c r="R146" s="521">
        <f t="shared" si="127"/>
        <v>1353.6255678652083</v>
      </c>
      <c r="S146" s="518">
        <f t="shared" si="128"/>
        <v>98.168119205727166</v>
      </c>
      <c r="T146" s="519">
        <f t="shared" si="129"/>
        <v>5602.7970253494477</v>
      </c>
      <c r="U146" s="519">
        <f t="shared" si="130"/>
        <v>17192.622887687539</v>
      </c>
    </row>
    <row r="147" spans="1:21">
      <c r="A147" s="4">
        <f>'Input data'!A134</f>
        <v>2034</v>
      </c>
      <c r="B147" s="4"/>
      <c r="C147" s="769">
        <f>'4A SWD Case 2'!BN104</f>
        <v>463.79165700620831</v>
      </c>
      <c r="D147" s="3">
        <f>'4B Biological treatment '!T200</f>
        <v>0.75181112463015531</v>
      </c>
      <c r="E147" s="1159">
        <f>'4B Biological treatment '!U200</f>
        <v>33.83150060835699</v>
      </c>
      <c r="F147" s="1159">
        <f>'4B Biological treatment '!W200</f>
        <v>2.0298900365014192</v>
      </c>
      <c r="G147" s="952">
        <f>'4C2 Open-burning '!R139</f>
        <v>10.283755160967955</v>
      </c>
      <c r="H147" s="952">
        <f>'4C2 Open-burning '!Z139</f>
        <v>3.4601687706699158</v>
      </c>
      <c r="I147" s="952">
        <f>'4C2 Open-burning '!AH139</f>
        <v>4.8171389403123509E-2</v>
      </c>
      <c r="J147" s="987">
        <f>'4D Wastewater treatment and dis'!AV176</f>
        <v>218.28721006534801</v>
      </c>
      <c r="K147" s="770">
        <f>'4D Wastewater treatment and dis'!AW176</f>
        <v>3.4405851804256198</v>
      </c>
      <c r="L147" s="771">
        <f t="shared" si="121"/>
        <v>9739.6247971303746</v>
      </c>
      <c r="M147" s="772">
        <f t="shared" si="122"/>
        <v>15.788033617233262</v>
      </c>
      <c r="N147" s="771">
        <f t="shared" si="123"/>
        <v>1339.7274240909367</v>
      </c>
      <c r="O147" s="773">
        <f t="shared" si="124"/>
        <v>97.880430060004471</v>
      </c>
      <c r="P147" s="771">
        <f t="shared" si="125"/>
        <v>5650.6128173042498</v>
      </c>
      <c r="Q147" s="519">
        <f t="shared" si="126"/>
        <v>9739.6247971303746</v>
      </c>
      <c r="R147" s="521">
        <f t="shared" si="127"/>
        <v>1355.5154577081698</v>
      </c>
      <c r="S147" s="518">
        <f t="shared" si="128"/>
        <v>97.880430060004471</v>
      </c>
      <c r="T147" s="519">
        <f t="shared" si="129"/>
        <v>5650.6128173042498</v>
      </c>
      <c r="U147" s="519">
        <f t="shared" si="130"/>
        <v>16843.6335022028</v>
      </c>
    </row>
    <row r="148" spans="1:21">
      <c r="A148" s="4">
        <f>'Input data'!A135</f>
        <v>2035</v>
      </c>
      <c r="B148" s="4"/>
      <c r="C148" s="769">
        <f>'4A SWD Case 2'!BN105</f>
        <v>445.7567327912634</v>
      </c>
      <c r="D148" s="3">
        <f>'4B Biological treatment '!T201</f>
        <v>0.5751661972491664</v>
      </c>
      <c r="E148" s="1159">
        <f>'4B Biological treatment '!U201</f>
        <v>25.882478876212485</v>
      </c>
      <c r="F148" s="1159">
        <f>'4B Biological treatment '!W201</f>
        <v>1.5529487325727491</v>
      </c>
      <c r="G148" s="952">
        <f>'4C2 Open-burning '!R140</f>
        <v>10.253959437125518</v>
      </c>
      <c r="H148" s="952">
        <f>'4C2 Open-burning '!Z140</f>
        <v>3.450143421804122</v>
      </c>
      <c r="I148" s="952">
        <f>'4C2 Open-burning '!AH140</f>
        <v>4.8031819626004571E-2</v>
      </c>
      <c r="J148" s="987">
        <f>'4D Wastewater treatment and dis'!AV177</f>
        <v>220.15013241924632</v>
      </c>
      <c r="K148" s="770">
        <f>'4D Wastewater treatment and dis'!AW177</f>
        <v>3.4699480690767106</v>
      </c>
      <c r="L148" s="771">
        <f t="shared" si="121"/>
        <v>9360.8913886165319</v>
      </c>
      <c r="M148" s="772">
        <f t="shared" si="122"/>
        <v>12.078490142232495</v>
      </c>
      <c r="N148" s="771">
        <f t="shared" si="123"/>
        <v>1024.9461634980144</v>
      </c>
      <c r="O148" s="773">
        <f t="shared" si="124"/>
        <v>97.596835379073497</v>
      </c>
      <c r="P148" s="771">
        <f t="shared" si="125"/>
        <v>5698.8366822179532</v>
      </c>
      <c r="Q148" s="519">
        <f t="shared" si="126"/>
        <v>9360.8913886165319</v>
      </c>
      <c r="R148" s="521">
        <f t="shared" si="127"/>
        <v>1037.0246536402469</v>
      </c>
      <c r="S148" s="518">
        <f t="shared" si="128"/>
        <v>97.596835379073497</v>
      </c>
      <c r="T148" s="519">
        <f t="shared" si="129"/>
        <v>5698.8366822179532</v>
      </c>
      <c r="U148" s="519">
        <f t="shared" si="130"/>
        <v>16194.349559853807</v>
      </c>
    </row>
    <row r="149" spans="1:21">
      <c r="A149" s="4">
        <f>'Input data'!A136</f>
        <v>2036</v>
      </c>
      <c r="B149" s="4"/>
      <c r="C149" s="769">
        <f>'4A SWD Case 2'!BN106</f>
        <v>425.11697632250548</v>
      </c>
      <c r="D149" s="3">
        <f>'4B Biological treatment '!T202</f>
        <v>0.5751661972491664</v>
      </c>
      <c r="E149" s="1159">
        <f>'4B Biological treatment '!U202</f>
        <v>25.882478876212485</v>
      </c>
      <c r="F149" s="1159">
        <f>'4B Biological treatment '!W202</f>
        <v>1.5529487325727491</v>
      </c>
      <c r="G149" s="952">
        <f>'4C2 Open-burning '!R141</f>
        <v>10.228720631598184</v>
      </c>
      <c r="H149" s="952">
        <f>'4C2 Open-burning '!Z141</f>
        <v>3.4416513364396093</v>
      </c>
      <c r="I149" s="952">
        <f>'4C2 Open-burning '!AH141</f>
        <v>4.7913595464684461E-2</v>
      </c>
      <c r="J149" s="987">
        <f>'4D Wastewater treatment and dis'!AV178</f>
        <v>221.76188597912451</v>
      </c>
      <c r="K149" s="770">
        <f>'4D Wastewater treatment and dis'!AW178</f>
        <v>3.4953521017314642</v>
      </c>
      <c r="L149" s="771">
        <f t="shared" si="121"/>
        <v>8927.4565027726148</v>
      </c>
      <c r="M149" s="772">
        <f t="shared" si="122"/>
        <v>12.078490142232495</v>
      </c>
      <c r="N149" s="771">
        <f t="shared" si="123"/>
        <v>1024.9461634980144</v>
      </c>
      <c r="O149" s="773">
        <f t="shared" si="124"/>
        <v>97.356613290882166</v>
      </c>
      <c r="P149" s="771">
        <f t="shared" si="125"/>
        <v>5740.5587570983689</v>
      </c>
      <c r="Q149" s="519">
        <f t="shared" si="126"/>
        <v>8927.4565027726148</v>
      </c>
      <c r="R149" s="521">
        <f t="shared" si="127"/>
        <v>1037.0246536402469</v>
      </c>
      <c r="S149" s="518">
        <f t="shared" si="128"/>
        <v>97.356613290882166</v>
      </c>
      <c r="T149" s="519">
        <f t="shared" si="129"/>
        <v>5740.5587570983689</v>
      </c>
      <c r="U149" s="519">
        <f t="shared" si="130"/>
        <v>15802.396526802113</v>
      </c>
    </row>
    <row r="150" spans="1:21">
      <c r="A150" s="4">
        <f>'Input data'!A137</f>
        <v>2037</v>
      </c>
      <c r="B150" s="4"/>
      <c r="C150" s="769">
        <f>'4A SWD Case 2'!BN107</f>
        <v>405.49352137893845</v>
      </c>
      <c r="D150" s="3">
        <f>'4B Biological treatment '!T203</f>
        <v>0.5751661972491664</v>
      </c>
      <c r="E150" s="1159">
        <f>'4B Biological treatment '!U203</f>
        <v>25.882478876212485</v>
      </c>
      <c r="F150" s="1159">
        <f>'4B Biological treatment '!W203</f>
        <v>1.5529487325727491</v>
      </c>
      <c r="G150" s="952">
        <f>'4C2 Open-burning '!R142</f>
        <v>10.203787853753198</v>
      </c>
      <c r="H150" s="952">
        <f>'4C2 Open-burning '!Z142</f>
        <v>3.4332622200210539</v>
      </c>
      <c r="I150" s="952">
        <f>'4C2 Open-burning '!AH142</f>
        <v>4.7796804804884324E-2</v>
      </c>
      <c r="J150" s="987">
        <f>'4D Wastewater treatment and dis'!AV179</f>
        <v>223.38543943895829</v>
      </c>
      <c r="K150" s="770">
        <f>'4D Wastewater treatment and dis'!AW179</f>
        <v>3.5209421212835057</v>
      </c>
      <c r="L150" s="771">
        <f t="shared" si="121"/>
        <v>8515.3639489577072</v>
      </c>
      <c r="M150" s="772">
        <f t="shared" si="122"/>
        <v>12.078490142232495</v>
      </c>
      <c r="N150" s="771">
        <f t="shared" si="123"/>
        <v>1024.9461634980144</v>
      </c>
      <c r="O150" s="773">
        <f t="shared" si="124"/>
        <v>97.11930396370947</v>
      </c>
      <c r="P150" s="771">
        <f t="shared" si="125"/>
        <v>5782.5862858160108</v>
      </c>
      <c r="Q150" s="519">
        <f t="shared" si="126"/>
        <v>8515.3639489577072</v>
      </c>
      <c r="R150" s="521">
        <f t="shared" si="127"/>
        <v>1037.0246536402469</v>
      </c>
      <c r="S150" s="518">
        <f t="shared" si="128"/>
        <v>97.11930396370947</v>
      </c>
      <c r="T150" s="519">
        <f t="shared" si="129"/>
        <v>5782.5862858160108</v>
      </c>
      <c r="U150" s="519">
        <f t="shared" si="130"/>
        <v>15432.094192377674</v>
      </c>
    </row>
    <row r="151" spans="1:21">
      <c r="A151" s="4">
        <f>'Input data'!A138</f>
        <v>2038</v>
      </c>
      <c r="B151" s="4"/>
      <c r="C151" s="769">
        <f>'4A SWD Case 2'!BN108</f>
        <v>386.83683188570217</v>
      </c>
      <c r="D151" s="3">
        <f>'4B Biological treatment '!T204</f>
        <v>0.5751661972491664</v>
      </c>
      <c r="E151" s="1159">
        <f>'4B Biological treatment '!U204</f>
        <v>25.882478876212485</v>
      </c>
      <c r="F151" s="1159">
        <f>'4B Biological treatment '!W204</f>
        <v>1.5529487325727491</v>
      </c>
      <c r="G151" s="952">
        <f>'4C2 Open-burning '!R143</f>
        <v>10.179156222495859</v>
      </c>
      <c r="H151" s="952">
        <f>'4C2 Open-burning '!Z143</f>
        <v>3.4249744302095286</v>
      </c>
      <c r="I151" s="952">
        <f>'4C2 Open-burning '!AH143</f>
        <v>4.7681424782474335E-2</v>
      </c>
      <c r="J151" s="987">
        <f>'4D Wastewater treatment and dis'!AV180</f>
        <v>225.02087918766139</v>
      </c>
      <c r="K151" s="770">
        <f>'4D Wastewater treatment and dis'!AW180</f>
        <v>3.5467194893720086</v>
      </c>
      <c r="L151" s="771">
        <f t="shared" si="121"/>
        <v>8123.5734695997453</v>
      </c>
      <c r="M151" s="772">
        <f t="shared" si="122"/>
        <v>12.078490142232495</v>
      </c>
      <c r="N151" s="771">
        <f t="shared" si="123"/>
        <v>1024.9461634980144</v>
      </c>
      <c r="O151" s="773">
        <f t="shared" si="124"/>
        <v>96.88486093946301</v>
      </c>
      <c r="P151" s="771">
        <f t="shared" si="125"/>
        <v>5824.9215046462123</v>
      </c>
      <c r="Q151" s="519">
        <f t="shared" si="126"/>
        <v>8123.5734695997453</v>
      </c>
      <c r="R151" s="521">
        <f t="shared" si="127"/>
        <v>1037.0246536402469</v>
      </c>
      <c r="S151" s="518">
        <f t="shared" si="128"/>
        <v>96.88486093946301</v>
      </c>
      <c r="T151" s="519">
        <f t="shared" si="129"/>
        <v>5824.9215046462123</v>
      </c>
      <c r="U151" s="519">
        <f t="shared" si="130"/>
        <v>15082.404488825667</v>
      </c>
    </row>
    <row r="152" spans="1:21">
      <c r="A152" s="4">
        <f>'Input data'!A139</f>
        <v>2039</v>
      </c>
      <c r="B152" s="4"/>
      <c r="C152" s="769">
        <f>'4A SWD Case 2'!BN109</f>
        <v>369.09978503413464</v>
      </c>
      <c r="D152" s="3">
        <f>'4B Biological treatment '!T205</f>
        <v>0.5751661972491664</v>
      </c>
      <c r="E152" s="1159">
        <f>'4B Biological treatment '!U205</f>
        <v>25.882478876212485</v>
      </c>
      <c r="F152" s="1159">
        <f>'4B Biological treatment '!W205</f>
        <v>1.5529487325727491</v>
      </c>
      <c r="G152" s="952">
        <f>'4C2 Open-burning '!R144</f>
        <v>10.154820958102038</v>
      </c>
      <c r="H152" s="952">
        <f>'4C2 Open-burning '!Z144</f>
        <v>3.4167863587741936</v>
      </c>
      <c r="I152" s="952">
        <f>'4C2 Open-burning '!AH144</f>
        <v>4.7567433008166821E-2</v>
      </c>
      <c r="J152" s="987">
        <f>'4D Wastewater treatment and dis'!AV181</f>
        <v>226.66829224661399</v>
      </c>
      <c r="K152" s="770">
        <f>'4D Wastewater treatment and dis'!AW181</f>
        <v>3.5726855776049167</v>
      </c>
      <c r="L152" s="771">
        <f t="shared" si="121"/>
        <v>7751.0954857168272</v>
      </c>
      <c r="M152" s="772">
        <f t="shared" si="122"/>
        <v>12.078490142232495</v>
      </c>
      <c r="N152" s="771">
        <f t="shared" si="123"/>
        <v>1024.9461634980144</v>
      </c>
      <c r="O152" s="773">
        <f t="shared" si="124"/>
        <v>96.653238724891821</v>
      </c>
      <c r="P152" s="771">
        <f t="shared" si="125"/>
        <v>5867.5666662364183</v>
      </c>
      <c r="Q152" s="519">
        <f t="shared" si="126"/>
        <v>7751.0954857168272</v>
      </c>
      <c r="R152" s="521">
        <f t="shared" si="127"/>
        <v>1037.0246536402469</v>
      </c>
      <c r="S152" s="518">
        <f t="shared" si="128"/>
        <v>96.653238724891821</v>
      </c>
      <c r="T152" s="519">
        <f t="shared" si="129"/>
        <v>5867.5666662364183</v>
      </c>
      <c r="U152" s="519">
        <f t="shared" si="130"/>
        <v>14752.340044318384</v>
      </c>
    </row>
    <row r="153" spans="1:21">
      <c r="A153" s="4">
        <f>'Input data'!A140</f>
        <v>2040</v>
      </c>
      <c r="B153" s="4"/>
      <c r="C153" s="769">
        <f>'4A SWD Case 2'!BN110</f>
        <v>352.86024647140943</v>
      </c>
      <c r="D153" s="3">
        <f>'4B Biological treatment '!T206</f>
        <v>0.5751661972491664</v>
      </c>
      <c r="E153" s="1159">
        <f>'4B Biological treatment '!U206</f>
        <v>25.882478876212485</v>
      </c>
      <c r="F153" s="1159">
        <f>'4B Biological treatment '!W206</f>
        <v>1.5529487325727491</v>
      </c>
      <c r="G153" s="952">
        <f>'4C2 Open-burning '!R145</f>
        <v>10.130777379596603</v>
      </c>
      <c r="H153" s="952">
        <f>'4C2 Open-burning '!Z145</f>
        <v>3.4086964307102301</v>
      </c>
      <c r="I153" s="952">
        <f>'4C2 Open-burning '!AH145</f>
        <v>4.7454807555236386E-2</v>
      </c>
      <c r="J153" s="987">
        <f>'4D Wastewater treatment and dis'!AV182</f>
        <v>228.32776627429359</v>
      </c>
      <c r="K153" s="770">
        <f>'4D Wastewater treatment and dis'!AW182</f>
        <v>3.5988417676319293</v>
      </c>
      <c r="L153" s="771">
        <f t="shared" si="121"/>
        <v>7410.0651758995982</v>
      </c>
      <c r="M153" s="772">
        <f t="shared" si="122"/>
        <v>12.078490142232495</v>
      </c>
      <c r="N153" s="771">
        <f t="shared" si="123"/>
        <v>1024.9461634980144</v>
      </c>
      <c r="O153" s="773">
        <f t="shared" si="124"/>
        <v>96.424392766634725</v>
      </c>
      <c r="P153" s="771">
        <f t="shared" si="125"/>
        <v>5910.5240397260632</v>
      </c>
      <c r="Q153" s="519">
        <f t="shared" si="126"/>
        <v>7410.0651758995982</v>
      </c>
      <c r="R153" s="521">
        <f t="shared" si="127"/>
        <v>1037.0246536402469</v>
      </c>
      <c r="S153" s="518">
        <f t="shared" si="128"/>
        <v>96.424392766634725</v>
      </c>
      <c r="T153" s="519">
        <f t="shared" si="129"/>
        <v>5910.5240397260632</v>
      </c>
      <c r="U153" s="519">
        <f t="shared" si="130"/>
        <v>14454.038262032544</v>
      </c>
    </row>
    <row r="154" spans="1:21">
      <c r="A154" s="4">
        <f>'Input data'!A141</f>
        <v>2041</v>
      </c>
      <c r="B154" s="4"/>
      <c r="C154" s="769">
        <f>'4A SWD Case 2'!BN111</f>
        <v>340.2958279371968</v>
      </c>
      <c r="D154" s="3">
        <f>'4B Biological treatment '!T207</f>
        <v>0.5751661972491664</v>
      </c>
      <c r="E154" s="1159">
        <f>'4B Biological treatment '!U207</f>
        <v>25.882478876212485</v>
      </c>
      <c r="F154" s="1159">
        <f>'4B Biological treatment '!W207</f>
        <v>1.5529487325727491</v>
      </c>
      <c r="G154" s="952">
        <f>'4C2 Open-burning '!R146</f>
        <v>10.110594115867606</v>
      </c>
      <c r="H154" s="952">
        <f>'4C2 Open-burning '!Z146</f>
        <v>3.4019053803835613</v>
      </c>
      <c r="I154" s="952">
        <f>'4C2 Open-burning '!AH146</f>
        <v>4.7360264672670904E-2</v>
      </c>
      <c r="J154" s="987">
        <f>'4D Wastewater treatment and dis'!AV183</f>
        <v>229.74589393780369</v>
      </c>
      <c r="K154" s="770">
        <f>'4D Wastewater treatment and dis'!AW183</f>
        <v>3.6211939201999317</v>
      </c>
      <c r="L154" s="771">
        <f t="shared" si="121"/>
        <v>7146.2123866811326</v>
      </c>
      <c r="M154" s="772">
        <f t="shared" si="122"/>
        <v>12.078490142232495</v>
      </c>
      <c r="N154" s="771">
        <f t="shared" si="123"/>
        <v>1024.9461634980144</v>
      </c>
      <c r="O154" s="773">
        <f t="shared" si="124"/>
        <v>96.232289152450377</v>
      </c>
      <c r="P154" s="771">
        <f t="shared" si="125"/>
        <v>5947.2338879558556</v>
      </c>
      <c r="Q154" s="519">
        <f t="shared" si="126"/>
        <v>7146.2123866811326</v>
      </c>
      <c r="R154" s="521">
        <f t="shared" si="127"/>
        <v>1037.0246536402469</v>
      </c>
      <c r="S154" s="518">
        <f t="shared" si="128"/>
        <v>96.232289152450377</v>
      </c>
      <c r="T154" s="519">
        <f t="shared" si="129"/>
        <v>5947.2338879558556</v>
      </c>
      <c r="U154" s="519">
        <f t="shared" si="130"/>
        <v>14226.703217429686</v>
      </c>
    </row>
    <row r="155" spans="1:21">
      <c r="A155" s="4">
        <f>'Input data'!A142</f>
        <v>2042</v>
      </c>
      <c r="B155" s="4"/>
      <c r="C155" s="769">
        <f>'4A SWD Case 2'!BN112</f>
        <v>328.35225450552497</v>
      </c>
      <c r="D155" s="3">
        <f>'4B Biological treatment '!T208</f>
        <v>0.5751661972491664</v>
      </c>
      <c r="E155" s="1159">
        <f>'4B Biological treatment '!U208</f>
        <v>25.882478876212485</v>
      </c>
      <c r="F155" s="1159">
        <f>'4B Biological treatment '!W208</f>
        <v>1.5529487325727491</v>
      </c>
      <c r="G155" s="952">
        <f>'4C2 Open-burning '!R147</f>
        <v>10.090614955764785</v>
      </c>
      <c r="H155" s="952">
        <f>'4C2 Open-burning '!Z147</f>
        <v>3.3951830046783922</v>
      </c>
      <c r="I155" s="952">
        <f>'4C2 Open-burning '!AH147</f>
        <v>4.7266677856746583E-2</v>
      </c>
      <c r="J155" s="987">
        <f>'4D Wastewater treatment and dis'!AV184</f>
        <v>231.17282949228024</v>
      </c>
      <c r="K155" s="770">
        <f>'4D Wastewater treatment and dis'!AW184</f>
        <v>3.6436849004121257</v>
      </c>
      <c r="L155" s="771">
        <f t="shared" si="121"/>
        <v>6895.3973446160244</v>
      </c>
      <c r="M155" s="772">
        <f t="shared" si="122"/>
        <v>12.078490142232495</v>
      </c>
      <c r="N155" s="771">
        <f t="shared" si="123"/>
        <v>1024.9461634980144</v>
      </c>
      <c r="O155" s="773">
        <f t="shared" si="124"/>
        <v>96.042128189602451</v>
      </c>
      <c r="P155" s="771">
        <f t="shared" si="125"/>
        <v>5984.171738465644</v>
      </c>
      <c r="Q155" s="519">
        <f t="shared" si="126"/>
        <v>6895.3973446160244</v>
      </c>
      <c r="R155" s="521">
        <f t="shared" si="127"/>
        <v>1037.0246536402469</v>
      </c>
      <c r="S155" s="518">
        <f t="shared" si="128"/>
        <v>96.042128189602451</v>
      </c>
      <c r="T155" s="519">
        <f t="shared" si="129"/>
        <v>5984.171738465644</v>
      </c>
      <c r="U155" s="519">
        <f t="shared" si="130"/>
        <v>14012.635864911517</v>
      </c>
    </row>
    <row r="156" spans="1:21">
      <c r="A156" s="4">
        <f>'Input data'!A143</f>
        <v>2043</v>
      </c>
      <c r="B156" s="4"/>
      <c r="C156" s="769">
        <f>'4A SWD Case 2'!BN113</f>
        <v>316.99928131585733</v>
      </c>
      <c r="D156" s="3">
        <f>'4B Biological treatment '!T209</f>
        <v>0.5751661972491664</v>
      </c>
      <c r="E156" s="1159">
        <f>'4B Biological treatment '!U209</f>
        <v>25.882478876212485</v>
      </c>
      <c r="F156" s="1159">
        <f>'4B Biological treatment '!W209</f>
        <v>1.5529487325727491</v>
      </c>
      <c r="G156" s="952">
        <f>'4C2 Open-burning '!R148</f>
        <v>10.070837196069071</v>
      </c>
      <c r="H156" s="952">
        <f>'4C2 Open-burning '!Z148</f>
        <v>3.3885283940442661</v>
      </c>
      <c r="I156" s="952">
        <f>'4C2 Open-burning '!AH148</f>
        <v>4.7174034444985899E-2</v>
      </c>
      <c r="J156" s="987">
        <f>'4D Wastewater treatment and dis'!AV185</f>
        <v>232.6086276429136</v>
      </c>
      <c r="K156" s="770">
        <f>'4D Wastewater treatment and dis'!AW185</f>
        <v>3.666315570517225</v>
      </c>
      <c r="L156" s="771">
        <f t="shared" si="121"/>
        <v>6656.9849076330038</v>
      </c>
      <c r="M156" s="772">
        <f t="shared" si="122"/>
        <v>12.078490142232495</v>
      </c>
      <c r="N156" s="771">
        <f t="shared" si="123"/>
        <v>1024.9461634980144</v>
      </c>
      <c r="O156" s="773">
        <f t="shared" si="124"/>
        <v>95.853884148944275</v>
      </c>
      <c r="P156" s="771">
        <f t="shared" si="125"/>
        <v>6021.3390073615255</v>
      </c>
      <c r="Q156" s="519">
        <f t="shared" si="126"/>
        <v>6656.9849076330038</v>
      </c>
      <c r="R156" s="521">
        <f t="shared" si="127"/>
        <v>1037.0246536402469</v>
      </c>
      <c r="S156" s="518">
        <f t="shared" si="128"/>
        <v>95.853884148944275</v>
      </c>
      <c r="T156" s="519">
        <f t="shared" si="129"/>
        <v>6021.3390073615255</v>
      </c>
      <c r="U156" s="519">
        <f t="shared" si="130"/>
        <v>13811.20245278372</v>
      </c>
    </row>
    <row r="157" spans="1:21">
      <c r="A157" s="4">
        <f>'Input data'!A144</f>
        <v>2044</v>
      </c>
      <c r="B157" s="4"/>
      <c r="C157" s="769">
        <f>'4A SWD Case 2'!BN114</f>
        <v>306.20813597963775</v>
      </c>
      <c r="D157" s="3">
        <f>'4B Biological treatment '!T210</f>
        <v>0.5751661972491664</v>
      </c>
      <c r="E157" s="1159">
        <f>'4B Biological treatment '!U210</f>
        <v>25.882478876212485</v>
      </c>
      <c r="F157" s="1159">
        <f>'4B Biological treatment '!W210</f>
        <v>1.5529487325727491</v>
      </c>
      <c r="G157" s="952">
        <f>'4C2 Open-burning '!R149</f>
        <v>10.051258180143671</v>
      </c>
      <c r="H157" s="952">
        <f>'4C2 Open-burning '!Z149</f>
        <v>3.3819406546042359</v>
      </c>
      <c r="I157" s="952">
        <f>'4C2 Open-burning '!AH149</f>
        <v>4.7082321993113047E-2</v>
      </c>
      <c r="J157" s="987">
        <f>'4D Wastewater treatment and dis'!AV186</f>
        <v>234.0533434346637</v>
      </c>
      <c r="K157" s="770">
        <f>'4D Wastewater treatment and dis'!AW186</f>
        <v>3.6890867981193103</v>
      </c>
      <c r="L157" s="771">
        <f t="shared" si="121"/>
        <v>6430.3708555723924</v>
      </c>
      <c r="M157" s="772">
        <f t="shared" si="122"/>
        <v>12.078490142232495</v>
      </c>
      <c r="N157" s="771">
        <f t="shared" si="123"/>
        <v>1024.9461634980144</v>
      </c>
      <c r="O157" s="773">
        <f t="shared" si="124"/>
        <v>95.667531744697669</v>
      </c>
      <c r="P157" s="771">
        <f t="shared" si="125"/>
        <v>6058.7371195449232</v>
      </c>
      <c r="Q157" s="519">
        <f t="shared" si="126"/>
        <v>6430.3708555723924</v>
      </c>
      <c r="R157" s="521">
        <f t="shared" si="127"/>
        <v>1037.0246536402469</v>
      </c>
      <c r="S157" s="518">
        <f t="shared" si="128"/>
        <v>95.667531744697669</v>
      </c>
      <c r="T157" s="519">
        <f t="shared" si="129"/>
        <v>6058.7371195449232</v>
      </c>
      <c r="U157" s="519">
        <f t="shared" si="130"/>
        <v>13621.800160502262</v>
      </c>
    </row>
    <row r="158" spans="1:21">
      <c r="A158" s="4">
        <f>'Input data'!A145</f>
        <v>2045</v>
      </c>
      <c r="B158" s="4"/>
      <c r="C158" s="769">
        <f>'4A SWD Case 2'!BN115</f>
        <v>295.95144695509998</v>
      </c>
      <c r="D158" s="3">
        <f>'4B Biological treatment '!T211</f>
        <v>0.5751661972491664</v>
      </c>
      <c r="E158" s="1159">
        <f>'4B Biological treatment '!U211</f>
        <v>25.882478876212485</v>
      </c>
      <c r="F158" s="1159">
        <f>'4B Biological treatment '!W211</f>
        <v>1.5529487325727491</v>
      </c>
      <c r="G158" s="952">
        <f>'4C2 Open-burning '!R150</f>
        <v>10.031875296933661</v>
      </c>
      <c r="H158" s="952">
        <f>'4C2 Open-burning '!Z150</f>
        <v>3.3754189078182595</v>
      </c>
      <c r="I158" s="952">
        <f>'4C2 Open-burning '!AH150</f>
        <v>4.699152827036783E-2</v>
      </c>
      <c r="J158" s="987">
        <f>'4D Wastewater treatment and dis'!AV187</f>
        <v>235.50703225437104</v>
      </c>
      <c r="K158" s="770">
        <f>'4D Wastewater treatment and dis'!AW187</f>
        <v>3.711999456211089</v>
      </c>
      <c r="L158" s="771">
        <f t="shared" si="121"/>
        <v>6214.9803860570992</v>
      </c>
      <c r="M158" s="772">
        <f t="shared" si="122"/>
        <v>12.078490142232495</v>
      </c>
      <c r="N158" s="771">
        <f t="shared" si="123"/>
        <v>1024.9461634980144</v>
      </c>
      <c r="O158" s="773">
        <f t="shared" si="124"/>
        <v>95.48304612493115</v>
      </c>
      <c r="P158" s="771">
        <f t="shared" si="125"/>
        <v>6096.3675087672291</v>
      </c>
      <c r="Q158" s="519">
        <f t="shared" si="126"/>
        <v>6214.9803860570992</v>
      </c>
      <c r="R158" s="521">
        <f t="shared" si="127"/>
        <v>1037.0246536402469</v>
      </c>
      <c r="S158" s="518">
        <f t="shared" si="128"/>
        <v>95.48304612493115</v>
      </c>
      <c r="T158" s="519">
        <f t="shared" si="129"/>
        <v>6096.3675087672291</v>
      </c>
      <c r="U158" s="519">
        <f t="shared" si="130"/>
        <v>13443.855594589506</v>
      </c>
    </row>
    <row r="159" spans="1:21">
      <c r="A159" s="4">
        <f>'Input data'!A146</f>
        <v>2046</v>
      </c>
      <c r="B159" s="4"/>
      <c r="C159" s="769">
        <f>'4A SWD Case 2'!BN116</f>
        <v>286.20317540396729</v>
      </c>
      <c r="D159" s="3">
        <f>'4B Biological treatment '!T212</f>
        <v>0.5751661972491664</v>
      </c>
      <c r="E159" s="1159">
        <f>'4B Biological treatment '!U212</f>
        <v>25.882478876212485</v>
      </c>
      <c r="F159" s="1159">
        <f>'4B Biological treatment '!W212</f>
        <v>1.5529487325727491</v>
      </c>
      <c r="G159" s="952">
        <f>'4C2 Open-burning '!R151</f>
        <v>10.016080649685344</v>
      </c>
      <c r="H159" s="952">
        <f>'4C2 Open-burning '!Z151</f>
        <v>3.3701044925782111</v>
      </c>
      <c r="I159" s="952">
        <f>'4C2 Open-burning '!AH151</f>
        <v>4.6917542640490965E-2</v>
      </c>
      <c r="J159" s="987">
        <f>'4D Wastewater treatment and dis'!AV188</f>
        <v>236.70925796835201</v>
      </c>
      <c r="K159" s="770">
        <f>'4D Wastewater treatment and dis'!AW188</f>
        <v>3.7309486194433799</v>
      </c>
      <c r="L159" s="771">
        <f t="shared" si="121"/>
        <v>6010.2666834833135</v>
      </c>
      <c r="M159" s="772">
        <f t="shared" si="122"/>
        <v>12.078490142232495</v>
      </c>
      <c r="N159" s="771">
        <f t="shared" si="123"/>
        <v>1024.9461634980144</v>
      </c>
      <c r="O159" s="773">
        <f t="shared" si="124"/>
        <v>95.332713212379986</v>
      </c>
      <c r="P159" s="771">
        <f t="shared" si="125"/>
        <v>6127.4884893628396</v>
      </c>
      <c r="Q159" s="519">
        <f t="shared" si="126"/>
        <v>6010.2666834833135</v>
      </c>
      <c r="R159" s="521">
        <f t="shared" si="127"/>
        <v>1037.0246536402469</v>
      </c>
      <c r="S159" s="518">
        <f t="shared" si="128"/>
        <v>95.332713212379986</v>
      </c>
      <c r="T159" s="519">
        <f t="shared" si="129"/>
        <v>6127.4884893628396</v>
      </c>
      <c r="U159" s="519">
        <f t="shared" si="130"/>
        <v>13270.112539698781</v>
      </c>
    </row>
    <row r="160" spans="1:21">
      <c r="A160" s="4">
        <f>'Input data'!A147</f>
        <v>2047</v>
      </c>
      <c r="B160" s="4"/>
      <c r="C160" s="769">
        <f>'4A SWD Case 2'!BN117</f>
        <v>276.93682935400375</v>
      </c>
      <c r="D160" s="3">
        <f>'4B Biological treatment '!T213</f>
        <v>0.5751661972491664</v>
      </c>
      <c r="E160" s="1159">
        <f>'4B Biological treatment '!U213</f>
        <v>25.882478876212485</v>
      </c>
      <c r="F160" s="1159">
        <f>'4B Biological treatment '!W213</f>
        <v>1.5529487325727491</v>
      </c>
      <c r="G160" s="952">
        <f>'4C2 Open-burning '!R152</f>
        <v>10.000415502259907</v>
      </c>
      <c r="H160" s="952">
        <f>'4C2 Open-burning '!Z152</f>
        <v>3.3648336500638756</v>
      </c>
      <c r="I160" s="952">
        <f>'4C2 Open-burning '!AH152</f>
        <v>4.6844163616498617E-2</v>
      </c>
      <c r="J160" s="987">
        <f>'4D Wastewater treatment and dis'!AV189</f>
        <v>237.91762085222362</v>
      </c>
      <c r="K160" s="770">
        <f>'4D Wastewater treatment and dis'!AW189</f>
        <v>3.74999451512174</v>
      </c>
      <c r="L160" s="771">
        <f t="shared" si="121"/>
        <v>5815.6734164340787</v>
      </c>
      <c r="M160" s="772">
        <f t="shared" si="122"/>
        <v>12.078490142232495</v>
      </c>
      <c r="N160" s="771">
        <f t="shared" si="123"/>
        <v>1024.9461634980144</v>
      </c>
      <c r="O160" s="773">
        <f t="shared" si="124"/>
        <v>95.183612874715863</v>
      </c>
      <c r="P160" s="771">
        <f t="shared" si="125"/>
        <v>6158.7683375844354</v>
      </c>
      <c r="Q160" s="519">
        <f t="shared" si="126"/>
        <v>5815.6734164340787</v>
      </c>
      <c r="R160" s="521">
        <f t="shared" si="127"/>
        <v>1037.0246536402469</v>
      </c>
      <c r="S160" s="518">
        <f t="shared" si="128"/>
        <v>95.183612874715863</v>
      </c>
      <c r="T160" s="519">
        <f t="shared" si="129"/>
        <v>6158.7683375844354</v>
      </c>
      <c r="U160" s="519">
        <f t="shared" si="130"/>
        <v>13106.650020533478</v>
      </c>
    </row>
    <row r="161" spans="1:21">
      <c r="A161" s="4">
        <f>'Input data'!A148</f>
        <v>2048</v>
      </c>
      <c r="B161" s="4"/>
      <c r="C161" s="769">
        <f>'4A SWD Case 2'!BN118</f>
        <v>268.12894141917309</v>
      </c>
      <c r="D161" s="3">
        <f>'4B Biological treatment '!T214</f>
        <v>0.5751661972491664</v>
      </c>
      <c r="E161" s="1159">
        <f>'4B Biological treatment '!U214</f>
        <v>25.882478876212485</v>
      </c>
      <c r="F161" s="1159">
        <f>'4B Biological treatment '!W214</f>
        <v>1.5529487325727491</v>
      </c>
      <c r="G161" s="952">
        <f>'4C2 Open-burning '!R153</f>
        <v>9.984878469104487</v>
      </c>
      <c r="H161" s="952">
        <f>'4C2 Open-burning '!Z153</f>
        <v>3.3596059140791366</v>
      </c>
      <c r="I161" s="952">
        <f>'4C2 Open-burning '!AH153</f>
        <v>4.6771384708153965E-2</v>
      </c>
      <c r="J161" s="987">
        <f>'4D Wastewater treatment and dis'!AV190</f>
        <v>239.13215223525594</v>
      </c>
      <c r="K161" s="770">
        <f>'4D Wastewater treatment and dis'!AW190</f>
        <v>3.769137637049826</v>
      </c>
      <c r="L161" s="771">
        <f t="shared" si="121"/>
        <v>5630.7077698026351</v>
      </c>
      <c r="M161" s="772">
        <f t="shared" si="122"/>
        <v>12.078490142232495</v>
      </c>
      <c r="N161" s="771">
        <f t="shared" si="123"/>
        <v>1024.9461634980144</v>
      </c>
      <c r="O161" s="773">
        <f t="shared" si="124"/>
        <v>95.035731924294083</v>
      </c>
      <c r="P161" s="771">
        <f t="shared" si="125"/>
        <v>6190.2078644258199</v>
      </c>
      <c r="Q161" s="519">
        <f t="shared" si="126"/>
        <v>5630.7077698026351</v>
      </c>
      <c r="R161" s="521">
        <f t="shared" si="127"/>
        <v>1037.0246536402469</v>
      </c>
      <c r="S161" s="518">
        <f t="shared" si="128"/>
        <v>95.035731924294083</v>
      </c>
      <c r="T161" s="519">
        <f t="shared" si="129"/>
        <v>6190.2078644258199</v>
      </c>
      <c r="U161" s="519">
        <f t="shared" si="130"/>
        <v>12952.976019792995</v>
      </c>
    </row>
    <row r="162" spans="1:21">
      <c r="A162" s="4">
        <f>'Input data'!A149</f>
        <v>2049</v>
      </c>
      <c r="B162" s="4"/>
      <c r="C162" s="769">
        <f>'4A SWD Case 2'!BN119</f>
        <v>259.75718622946454</v>
      </c>
      <c r="D162" s="3">
        <f>'4B Biological treatment '!T215</f>
        <v>0.5751661972491664</v>
      </c>
      <c r="E162" s="1159">
        <f>'4B Biological treatment '!U215</f>
        <v>25.882478876212485</v>
      </c>
      <c r="F162" s="1159">
        <f>'4B Biological treatment '!W215</f>
        <v>1.5529487325727491</v>
      </c>
      <c r="G162" s="952">
        <f>'4C2 Open-burning '!R154</f>
        <v>9.9694681839421868</v>
      </c>
      <c r="H162" s="952">
        <f>'4C2 Open-burning '!Z154</f>
        <v>3.3544208249136438</v>
      </c>
      <c r="I162" s="952">
        <f>'4C2 Open-burning '!AH154</f>
        <v>4.669919951551306E-2</v>
      </c>
      <c r="J162" s="987">
        <f>'4D Wastewater treatment and dis'!AV191</f>
        <v>240.35288360665007</v>
      </c>
      <c r="K162" s="770">
        <f>'4D Wastewater treatment and dis'!AW191</f>
        <v>3.7883784815520856</v>
      </c>
      <c r="L162" s="771">
        <f t="shared" si="121"/>
        <v>5454.9009108187556</v>
      </c>
      <c r="M162" s="772">
        <f t="shared" si="122"/>
        <v>12.078490142232495</v>
      </c>
      <c r="N162" s="771">
        <f t="shared" si="123"/>
        <v>1024.9461634980144</v>
      </c>
      <c r="O162" s="773">
        <f t="shared" si="124"/>
        <v>94.889057356937755</v>
      </c>
      <c r="P162" s="771">
        <f t="shared" si="125"/>
        <v>6221.8078850207985</v>
      </c>
      <c r="Q162" s="519">
        <f t="shared" si="126"/>
        <v>5454.9009108187556</v>
      </c>
      <c r="R162" s="521">
        <f t="shared" si="127"/>
        <v>1037.0246536402469</v>
      </c>
      <c r="S162" s="518">
        <f t="shared" si="128"/>
        <v>94.889057356937755</v>
      </c>
      <c r="T162" s="519">
        <f t="shared" si="129"/>
        <v>6221.8078850207985</v>
      </c>
      <c r="U162" s="519">
        <f t="shared" si="130"/>
        <v>12808.622506836738</v>
      </c>
    </row>
    <row r="163" spans="1:21">
      <c r="A163" s="4">
        <f>'Input data'!A150</f>
        <v>2050</v>
      </c>
      <c r="B163" s="4"/>
      <c r="C163" s="769">
        <f>'4A SWD Case 2'!BN120</f>
        <v>251.80032490063209</v>
      </c>
      <c r="D163" s="3">
        <f>'4B Biological treatment '!T216</f>
        <v>0.5751661972491664</v>
      </c>
      <c r="E163" s="1159">
        <f>'4B Biological treatment '!U216</f>
        <v>25.882478876212485</v>
      </c>
      <c r="F163" s="1159">
        <f>'4B Biological treatment '!W216</f>
        <v>1.5529487325727491</v>
      </c>
      <c r="G163" s="952">
        <f>'4C2 Open-burning '!R155</f>
        <v>9.9541832994375596</v>
      </c>
      <c r="H163" s="952">
        <f>'4C2 Open-burning '!Z155</f>
        <v>3.3492779292302703</v>
      </c>
      <c r="I163" s="952">
        <f>'4C2 Open-burning '!AH155</f>
        <v>4.6627601727357929E-2</v>
      </c>
      <c r="J163" s="987">
        <f>'4D Wastewater treatment and dis'!AV192</f>
        <v>241.57984661635467</v>
      </c>
      <c r="K163" s="770">
        <f>'4D Wastewater treatment and dis'!AW192</f>
        <v>3.8077175474866229</v>
      </c>
      <c r="L163" s="771">
        <f t="shared" si="121"/>
        <v>5287.8068229132741</v>
      </c>
      <c r="M163" s="772">
        <f t="shared" si="122"/>
        <v>12.078490142232495</v>
      </c>
      <c r="N163" s="771">
        <f t="shared" si="123"/>
        <v>1024.9461634980144</v>
      </c>
      <c r="O163" s="773">
        <f t="shared" si="124"/>
        <v>94.743576348754203</v>
      </c>
      <c r="P163" s="771">
        <f t="shared" si="125"/>
        <v>6253.5692186643009</v>
      </c>
      <c r="Q163" s="471">
        <f t="shared" si="126"/>
        <v>5287.8068229132741</v>
      </c>
      <c r="R163" s="517">
        <f t="shared" si="127"/>
        <v>1037.0246536402469</v>
      </c>
      <c r="S163" s="514">
        <f t="shared" si="128"/>
        <v>94.743576348754203</v>
      </c>
      <c r="T163" s="471">
        <f t="shared" si="129"/>
        <v>6253.5692186643009</v>
      </c>
      <c r="U163" s="471">
        <f t="shared" si="130"/>
        <v>12673.144271566576</v>
      </c>
    </row>
    <row r="164" spans="1:21">
      <c r="A164" s="413" t="s">
        <v>659</v>
      </c>
      <c r="D164" s="3">
        <f>'4B Biological treatment '!T217</f>
        <v>0</v>
      </c>
      <c r="E164" s="178">
        <f>'4B Biological treatment '!U217</f>
        <v>0</v>
      </c>
      <c r="F164" s="178">
        <f>'4B Biological treatment '!W217</f>
        <v>0</v>
      </c>
      <c r="G164" s="952"/>
      <c r="H164" s="952"/>
      <c r="I164" s="952"/>
      <c r="J164" s="987"/>
      <c r="K164" s="770"/>
      <c r="L164" s="771"/>
      <c r="M164" s="772"/>
      <c r="N164" s="771"/>
      <c r="O164" s="773"/>
      <c r="P164" s="771"/>
      <c r="Q164" s="471"/>
      <c r="R164" s="517"/>
      <c r="S164" s="514"/>
      <c r="T164" s="471"/>
      <c r="U164" s="471"/>
    </row>
    <row r="165" spans="1:21">
      <c r="A165">
        <f>'Input data'!A118</f>
        <v>2018</v>
      </c>
      <c r="C165" s="314">
        <f>'4A SWD Case 3'!BG88</f>
        <v>821.57255218782393</v>
      </c>
      <c r="D165" s="3">
        <f>'4B Biological treatment '!T218</f>
        <v>0.67355338026918088</v>
      </c>
      <c r="E165" s="178">
        <f>'4B Biological treatment '!U218</f>
        <v>18.637625699324865</v>
      </c>
      <c r="F165" s="178">
        <f>'4B Biological treatment '!W218</f>
        <v>1.1182575419594918</v>
      </c>
      <c r="G165" s="952">
        <f>'4C2 Open-burning '!R157</f>
        <v>32.917048058163878</v>
      </c>
      <c r="H165" s="952">
        <f>'4C2 Open-burning '!Z157</f>
        <v>11.075578903881524</v>
      </c>
      <c r="I165" s="952">
        <f>'4C2 Open-burning '!AH157</f>
        <v>0.15419075184029302</v>
      </c>
      <c r="J165" s="987">
        <f>'4D Wastewater treatment and dis'!AV194</f>
        <v>137.16052165703309</v>
      </c>
      <c r="K165" s="770">
        <f>'4D Wastewater treatment and dis'!AW194</f>
        <v>2.8960026873618072</v>
      </c>
      <c r="L165" s="771">
        <f>C165*$B$3</f>
        <v>17253.023595944302</v>
      </c>
      <c r="M165" s="772">
        <f t="shared" ref="M165:M197" si="131">D165*$B$3</f>
        <v>14.144620985652798</v>
      </c>
      <c r="N165" s="771">
        <f t="shared" ref="N165:N197" si="132">E165*$B$3+F165*$C$3</f>
        <v>738.04997769326451</v>
      </c>
      <c r="O165" s="773">
        <f t="shared" ref="O165:O197" si="133">G165+H165*$B$3+I165*$C$3</f>
        <v>313.30333811016669</v>
      </c>
      <c r="P165" s="771">
        <f t="shared" ref="P165:P197" si="134">J165*$B$3+K165*$C$3</f>
        <v>3778.1317878798554</v>
      </c>
      <c r="Q165" s="471">
        <f t="shared" ref="Q165:Q197" si="135">L165</f>
        <v>17253.023595944302</v>
      </c>
      <c r="R165" s="517">
        <f t="shared" ref="R165:R197" si="136">M165+N165</f>
        <v>752.19459867891726</v>
      </c>
      <c r="S165" s="514">
        <f t="shared" ref="S165:S197" si="137">O165</f>
        <v>313.30333811016669</v>
      </c>
      <c r="T165" s="471">
        <f t="shared" ref="T165:T197" si="138">P165</f>
        <v>3778.1317878798554</v>
      </c>
      <c r="U165" s="471">
        <f t="shared" ref="U165:U197" si="139">SUM(Q165:T165)</f>
        <v>22096.653320613241</v>
      </c>
    </row>
    <row r="166" spans="1:21">
      <c r="A166">
        <f>'Input data'!A119</f>
        <v>2019</v>
      </c>
      <c r="C166" s="314">
        <f>'4A SWD Case 3'!BG89</f>
        <v>802.90951961094413</v>
      </c>
      <c r="D166" s="3">
        <f>'4B Biological treatment '!T219</f>
        <v>1.1287636912181842</v>
      </c>
      <c r="E166" s="178">
        <f>'4B Biological treatment '!U219</f>
        <v>17.914347339353967</v>
      </c>
      <c r="F166" s="178">
        <f>'4B Biological treatment '!W219</f>
        <v>1.0748608403612381</v>
      </c>
      <c r="G166" s="952">
        <f>'4C2 Open-burning '!R158</f>
        <v>32.340305277661429</v>
      </c>
      <c r="H166" s="952">
        <f>'4C2 Open-burning '!Z158</f>
        <v>10.881522615437561</v>
      </c>
      <c r="I166" s="952">
        <f>'4C2 Open-burning '!AH158</f>
        <v>0.15148916077456326</v>
      </c>
      <c r="J166" s="987">
        <f>'4D Wastewater treatment and dis'!AV195</f>
        <v>143.32271319274017</v>
      </c>
      <c r="K166" s="770">
        <f>'4D Wastewater treatment and dis'!AW195</f>
        <v>2.9428357992270668</v>
      </c>
      <c r="L166" s="771">
        <f t="shared" ref="L166:L197" si="140">C166*$B$3</f>
        <v>16861.099911829828</v>
      </c>
      <c r="M166" s="772">
        <f t="shared" si="131"/>
        <v>23.704037515581867</v>
      </c>
      <c r="N166" s="771">
        <f t="shared" si="132"/>
        <v>709.40815463841705</v>
      </c>
      <c r="O166" s="773">
        <f t="shared" si="133"/>
        <v>307.81392004196488</v>
      </c>
      <c r="P166" s="771">
        <f t="shared" si="134"/>
        <v>3922.0560748079342</v>
      </c>
      <c r="Q166" s="519">
        <f t="shared" si="135"/>
        <v>16861.099911829828</v>
      </c>
      <c r="R166" s="521">
        <f t="shared" si="136"/>
        <v>733.11219215399888</v>
      </c>
      <c r="S166" s="518">
        <f t="shared" si="137"/>
        <v>307.81392004196488</v>
      </c>
      <c r="T166" s="519">
        <f t="shared" si="138"/>
        <v>3922.0560748079342</v>
      </c>
      <c r="U166" s="519">
        <f t="shared" si="139"/>
        <v>21824.082098833725</v>
      </c>
    </row>
    <row r="167" spans="1:21">
      <c r="A167">
        <f>'Input data'!A120</f>
        <v>2020</v>
      </c>
      <c r="C167" s="314">
        <f>'4A SWD Case 3'!BG90</f>
        <v>784.21643579258023</v>
      </c>
      <c r="D167" s="3">
        <f>'4B Biological treatment '!T220</f>
        <v>1.7008534375090232</v>
      </c>
      <c r="E167" s="178">
        <f>'4B Biological treatment '!U220</f>
        <v>17.594770230748367</v>
      </c>
      <c r="F167" s="178">
        <f>'4B Biological treatment '!W220</f>
        <v>1.0556862138449019</v>
      </c>
      <c r="G167" s="952">
        <f>'4C2 Open-burning '!R159</f>
        <v>31.469339877453482</v>
      </c>
      <c r="H167" s="952">
        <f>'4C2 Open-burning '!Z159</f>
        <v>10.588469423197822</v>
      </c>
      <c r="I167" s="952">
        <f>'4C2 Open-burning '!AH159</f>
        <v>0.14740936571980473</v>
      </c>
      <c r="J167" s="987">
        <f>'4D Wastewater treatment and dis'!AV196</f>
        <v>149.64833972612956</v>
      </c>
      <c r="K167" s="770">
        <f>'4D Wastewater treatment and dis'!AW196</f>
        <v>2.9904262793007734</v>
      </c>
      <c r="L167" s="771">
        <f t="shared" si="140"/>
        <v>16468.545151644186</v>
      </c>
      <c r="M167" s="772">
        <f t="shared" si="131"/>
        <v>35.717922187689489</v>
      </c>
      <c r="N167" s="771">
        <f t="shared" si="132"/>
        <v>696.75290113763526</v>
      </c>
      <c r="O167" s="773">
        <f t="shared" si="133"/>
        <v>299.52410113774715</v>
      </c>
      <c r="P167" s="771">
        <f t="shared" si="134"/>
        <v>4069.6472808319609</v>
      </c>
      <c r="Q167" s="519">
        <f t="shared" si="135"/>
        <v>16468.545151644186</v>
      </c>
      <c r="R167" s="521">
        <f t="shared" si="136"/>
        <v>732.47082332532477</v>
      </c>
      <c r="S167" s="518">
        <f t="shared" si="137"/>
        <v>299.52410113774715</v>
      </c>
      <c r="T167" s="519">
        <f t="shared" si="138"/>
        <v>4069.6472808319609</v>
      </c>
      <c r="U167" s="519">
        <f t="shared" si="139"/>
        <v>21570.187356939219</v>
      </c>
    </row>
    <row r="168" spans="1:21">
      <c r="A168">
        <f>'Input data'!A121</f>
        <v>2021</v>
      </c>
      <c r="C168" s="314">
        <f>'4A SWD Case 3'!BG91</f>
        <v>764.05533221825021</v>
      </c>
      <c r="D168" s="3">
        <f>'4B Biological treatment '!T221</f>
        <v>2.6679045931375649</v>
      </c>
      <c r="E168" s="178">
        <f>'4B Biological treatment '!U221</f>
        <v>18.976575845145486</v>
      </c>
      <c r="F168" s="178">
        <f>'4B Biological treatment '!W221</f>
        <v>1.1385945507087292</v>
      </c>
      <c r="G168" s="952">
        <f>'4C2 Open-burning '!R160</f>
        <v>28.931012243244801</v>
      </c>
      <c r="H168" s="952">
        <f>'4C2 Open-burning '!Z160</f>
        <v>9.7343998861328558</v>
      </c>
      <c r="I168" s="952">
        <f>'4C2 Open-burning '!AH160</f>
        <v>0.13551927625479393</v>
      </c>
      <c r="J168" s="987">
        <f>'4D Wastewater treatment and dis'!AV197</f>
        <v>155.42542691703585</v>
      </c>
      <c r="K168" s="770">
        <f>'4D Wastewater treatment and dis'!AW197</f>
        <v>3.0248585614028385</v>
      </c>
      <c r="L168" s="771">
        <f t="shared" si="140"/>
        <v>16045.161976583255</v>
      </c>
      <c r="M168" s="772">
        <f t="shared" si="131"/>
        <v>56.025996455888865</v>
      </c>
      <c r="N168" s="771">
        <f t="shared" si="132"/>
        <v>751.4724034677613</v>
      </c>
      <c r="O168" s="773">
        <f t="shared" si="133"/>
        <v>275.36438549102087</v>
      </c>
      <c r="P168" s="771">
        <f t="shared" si="134"/>
        <v>4201.6401192926323</v>
      </c>
      <c r="Q168" s="519">
        <f t="shared" si="135"/>
        <v>16045.161976583255</v>
      </c>
      <c r="R168" s="521">
        <f t="shared" si="136"/>
        <v>807.49839992365014</v>
      </c>
      <c r="S168" s="518">
        <f t="shared" si="137"/>
        <v>275.36438549102087</v>
      </c>
      <c r="T168" s="519">
        <f t="shared" si="138"/>
        <v>4201.6401192926323</v>
      </c>
      <c r="U168" s="519">
        <f t="shared" si="139"/>
        <v>21329.664881290559</v>
      </c>
    </row>
    <row r="169" spans="1:21">
      <c r="A169">
        <f>'Input data'!A122</f>
        <v>2022</v>
      </c>
      <c r="C169" s="314">
        <f>'4A SWD Case 3'!BG92</f>
        <v>738.75842154790462</v>
      </c>
      <c r="D169" s="3">
        <f>'4B Biological treatment '!T222</f>
        <v>3.54919652732482</v>
      </c>
      <c r="E169" s="178">
        <f>'4B Biological treatment '!U222</f>
        <v>17.745982636624099</v>
      </c>
      <c r="F169" s="178">
        <f>'4B Biological treatment '!W222</f>
        <v>1.0647589581974459</v>
      </c>
      <c r="G169" s="952">
        <f>'4C2 Open-burning '!R161</f>
        <v>24.077995052126731</v>
      </c>
      <c r="H169" s="952">
        <f>'4C2 Open-burning '!Z161</f>
        <v>8.1015081782510823</v>
      </c>
      <c r="I169" s="952">
        <f>'4C2 Open-burning '!AH161</f>
        <v>0.11278666766637657</v>
      </c>
      <c r="J169" s="987">
        <f>'4D Wastewater treatment and dis'!AV198</f>
        <v>161.31571105616422</v>
      </c>
      <c r="K169" s="770">
        <f>'4D Wastewater treatment and dis'!AW198</f>
        <v>3.0596873027184164</v>
      </c>
      <c r="L169" s="771">
        <f t="shared" si="140"/>
        <v>15513.926852505996</v>
      </c>
      <c r="M169" s="772">
        <f t="shared" si="131"/>
        <v>74.53312707382122</v>
      </c>
      <c r="N169" s="771">
        <f t="shared" si="132"/>
        <v>702.74091241031431</v>
      </c>
      <c r="O169" s="773">
        <f t="shared" si="133"/>
        <v>229.17353377197622</v>
      </c>
      <c r="P169" s="771">
        <f t="shared" si="134"/>
        <v>4336.1329960221574</v>
      </c>
      <c r="Q169" s="519">
        <f t="shared" si="135"/>
        <v>15513.926852505996</v>
      </c>
      <c r="R169" s="521">
        <f t="shared" si="136"/>
        <v>777.27403948413553</v>
      </c>
      <c r="S169" s="518">
        <f t="shared" si="137"/>
        <v>229.17353377197622</v>
      </c>
      <c r="T169" s="519">
        <f t="shared" si="138"/>
        <v>4336.1329960221574</v>
      </c>
      <c r="U169" s="519">
        <f t="shared" si="139"/>
        <v>20856.507421784263</v>
      </c>
    </row>
    <row r="170" spans="1:21">
      <c r="A170">
        <f>'Input data'!A123</f>
        <v>2023</v>
      </c>
      <c r="C170" s="314">
        <f>'4A SWD Case 3'!BG93</f>
        <v>710.9840484940903</v>
      </c>
      <c r="D170" s="3">
        <f>'4B Biological treatment '!T223</f>
        <v>3.5640011462061119</v>
      </c>
      <c r="E170" s="178">
        <f>'4B Biological treatment '!U223</f>
        <v>17.820005731030555</v>
      </c>
      <c r="F170" s="178">
        <f>'4B Biological treatment '!W223</f>
        <v>1.0692003438618334</v>
      </c>
      <c r="G170" s="952">
        <f>'4C2 Open-burning '!R162</f>
        <v>22.834713354191649</v>
      </c>
      <c r="H170" s="952">
        <f>'4C2 Open-burning '!Z162</f>
        <v>7.6831819504283345</v>
      </c>
      <c r="I170" s="952">
        <f>'4C2 Open-burning '!AH162</f>
        <v>0.10696286051893278</v>
      </c>
      <c r="J170" s="987">
        <f>'4D Wastewater treatment and dis'!AV199</f>
        <v>167.32103297774702</v>
      </c>
      <c r="K170" s="770">
        <f>'4D Wastewater treatment and dis'!AW199</f>
        <v>3.0949170681470224</v>
      </c>
      <c r="L170" s="771">
        <f t="shared" si="140"/>
        <v>14930.665018375896</v>
      </c>
      <c r="M170" s="772">
        <f t="shared" si="131"/>
        <v>74.844024070328345</v>
      </c>
      <c r="N170" s="771">
        <f t="shared" si="132"/>
        <v>705.67222694881002</v>
      </c>
      <c r="O170" s="773">
        <f t="shared" si="133"/>
        <v>217.34002107405581</v>
      </c>
      <c r="P170" s="771">
        <f t="shared" si="134"/>
        <v>4473.1659836582639</v>
      </c>
      <c r="Q170" s="519">
        <f t="shared" si="135"/>
        <v>14930.665018375896</v>
      </c>
      <c r="R170" s="521">
        <f t="shared" si="136"/>
        <v>780.51625101913839</v>
      </c>
      <c r="S170" s="518">
        <f t="shared" si="137"/>
        <v>217.34002107405581</v>
      </c>
      <c r="T170" s="519">
        <f t="shared" si="138"/>
        <v>4473.1659836582639</v>
      </c>
      <c r="U170" s="519">
        <f t="shared" si="139"/>
        <v>20401.687274127355</v>
      </c>
    </row>
    <row r="171" spans="1:21">
      <c r="A171">
        <f>'Input data'!A124</f>
        <v>2024</v>
      </c>
      <c r="C171" s="314">
        <f>'4A SWD Case 3'!BG94</f>
        <v>684.34297788237109</v>
      </c>
      <c r="D171" s="3">
        <f>'4B Biological treatment '!T224</f>
        <v>3.5811741064078007</v>
      </c>
      <c r="E171" s="178">
        <f>'4B Biological treatment '!U224</f>
        <v>17.905870532039003</v>
      </c>
      <c r="F171" s="178">
        <f>'4B Biological treatment '!W224</f>
        <v>1.0743522319223402</v>
      </c>
      <c r="G171" s="952">
        <f>'4C2 Open-burning '!R163</f>
        <v>21.570135720604139</v>
      </c>
      <c r="H171" s="952">
        <f>'4C2 Open-burning '!Z163</f>
        <v>7.2576902922415494</v>
      </c>
      <c r="I171" s="952">
        <f>'4C2 Open-burning '!AH163</f>
        <v>0.10103929848692009</v>
      </c>
      <c r="J171" s="987">
        <f>'4D Wastewater treatment and dis'!AV200</f>
        <v>173.44326090016418</v>
      </c>
      <c r="K171" s="770">
        <f>'4D Wastewater treatment and dis'!AW200</f>
        <v>3.1305524751492158</v>
      </c>
      <c r="L171" s="771">
        <f t="shared" si="140"/>
        <v>14371.202535529792</v>
      </c>
      <c r="M171" s="772">
        <f t="shared" si="131"/>
        <v>75.204656234563814</v>
      </c>
      <c r="N171" s="771">
        <f t="shared" si="132"/>
        <v>709.07247306874456</v>
      </c>
      <c r="O171" s="773">
        <f t="shared" si="133"/>
        <v>205.3038143886219</v>
      </c>
      <c r="P171" s="771">
        <f t="shared" si="134"/>
        <v>4612.7797461997052</v>
      </c>
      <c r="Q171" s="519">
        <f t="shared" si="135"/>
        <v>14371.202535529792</v>
      </c>
      <c r="R171" s="521">
        <f t="shared" si="136"/>
        <v>784.27712930330836</v>
      </c>
      <c r="S171" s="518">
        <f t="shared" si="137"/>
        <v>205.3038143886219</v>
      </c>
      <c r="T171" s="519">
        <f t="shared" si="138"/>
        <v>4612.7797461997052</v>
      </c>
      <c r="U171" s="519">
        <f t="shared" si="139"/>
        <v>19973.563225421429</v>
      </c>
    </row>
    <row r="172" spans="1:21">
      <c r="A172">
        <f>'Input data'!A125</f>
        <v>2025</v>
      </c>
      <c r="C172" s="314">
        <f>'4A SWD Case 3'!BG95</f>
        <v>658.75386921083987</v>
      </c>
      <c r="D172" s="3">
        <f>'4B Biological treatment '!T225</f>
        <v>3.5984620691053397</v>
      </c>
      <c r="E172" s="178">
        <f>'4B Biological treatment '!U225</f>
        <v>17.992310345526697</v>
      </c>
      <c r="F172" s="178">
        <f>'4B Biological treatment '!W225</f>
        <v>1.0795386207316018</v>
      </c>
      <c r="G172" s="952">
        <f>'4C2 Open-burning '!R164</f>
        <v>20.283486456074922</v>
      </c>
      <c r="H172" s="952">
        <f>'4C2 Open-burning '!Z164</f>
        <v>6.8247722059740834</v>
      </c>
      <c r="I172" s="952">
        <f>'4C2 Open-burning '!AH164</f>
        <v>9.5012348041607686E-2</v>
      </c>
      <c r="J172" s="987">
        <f>'4D Wastewater treatment and dis'!AV201</f>
        <v>179.68429081250378</v>
      </c>
      <c r="K172" s="770">
        <f>'4D Wastewater treatment and dis'!AW201</f>
        <v>3.166598194351784</v>
      </c>
      <c r="L172" s="771">
        <f t="shared" si="140"/>
        <v>13833.831253427637</v>
      </c>
      <c r="M172" s="772">
        <f t="shared" si="131"/>
        <v>75.567703451212139</v>
      </c>
      <c r="N172" s="771">
        <f t="shared" si="132"/>
        <v>712.49548968285717</v>
      </c>
      <c r="O172" s="773">
        <f t="shared" si="133"/>
        <v>193.05753067442905</v>
      </c>
      <c r="P172" s="771">
        <f t="shared" si="134"/>
        <v>4755.015547311632</v>
      </c>
      <c r="Q172" s="519">
        <f t="shared" si="135"/>
        <v>13833.831253427637</v>
      </c>
      <c r="R172" s="521">
        <f t="shared" si="136"/>
        <v>788.06319313406925</v>
      </c>
      <c r="S172" s="518">
        <f t="shared" si="137"/>
        <v>193.05753067442905</v>
      </c>
      <c r="T172" s="519">
        <f t="shared" si="138"/>
        <v>4755.015547311632</v>
      </c>
      <c r="U172" s="519">
        <f t="shared" si="139"/>
        <v>19569.967524547767</v>
      </c>
    </row>
    <row r="173" spans="1:21">
      <c r="A173">
        <f>'Input data'!A126</f>
        <v>2026</v>
      </c>
      <c r="C173" s="314">
        <f>'4A SWD Case 3'!BG96</f>
        <v>634.13887528209909</v>
      </c>
      <c r="D173" s="3">
        <f>'4B Biological treatment '!T226</f>
        <v>3.616208319632606</v>
      </c>
      <c r="E173" s="178">
        <f>'4B Biological treatment '!U226</f>
        <v>18.081041598163029</v>
      </c>
      <c r="F173" s="178">
        <f>'4B Biological treatment '!W226</f>
        <v>1.0848624958897817</v>
      </c>
      <c r="G173" s="952">
        <f>'4C2 Open-burning '!R165</f>
        <v>18.985188117273655</v>
      </c>
      <c r="H173" s="952">
        <f>'4C2 Open-burning '!Z165</f>
        <v>6.3879345628548228</v>
      </c>
      <c r="I173" s="952">
        <f>'4C2 Open-burning '!AH165</f>
        <v>8.8930830749442052E-2</v>
      </c>
      <c r="J173" s="987">
        <f>'4D Wastewater treatment and dis'!AV202</f>
        <v>185.73930530907452</v>
      </c>
      <c r="K173" s="770">
        <f>'4D Wastewater treatment and dis'!AW202</f>
        <v>3.1977779387807019</v>
      </c>
      <c r="L173" s="771">
        <f t="shared" si="140"/>
        <v>13316.916380924082</v>
      </c>
      <c r="M173" s="772">
        <f t="shared" si="131"/>
        <v>75.940374712284722</v>
      </c>
      <c r="N173" s="771">
        <f t="shared" si="132"/>
        <v>716.0092472872559</v>
      </c>
      <c r="O173" s="773">
        <f t="shared" si="133"/>
        <v>180.70037146955198</v>
      </c>
      <c r="P173" s="771">
        <f t="shared" si="134"/>
        <v>4891.8365725125823</v>
      </c>
      <c r="Q173" s="519">
        <f t="shared" si="135"/>
        <v>13316.916380924082</v>
      </c>
      <c r="R173" s="521">
        <f t="shared" si="136"/>
        <v>791.94962199954057</v>
      </c>
      <c r="S173" s="518">
        <f t="shared" si="137"/>
        <v>180.70037146955198</v>
      </c>
      <c r="T173" s="519">
        <f t="shared" si="138"/>
        <v>4891.8365725125823</v>
      </c>
      <c r="U173" s="519">
        <f t="shared" si="139"/>
        <v>19181.402946905757</v>
      </c>
    </row>
    <row r="174" spans="1:21">
      <c r="A174">
        <f>'Input data'!A127</f>
        <v>2027</v>
      </c>
      <c r="C174" s="314">
        <f>'4A SWD Case 3'!BG97</f>
        <v>610.4196574778847</v>
      </c>
      <c r="D174" s="3">
        <f>'4B Biological treatment '!T227</f>
        <v>3.6335334544265914</v>
      </c>
      <c r="E174" s="178">
        <f>'4B Biological treatment '!U227</f>
        <v>18.167667272132956</v>
      </c>
      <c r="F174" s="178">
        <f>'4B Biological treatment '!W227</f>
        <v>1.0900600363279773</v>
      </c>
      <c r="G174" s="952">
        <f>'4C2 Open-burning '!R166</f>
        <v>17.661577035208051</v>
      </c>
      <c r="H174" s="952">
        <f>'4C2 Open-burning '!Z166</f>
        <v>5.9425799565861794</v>
      </c>
      <c r="I174" s="952">
        <f>'4C2 Open-burning '!AH166</f>
        <v>8.2730742955201886E-2</v>
      </c>
      <c r="J174" s="987">
        <f>'4D Wastewater treatment and dis'!AV203</f>
        <v>191.89613972825521</v>
      </c>
      <c r="K174" s="770">
        <f>'4D Wastewater treatment and dis'!AW203</f>
        <v>3.2292646929415123</v>
      </c>
      <c r="L174" s="771">
        <f t="shared" si="140"/>
        <v>12818.812807035578</v>
      </c>
      <c r="M174" s="772">
        <f t="shared" si="131"/>
        <v>76.304202542958421</v>
      </c>
      <c r="N174" s="771">
        <f t="shared" si="132"/>
        <v>719.4396239764651</v>
      </c>
      <c r="O174" s="773">
        <f t="shared" si="133"/>
        <v>168.10228643963038</v>
      </c>
      <c r="P174" s="771">
        <f t="shared" si="134"/>
        <v>5030.8909891052281</v>
      </c>
      <c r="Q174" s="519">
        <f t="shared" si="135"/>
        <v>12818.812807035578</v>
      </c>
      <c r="R174" s="521">
        <f t="shared" si="136"/>
        <v>795.74382651942346</v>
      </c>
      <c r="S174" s="518">
        <f t="shared" si="137"/>
        <v>168.10228643963038</v>
      </c>
      <c r="T174" s="519">
        <f t="shared" si="138"/>
        <v>5030.8909891052281</v>
      </c>
      <c r="U174" s="519">
        <f t="shared" si="139"/>
        <v>18813.54990909986</v>
      </c>
    </row>
    <row r="175" spans="1:21">
      <c r="A175">
        <f>'Input data'!A128</f>
        <v>2028</v>
      </c>
      <c r="C175" s="314">
        <f>'4A SWD Case 3'!BG98</f>
        <v>587.52530919694709</v>
      </c>
      <c r="D175" s="3">
        <f>'4B Biological treatment '!T228</f>
        <v>3.6516764387838281</v>
      </c>
      <c r="E175" s="178">
        <f>'4B Biological treatment '!U228</f>
        <v>18.25838219391914</v>
      </c>
      <c r="F175" s="178">
        <f>'4B Biological treatment '!W228</f>
        <v>1.0955029316351483</v>
      </c>
      <c r="G175" s="952">
        <f>'4C2 Open-burning '!R167</f>
        <v>16.311739327952854</v>
      </c>
      <c r="H175" s="952">
        <f>'4C2 Open-burning '!Z167</f>
        <v>5.48840089387914</v>
      </c>
      <c r="I175" s="952">
        <f>'4C2 Open-burning '!AH167</f>
        <v>7.6407803833313151E-2</v>
      </c>
      <c r="J175" s="987">
        <f>'4D Wastewater treatment and dis'!AV204</f>
        <v>198.15621215016739</v>
      </c>
      <c r="K175" s="770">
        <f>'4D Wastewater treatment and dis'!AW204</f>
        <v>3.2610614797895683</v>
      </c>
      <c r="L175" s="771">
        <f t="shared" si="140"/>
        <v>12338.031493135888</v>
      </c>
      <c r="M175" s="772">
        <f t="shared" si="131"/>
        <v>76.685205214460396</v>
      </c>
      <c r="N175" s="771">
        <f t="shared" si="132"/>
        <v>723.03193487919793</v>
      </c>
      <c r="O175" s="773">
        <f t="shared" si="133"/>
        <v>155.25457728774188</v>
      </c>
      <c r="P175" s="771">
        <f t="shared" si="134"/>
        <v>5172.2095138882814</v>
      </c>
      <c r="Q175" s="519">
        <f t="shared" si="135"/>
        <v>12338.031493135888</v>
      </c>
      <c r="R175" s="521">
        <f t="shared" si="136"/>
        <v>799.71714009365837</v>
      </c>
      <c r="S175" s="518">
        <f t="shared" si="137"/>
        <v>155.25457728774188</v>
      </c>
      <c r="T175" s="519">
        <f t="shared" si="138"/>
        <v>5172.2095138882814</v>
      </c>
      <c r="U175" s="519">
        <f t="shared" si="139"/>
        <v>18465.21272440557</v>
      </c>
    </row>
    <row r="176" spans="1:21">
      <c r="A176">
        <f>'Input data'!A129</f>
        <v>2029</v>
      </c>
      <c r="C176" s="314">
        <f>'4A SWD Case 3'!BG99</f>
        <v>565.38787970633109</v>
      </c>
      <c r="D176" s="3">
        <f>'4B Biological treatment '!T229</f>
        <v>3.6690396872173756</v>
      </c>
      <c r="E176" s="178">
        <f>'4B Biological treatment '!U229</f>
        <v>18.345198436086875</v>
      </c>
      <c r="F176" s="178">
        <f>'4B Biological treatment '!W229</f>
        <v>1.1007119061652126</v>
      </c>
      <c r="G176" s="952">
        <f>'4C2 Open-burning '!R168</f>
        <v>14.93472003386634</v>
      </c>
      <c r="H176" s="952">
        <f>'4C2 Open-burning '!Z168</f>
        <v>5.0250760593777697</v>
      </c>
      <c r="I176" s="952">
        <f>'4C2 Open-burning '!AH168</f>
        <v>6.9957540131701218E-2</v>
      </c>
      <c r="J176" s="987">
        <f>'4D Wastewater treatment and dis'!AV205</f>
        <v>204.52095870933701</v>
      </c>
      <c r="K176" s="770">
        <f>'4D Wastewater treatment and dis'!AW205</f>
        <v>3.2931713520456056</v>
      </c>
      <c r="L176" s="771">
        <f t="shared" si="140"/>
        <v>11873.145473832952</v>
      </c>
      <c r="M176" s="772">
        <f t="shared" si="131"/>
        <v>77.049833431564892</v>
      </c>
      <c r="N176" s="771">
        <f t="shared" si="132"/>
        <v>726.46985806904036</v>
      </c>
      <c r="O176" s="773">
        <f t="shared" si="133"/>
        <v>142.1481547216269</v>
      </c>
      <c r="P176" s="771">
        <f t="shared" si="134"/>
        <v>5315.8232520302154</v>
      </c>
      <c r="Q176" s="519">
        <f t="shared" si="135"/>
        <v>11873.145473832952</v>
      </c>
      <c r="R176" s="521">
        <f t="shared" si="136"/>
        <v>803.51969150060529</v>
      </c>
      <c r="S176" s="518">
        <f t="shared" si="137"/>
        <v>142.1481547216269</v>
      </c>
      <c r="T176" s="519">
        <f t="shared" si="138"/>
        <v>5315.8232520302154</v>
      </c>
      <c r="U176" s="519">
        <f t="shared" si="139"/>
        <v>18134.636572085401</v>
      </c>
    </row>
    <row r="177" spans="1:21">
      <c r="A177">
        <f>'Input data'!A130</f>
        <v>2030</v>
      </c>
      <c r="C177" s="314">
        <f>'4A SWD Case 3'!BG100</f>
        <v>543.94221140451737</v>
      </c>
      <c r="D177" s="3">
        <f>'4B Biological treatment '!T230</f>
        <v>3.6869256885042381</v>
      </c>
      <c r="E177" s="178">
        <f>'4B Biological treatment '!U230</f>
        <v>18.434628442521188</v>
      </c>
      <c r="F177" s="178">
        <f>'4B Biological treatment '!W230</f>
        <v>1.1060777065512712</v>
      </c>
      <c r="G177" s="952">
        <f>'4C2 Open-burning '!R169</f>
        <v>13.529520713203713</v>
      </c>
      <c r="H177" s="952">
        <f>'4C2 Open-burning '!Z169</f>
        <v>4.5522695086755505</v>
      </c>
      <c r="I177" s="952">
        <f>'4C2 Open-burning '!AH169</f>
        <v>6.3375274937216314E-2</v>
      </c>
      <c r="J177" s="987">
        <f>'4D Wastewater treatment and dis'!AV206</f>
        <v>210.99183381275145</v>
      </c>
      <c r="K177" s="770">
        <f>'4D Wastewater treatment and dis'!AW206</f>
        <v>3.3255973924888065</v>
      </c>
      <c r="L177" s="771">
        <f t="shared" si="140"/>
        <v>11422.786439494865</v>
      </c>
      <c r="M177" s="772">
        <f t="shared" si="131"/>
        <v>77.425439458588997</v>
      </c>
      <c r="N177" s="771">
        <f t="shared" si="132"/>
        <v>730.01128632383904</v>
      </c>
      <c r="O177" s="773">
        <f t="shared" si="133"/>
        <v>128.77351562592733</v>
      </c>
      <c r="P177" s="771">
        <f t="shared" si="134"/>
        <v>5461.7637017393099</v>
      </c>
      <c r="Q177" s="519">
        <f t="shared" si="135"/>
        <v>11422.786439494865</v>
      </c>
      <c r="R177" s="521">
        <f t="shared" si="136"/>
        <v>807.43672578242808</v>
      </c>
      <c r="S177" s="518">
        <f t="shared" si="137"/>
        <v>128.77351562592733</v>
      </c>
      <c r="T177" s="519">
        <f t="shared" si="138"/>
        <v>5461.7637017393099</v>
      </c>
      <c r="U177" s="519">
        <f t="shared" si="139"/>
        <v>17820.760382642533</v>
      </c>
    </row>
    <row r="178" spans="1:21">
      <c r="A178">
        <f>'Input data'!A131</f>
        <v>2031</v>
      </c>
      <c r="C178" s="314">
        <f>'4A SWD Case 3'!BG101</f>
        <v>523.12578383704806</v>
      </c>
      <c r="D178" s="3">
        <f>'4B Biological treatment '!T231</f>
        <v>3.7079163822697963</v>
      </c>
      <c r="E178" s="178">
        <f>'4B Biological treatment '!U231</f>
        <v>18.539581911348979</v>
      </c>
      <c r="F178" s="178">
        <f>'4B Biological treatment '!W231</f>
        <v>1.1123749146809387</v>
      </c>
      <c r="G178" s="952">
        <f>'4C2 Open-burning '!R170</f>
        <v>11.932120220532866</v>
      </c>
      <c r="H178" s="952">
        <f>'4C2 Open-burning '!Z170</f>
        <v>4.014793147903057</v>
      </c>
      <c r="I178" s="952">
        <f>'4C2 Open-burning '!AH170</f>
        <v>5.5892696836052552E-2</v>
      </c>
      <c r="J178" s="987">
        <f>'4D Wastewater treatment and dis'!AV207</f>
        <v>212.79249544373798</v>
      </c>
      <c r="K178" s="770">
        <f>'4D Wastewater treatment and dis'!AW207</f>
        <v>3.3539789441183268</v>
      </c>
      <c r="L178" s="771">
        <f t="shared" si="140"/>
        <v>10985.64146057801</v>
      </c>
      <c r="M178" s="772">
        <f t="shared" si="131"/>
        <v>77.866244027665715</v>
      </c>
      <c r="N178" s="771">
        <f t="shared" si="132"/>
        <v>734.16744368941954</v>
      </c>
      <c r="O178" s="773">
        <f t="shared" si="133"/>
        <v>113.56951234567336</v>
      </c>
      <c r="P178" s="771">
        <f t="shared" si="134"/>
        <v>5508.3758769951792</v>
      </c>
      <c r="Q178" s="519">
        <f t="shared" si="135"/>
        <v>10985.64146057801</v>
      </c>
      <c r="R178" s="521">
        <f t="shared" si="136"/>
        <v>812.03368771708529</v>
      </c>
      <c r="S178" s="518">
        <f t="shared" si="137"/>
        <v>113.56951234567336</v>
      </c>
      <c r="T178" s="519">
        <f t="shared" si="138"/>
        <v>5508.3758769951792</v>
      </c>
      <c r="U178" s="519">
        <f t="shared" si="139"/>
        <v>17419.620537635947</v>
      </c>
    </row>
    <row r="179" spans="1:21">
      <c r="A179">
        <f>'Input data'!A132</f>
        <v>2032</v>
      </c>
      <c r="C179" s="314">
        <f>'4A SWD Case 3'!BG102</f>
        <v>502.75299423644202</v>
      </c>
      <c r="D179" s="3">
        <f>'4B Biological treatment '!T232</f>
        <v>3.7304840509343733</v>
      </c>
      <c r="E179" s="178">
        <f>'4B Biological treatment '!U232</f>
        <v>18.652420254671863</v>
      </c>
      <c r="F179" s="178">
        <f>'4B Biological treatment '!W232</f>
        <v>1.1191452152803119</v>
      </c>
      <c r="G179" s="952">
        <f>'4C2 Open-burning '!R171</f>
        <v>10.344645425665796</v>
      </c>
      <c r="H179" s="952">
        <f>'4C2 Open-burning '!Z171</f>
        <v>3.4806564805625984</v>
      </c>
      <c r="I179" s="952">
        <f>'4C2 Open-burning '!AH171</f>
        <v>4.8456612904238333E-2</v>
      </c>
      <c r="J179" s="987">
        <f>'4D Wastewater treatment and dis'!AV208</f>
        <v>214.60852441027842</v>
      </c>
      <c r="K179" s="770">
        <f>'4D Wastewater treatment and dis'!AW208</f>
        <v>3.3826027116200144</v>
      </c>
      <c r="L179" s="771">
        <f t="shared" si="140"/>
        <v>10557.812878965282</v>
      </c>
      <c r="M179" s="772">
        <f t="shared" si="131"/>
        <v>78.340165069621833</v>
      </c>
      <c r="N179" s="771">
        <f t="shared" si="132"/>
        <v>738.63584208500583</v>
      </c>
      <c r="O179" s="773">
        <f t="shared" si="133"/>
        <v>98.459981517794233</v>
      </c>
      <c r="P179" s="771">
        <f t="shared" si="134"/>
        <v>5555.3858532180511</v>
      </c>
      <c r="Q179" s="519">
        <f t="shared" si="135"/>
        <v>10557.812878965282</v>
      </c>
      <c r="R179" s="521">
        <f t="shared" si="136"/>
        <v>816.97600715462772</v>
      </c>
      <c r="S179" s="518">
        <f t="shared" si="137"/>
        <v>98.459981517794233</v>
      </c>
      <c r="T179" s="519">
        <f t="shared" si="138"/>
        <v>5555.3858532180511</v>
      </c>
      <c r="U179" s="519">
        <f t="shared" si="139"/>
        <v>17028.634720855756</v>
      </c>
    </row>
    <row r="180" spans="1:21">
      <c r="A180">
        <f>'Input data'!A133</f>
        <v>2033</v>
      </c>
      <c r="C180" s="314">
        <f>'4A SWD Case 3'!BG103</f>
        <v>482.79990441960274</v>
      </c>
      <c r="D180" s="3">
        <f>'4B Biological treatment '!T233</f>
        <v>3.7538146640743446</v>
      </c>
      <c r="E180" s="178">
        <f>'4B Biological treatment '!U233</f>
        <v>18.769073320371721</v>
      </c>
      <c r="F180" s="178">
        <f>'4B Biological treatment '!W233</f>
        <v>1.1261443992223032</v>
      </c>
      <c r="G180" s="952">
        <f>'4C2 Open-burning '!R172</f>
        <v>10.313981067569168</v>
      </c>
      <c r="H180" s="952">
        <f>'4C2 Open-burning '!Z172</f>
        <v>3.4703388628638314</v>
      </c>
      <c r="I180" s="952">
        <f>'4C2 Open-burning '!AH172</f>
        <v>4.8312974251669485E-2</v>
      </c>
      <c r="J180" s="987">
        <f>'4D Wastewater treatment and dis'!AV209</f>
        <v>216.44005186138909</v>
      </c>
      <c r="K180" s="770">
        <f>'4D Wastewater treatment and dis'!AW209</f>
        <v>3.4114707621299263</v>
      </c>
      <c r="L180" s="771">
        <f t="shared" si="140"/>
        <v>10138.797992811658</v>
      </c>
      <c r="M180" s="772">
        <f t="shared" si="131"/>
        <v>78.830107945561238</v>
      </c>
      <c r="N180" s="771">
        <f t="shared" si="132"/>
        <v>743.25530348672009</v>
      </c>
      <c r="O180" s="773">
        <f t="shared" si="133"/>
        <v>98.168119205727166</v>
      </c>
      <c r="P180" s="771">
        <f t="shared" si="134"/>
        <v>5602.7970253494477</v>
      </c>
      <c r="Q180" s="519">
        <f t="shared" si="135"/>
        <v>10138.797992811658</v>
      </c>
      <c r="R180" s="521">
        <f t="shared" si="136"/>
        <v>822.08541143228138</v>
      </c>
      <c r="S180" s="518">
        <f t="shared" si="137"/>
        <v>98.168119205727166</v>
      </c>
      <c r="T180" s="519">
        <f t="shared" si="138"/>
        <v>5602.7970253494477</v>
      </c>
      <c r="U180" s="519">
        <f t="shared" si="139"/>
        <v>16661.848548799113</v>
      </c>
    </row>
    <row r="181" spans="1:21">
      <c r="A181">
        <f>'Input data'!A134</f>
        <v>2034</v>
      </c>
      <c r="C181" s="314">
        <f>'4A SWD Case 3'!BG104</f>
        <v>463.8315281686439</v>
      </c>
      <c r="D181" s="3">
        <f>'4B Biological treatment '!T234</f>
        <v>3.7590556231507763</v>
      </c>
      <c r="E181" s="178">
        <f>'4B Biological treatment '!U234</f>
        <v>18.795278115753881</v>
      </c>
      <c r="F181" s="178">
        <f>'4B Biological treatment '!W234</f>
        <v>1.1277166869452329</v>
      </c>
      <c r="G181" s="952">
        <f>'4C2 Open-burning '!R173</f>
        <v>10.283755160967955</v>
      </c>
      <c r="H181" s="952">
        <f>'4C2 Open-burning '!Z173</f>
        <v>3.4601687706699158</v>
      </c>
      <c r="I181" s="952">
        <f>'4C2 Open-burning '!AH173</f>
        <v>4.8171389403123509E-2</v>
      </c>
      <c r="J181" s="987">
        <f>'4D Wastewater treatment and dis'!AV210</f>
        <v>218.28721006534801</v>
      </c>
      <c r="K181" s="770">
        <f>'4D Wastewater treatment and dis'!AW210</f>
        <v>3.4405851804256198</v>
      </c>
      <c r="L181" s="771">
        <f t="shared" si="140"/>
        <v>9740.4620915415217</v>
      </c>
      <c r="M181" s="772">
        <f t="shared" si="131"/>
        <v>78.94016808616631</v>
      </c>
      <c r="N181" s="771">
        <f t="shared" si="132"/>
        <v>744.29301338385369</v>
      </c>
      <c r="O181" s="773">
        <f t="shared" si="133"/>
        <v>97.880430060004471</v>
      </c>
      <c r="P181" s="771">
        <f t="shared" si="134"/>
        <v>5650.6128173042498</v>
      </c>
      <c r="Q181" s="519">
        <f t="shared" si="135"/>
        <v>9740.4620915415217</v>
      </c>
      <c r="R181" s="521">
        <f t="shared" si="136"/>
        <v>823.23318147001999</v>
      </c>
      <c r="S181" s="518">
        <f t="shared" si="137"/>
        <v>97.880430060004471</v>
      </c>
      <c r="T181" s="519">
        <f t="shared" si="138"/>
        <v>5650.6128173042498</v>
      </c>
      <c r="U181" s="519">
        <f t="shared" si="139"/>
        <v>16312.188520375796</v>
      </c>
    </row>
    <row r="182" spans="1:21">
      <c r="A182">
        <f>'Input data'!A135</f>
        <v>2035</v>
      </c>
      <c r="C182" s="314">
        <f>'4A SWD Case 3'!BG105</f>
        <v>445.79985657228082</v>
      </c>
      <c r="D182" s="3">
        <f>'4B Biological treatment '!T235</f>
        <v>2.8758309862458322</v>
      </c>
      <c r="E182" s="178">
        <f>'4B Biological treatment '!U235</f>
        <v>14.379154931229159</v>
      </c>
      <c r="F182" s="178">
        <f>'4B Biological treatment '!W235</f>
        <v>0.86274929587374949</v>
      </c>
      <c r="G182" s="952">
        <f>'4C2 Open-burning '!R174</f>
        <v>10.253959437125518</v>
      </c>
      <c r="H182" s="952">
        <f>'4C2 Open-burning '!Z174</f>
        <v>3.450143421804122</v>
      </c>
      <c r="I182" s="952">
        <f>'4C2 Open-burning '!AH174</f>
        <v>4.8031819626004571E-2</v>
      </c>
      <c r="J182" s="987">
        <f>'4D Wastewater treatment and dis'!AV211</f>
        <v>220.15013241924632</v>
      </c>
      <c r="K182" s="770">
        <f>'4D Wastewater treatment and dis'!AW211</f>
        <v>3.4699480690767106</v>
      </c>
      <c r="L182" s="771">
        <f t="shared" si="140"/>
        <v>9361.7969880178971</v>
      </c>
      <c r="M182" s="772">
        <f t="shared" si="131"/>
        <v>60.392450711162475</v>
      </c>
      <c r="N182" s="771">
        <f t="shared" si="132"/>
        <v>569.41453527667477</v>
      </c>
      <c r="O182" s="773">
        <f t="shared" si="133"/>
        <v>97.596835379073497</v>
      </c>
      <c r="P182" s="771">
        <f t="shared" si="134"/>
        <v>5698.8366822179532</v>
      </c>
      <c r="Q182" s="519">
        <f t="shared" si="135"/>
        <v>9361.7969880178971</v>
      </c>
      <c r="R182" s="521">
        <f t="shared" si="136"/>
        <v>629.80698598783727</v>
      </c>
      <c r="S182" s="518">
        <f t="shared" si="137"/>
        <v>97.596835379073497</v>
      </c>
      <c r="T182" s="519">
        <f t="shared" si="138"/>
        <v>5698.8366822179532</v>
      </c>
      <c r="U182" s="519">
        <f t="shared" si="139"/>
        <v>15788.037491602761</v>
      </c>
    </row>
    <row r="183" spans="1:21">
      <c r="A183">
        <f>'Input data'!A136</f>
        <v>2036</v>
      </c>
      <c r="C183" s="314">
        <f>'4A SWD Case 3'!BG106</f>
        <v>425.16321087893499</v>
      </c>
      <c r="D183" s="3">
        <f>'4B Biological treatment '!T236</f>
        <v>2.8758309862458322</v>
      </c>
      <c r="E183" s="178">
        <f>'4B Biological treatment '!U236</f>
        <v>14.379154931229159</v>
      </c>
      <c r="F183" s="178">
        <f>'4B Biological treatment '!W236</f>
        <v>0.86274929587374949</v>
      </c>
      <c r="G183" s="952">
        <f>'4C2 Open-burning '!R175</f>
        <v>10.228720631598184</v>
      </c>
      <c r="H183" s="952">
        <f>'4C2 Open-burning '!Z175</f>
        <v>3.4416513364396093</v>
      </c>
      <c r="I183" s="952">
        <f>'4C2 Open-burning '!AH175</f>
        <v>4.7913595464684461E-2</v>
      </c>
      <c r="J183" s="987">
        <f>'4D Wastewater treatment and dis'!AV212</f>
        <v>221.76188597912451</v>
      </c>
      <c r="K183" s="770">
        <f>'4D Wastewater treatment and dis'!AW212</f>
        <v>3.4953521017314642</v>
      </c>
      <c r="L183" s="771">
        <f t="shared" si="140"/>
        <v>8928.427428457635</v>
      </c>
      <c r="M183" s="772">
        <f t="shared" si="131"/>
        <v>60.392450711162475</v>
      </c>
      <c r="N183" s="771">
        <f t="shared" si="132"/>
        <v>569.41453527667477</v>
      </c>
      <c r="O183" s="773">
        <f t="shared" si="133"/>
        <v>97.356613290882166</v>
      </c>
      <c r="P183" s="771">
        <f t="shared" si="134"/>
        <v>5740.5587570983689</v>
      </c>
      <c r="Q183" s="519">
        <f t="shared" si="135"/>
        <v>8928.427428457635</v>
      </c>
      <c r="R183" s="521">
        <f t="shared" si="136"/>
        <v>629.80698598783727</v>
      </c>
      <c r="S183" s="518">
        <f t="shared" si="137"/>
        <v>97.356613290882166</v>
      </c>
      <c r="T183" s="519">
        <f t="shared" si="138"/>
        <v>5740.5587570983689</v>
      </c>
      <c r="U183" s="519">
        <f t="shared" si="139"/>
        <v>15396.149784834724</v>
      </c>
    </row>
    <row r="184" spans="1:21">
      <c r="A184">
        <f>'Input data'!A137</f>
        <v>2037</v>
      </c>
      <c r="C184" s="314">
        <f>'4A SWD Case 3'!BG107</f>
        <v>405.54272671366186</v>
      </c>
      <c r="D184" s="3">
        <f>'4B Biological treatment '!T237</f>
        <v>2.8758309862458322</v>
      </c>
      <c r="E184" s="178">
        <f>'4B Biological treatment '!U237</f>
        <v>14.379154931229159</v>
      </c>
      <c r="F184" s="178">
        <f>'4B Biological treatment '!W237</f>
        <v>0.86274929587374949</v>
      </c>
      <c r="G184" s="952">
        <f>'4C2 Open-burning '!R176</f>
        <v>10.203787853753196</v>
      </c>
      <c r="H184" s="952">
        <f>'4C2 Open-burning '!Z176</f>
        <v>3.4332622200210539</v>
      </c>
      <c r="I184" s="952">
        <f>'4C2 Open-burning '!AH176</f>
        <v>4.7796804804884317E-2</v>
      </c>
      <c r="J184" s="987">
        <f>'4D Wastewater treatment and dis'!AV213</f>
        <v>223.38543943895829</v>
      </c>
      <c r="K184" s="770">
        <f>'4D Wastewater treatment and dis'!AW213</f>
        <v>3.5209421212835057</v>
      </c>
      <c r="L184" s="771">
        <f t="shared" si="140"/>
        <v>8516.3972609868997</v>
      </c>
      <c r="M184" s="772">
        <f t="shared" si="131"/>
        <v>60.392450711162475</v>
      </c>
      <c r="N184" s="771">
        <f t="shared" si="132"/>
        <v>569.41453527667477</v>
      </c>
      <c r="O184" s="773">
        <f t="shared" si="133"/>
        <v>97.11930396370947</v>
      </c>
      <c r="P184" s="771">
        <f t="shared" si="134"/>
        <v>5782.5862858160108</v>
      </c>
      <c r="Q184" s="519">
        <f t="shared" si="135"/>
        <v>8516.3972609868997</v>
      </c>
      <c r="R184" s="521">
        <f t="shared" si="136"/>
        <v>629.80698598783727</v>
      </c>
      <c r="S184" s="518">
        <f t="shared" si="137"/>
        <v>97.11930396370947</v>
      </c>
      <c r="T184" s="519">
        <f t="shared" si="138"/>
        <v>5782.5862858160108</v>
      </c>
      <c r="U184" s="519">
        <f t="shared" si="139"/>
        <v>15025.909836754458</v>
      </c>
    </row>
    <row r="185" spans="1:21">
      <c r="A185">
        <f>'Input data'!A138</f>
        <v>2038</v>
      </c>
      <c r="C185" s="314">
        <f>'4A SWD Case 3'!BG108</f>
        <v>386.88887645574005</v>
      </c>
      <c r="D185" s="3">
        <f>'4B Biological treatment '!T238</f>
        <v>2.8758309862458322</v>
      </c>
      <c r="E185" s="178">
        <f>'4B Biological treatment '!U238</f>
        <v>14.379154931229159</v>
      </c>
      <c r="F185" s="178">
        <f>'4B Biological treatment '!W238</f>
        <v>0.86274929587374949</v>
      </c>
      <c r="G185" s="952">
        <f>'4C2 Open-burning '!R177</f>
        <v>10.179156222495859</v>
      </c>
      <c r="H185" s="952">
        <f>'4C2 Open-burning '!Z177</f>
        <v>3.4249744302095286</v>
      </c>
      <c r="I185" s="952">
        <f>'4C2 Open-burning '!AH177</f>
        <v>4.7681424782474335E-2</v>
      </c>
      <c r="J185" s="987">
        <f>'4D Wastewater treatment and dis'!AV214</f>
        <v>225.02087918766139</v>
      </c>
      <c r="K185" s="770">
        <f>'4D Wastewater treatment and dis'!AW214</f>
        <v>3.5467194893720086</v>
      </c>
      <c r="L185" s="771">
        <f t="shared" si="140"/>
        <v>8124.6664055705405</v>
      </c>
      <c r="M185" s="772">
        <f t="shared" si="131"/>
        <v>60.392450711162475</v>
      </c>
      <c r="N185" s="771">
        <f t="shared" si="132"/>
        <v>569.41453527667477</v>
      </c>
      <c r="O185" s="773">
        <f t="shared" si="133"/>
        <v>96.88486093946301</v>
      </c>
      <c r="P185" s="771">
        <f t="shared" si="134"/>
        <v>5824.9215046462123</v>
      </c>
      <c r="Q185" s="519">
        <f t="shared" si="135"/>
        <v>8124.6664055705405</v>
      </c>
      <c r="R185" s="521">
        <f t="shared" si="136"/>
        <v>629.80698598783727</v>
      </c>
      <c r="S185" s="518">
        <f t="shared" si="137"/>
        <v>96.88486093946301</v>
      </c>
      <c r="T185" s="519">
        <f t="shared" si="138"/>
        <v>5824.9215046462123</v>
      </c>
      <c r="U185" s="519">
        <f t="shared" si="139"/>
        <v>14676.279757144053</v>
      </c>
    </row>
    <row r="186" spans="1:21">
      <c r="A186">
        <f>'Input data'!A139</f>
        <v>2039</v>
      </c>
      <c r="C186" s="314">
        <f>'4A SWD Case 3'!BG109</f>
        <v>369.1545452605219</v>
      </c>
      <c r="D186" s="3">
        <f>'4B Biological treatment '!T239</f>
        <v>2.8758309862458322</v>
      </c>
      <c r="E186" s="178">
        <f>'4B Biological treatment '!U239</f>
        <v>14.379154931229159</v>
      </c>
      <c r="F186" s="178">
        <f>'4B Biological treatment '!W239</f>
        <v>0.86274929587374949</v>
      </c>
      <c r="G186" s="952">
        <f>'4C2 Open-burning '!R178</f>
        <v>10.154820958102038</v>
      </c>
      <c r="H186" s="952">
        <f>'4C2 Open-burning '!Z178</f>
        <v>3.4167863587741936</v>
      </c>
      <c r="I186" s="952">
        <f>'4C2 Open-burning '!AH178</f>
        <v>4.7567433008166821E-2</v>
      </c>
      <c r="J186" s="987">
        <f>'4D Wastewater treatment and dis'!AV215</f>
        <v>226.66829224661399</v>
      </c>
      <c r="K186" s="770">
        <f>'4D Wastewater treatment and dis'!AW215</f>
        <v>3.5726855776049167</v>
      </c>
      <c r="L186" s="771">
        <f t="shared" si="140"/>
        <v>7752.2454504709603</v>
      </c>
      <c r="M186" s="772">
        <f t="shared" si="131"/>
        <v>60.392450711162475</v>
      </c>
      <c r="N186" s="771">
        <f t="shared" si="132"/>
        <v>569.41453527667477</v>
      </c>
      <c r="O186" s="773">
        <f t="shared" si="133"/>
        <v>96.653238724891821</v>
      </c>
      <c r="P186" s="771">
        <f t="shared" si="134"/>
        <v>5867.5666662364183</v>
      </c>
      <c r="Q186" s="519">
        <f t="shared" si="135"/>
        <v>7752.2454504709603</v>
      </c>
      <c r="R186" s="521">
        <f t="shared" si="136"/>
        <v>629.80698598783727</v>
      </c>
      <c r="S186" s="518">
        <f t="shared" si="137"/>
        <v>96.653238724891821</v>
      </c>
      <c r="T186" s="519">
        <f t="shared" si="138"/>
        <v>5867.5666662364183</v>
      </c>
      <c r="U186" s="519">
        <f t="shared" si="139"/>
        <v>14346.272341420108</v>
      </c>
    </row>
    <row r="187" spans="1:21">
      <c r="A187">
        <f>'Input data'!A140</f>
        <v>2040</v>
      </c>
      <c r="C187" s="314">
        <f>'4A SWD Case 3'!BG110</f>
        <v>352.9176062776292</v>
      </c>
      <c r="D187" s="3">
        <f>'4B Biological treatment '!T240</f>
        <v>2.8758309862458322</v>
      </c>
      <c r="E187" s="178">
        <f>'4B Biological treatment '!U240</f>
        <v>14.379154931229159</v>
      </c>
      <c r="F187" s="178">
        <f>'4B Biological treatment '!W240</f>
        <v>0.86274929587374949</v>
      </c>
      <c r="G187" s="952">
        <f>'4C2 Open-burning '!R179</f>
        <v>10.130777379596603</v>
      </c>
      <c r="H187" s="952">
        <f>'4C2 Open-burning '!Z179</f>
        <v>3.4086964307102301</v>
      </c>
      <c r="I187" s="952">
        <f>'4C2 Open-burning '!AH179</f>
        <v>4.7454807555236386E-2</v>
      </c>
      <c r="J187" s="987">
        <f>'4D Wastewater treatment and dis'!AV216</f>
        <v>228.32776627429359</v>
      </c>
      <c r="K187" s="770">
        <f>'4D Wastewater treatment and dis'!AW216</f>
        <v>3.5988417676319293</v>
      </c>
      <c r="L187" s="771">
        <f t="shared" si="140"/>
        <v>7411.2697318302135</v>
      </c>
      <c r="M187" s="772">
        <f t="shared" si="131"/>
        <v>60.392450711162475</v>
      </c>
      <c r="N187" s="771">
        <f t="shared" si="132"/>
        <v>569.41453527667477</v>
      </c>
      <c r="O187" s="773">
        <f t="shared" si="133"/>
        <v>96.424392766634725</v>
      </c>
      <c r="P187" s="771">
        <f t="shared" si="134"/>
        <v>5910.5240397260632</v>
      </c>
      <c r="Q187" s="519">
        <f t="shared" si="135"/>
        <v>7411.2697318302135</v>
      </c>
      <c r="R187" s="521">
        <f t="shared" si="136"/>
        <v>629.80698598783727</v>
      </c>
      <c r="S187" s="518">
        <f t="shared" si="137"/>
        <v>96.424392766634725</v>
      </c>
      <c r="T187" s="519">
        <f t="shared" si="138"/>
        <v>5910.5240397260632</v>
      </c>
      <c r="U187" s="519">
        <f t="shared" si="139"/>
        <v>14048.025150310748</v>
      </c>
    </row>
    <row r="188" spans="1:21">
      <c r="A188">
        <f>'Input data'!A141</f>
        <v>2041</v>
      </c>
      <c r="C188" s="314">
        <f>'4A SWD Case 3'!BG111</f>
        <v>340.35567831451084</v>
      </c>
      <c r="D188" s="3">
        <f>'4B Biological treatment '!T241</f>
        <v>2.8758309862458322</v>
      </c>
      <c r="E188" s="178">
        <f>'4B Biological treatment '!U241</f>
        <v>14.379154931229159</v>
      </c>
      <c r="F188" s="178">
        <f>'4B Biological treatment '!W241</f>
        <v>0.86274929587374949</v>
      </c>
      <c r="G188" s="952">
        <f>'4C2 Open-burning '!R180</f>
        <v>10.110594115867604</v>
      </c>
      <c r="H188" s="952">
        <f>'4C2 Open-burning '!Z180</f>
        <v>3.4019053803835608</v>
      </c>
      <c r="I188" s="952">
        <f>'4C2 Open-burning '!AH180</f>
        <v>4.7360264672670904E-2</v>
      </c>
      <c r="J188" s="987">
        <f>'4D Wastewater treatment and dis'!AV217</f>
        <v>229.74589393780369</v>
      </c>
      <c r="K188" s="770">
        <f>'4D Wastewater treatment and dis'!AW217</f>
        <v>3.6211939201999317</v>
      </c>
      <c r="L188" s="771">
        <f t="shared" si="140"/>
        <v>7147.4692446047275</v>
      </c>
      <c r="M188" s="772">
        <f t="shared" si="131"/>
        <v>60.392450711162475</v>
      </c>
      <c r="N188" s="771">
        <f t="shared" si="132"/>
        <v>569.41453527667477</v>
      </c>
      <c r="O188" s="773">
        <f t="shared" si="133"/>
        <v>96.232289152450349</v>
      </c>
      <c r="P188" s="771">
        <f t="shared" si="134"/>
        <v>5947.2338879558556</v>
      </c>
      <c r="Q188" s="519">
        <f t="shared" si="135"/>
        <v>7147.4692446047275</v>
      </c>
      <c r="R188" s="521">
        <f t="shared" si="136"/>
        <v>629.80698598783727</v>
      </c>
      <c r="S188" s="518">
        <f t="shared" si="137"/>
        <v>96.232289152450349</v>
      </c>
      <c r="T188" s="519">
        <f t="shared" si="138"/>
        <v>5947.2338879558556</v>
      </c>
      <c r="U188" s="519">
        <f t="shared" si="139"/>
        <v>13820.742407700869</v>
      </c>
    </row>
    <row r="189" spans="1:21">
      <c r="A189">
        <f>'Input data'!A142</f>
        <v>2042</v>
      </c>
      <c r="C189" s="314">
        <f>'4A SWD Case 3'!BG112</f>
        <v>328.41448662995958</v>
      </c>
      <c r="D189" s="3">
        <f>'4B Biological treatment '!T242</f>
        <v>2.8758309862458322</v>
      </c>
      <c r="E189" s="178">
        <f>'4B Biological treatment '!U242</f>
        <v>14.379154931229159</v>
      </c>
      <c r="F189" s="178">
        <f>'4B Biological treatment '!W242</f>
        <v>0.86274929587374949</v>
      </c>
      <c r="G189" s="952">
        <f>'4C2 Open-burning '!R181</f>
        <v>10.090614955764785</v>
      </c>
      <c r="H189" s="952">
        <f>'4C2 Open-burning '!Z181</f>
        <v>3.3951830046783922</v>
      </c>
      <c r="I189" s="952">
        <f>'4C2 Open-burning '!AH181</f>
        <v>4.7266677856746583E-2</v>
      </c>
      <c r="J189" s="987">
        <f>'4D Wastewater treatment and dis'!AV218</f>
        <v>231.17282949228024</v>
      </c>
      <c r="K189" s="770">
        <f>'4D Wastewater treatment and dis'!AW218</f>
        <v>3.6436849004121257</v>
      </c>
      <c r="L189" s="771">
        <f t="shared" si="140"/>
        <v>6896.704219229151</v>
      </c>
      <c r="M189" s="772">
        <f t="shared" si="131"/>
        <v>60.392450711162475</v>
      </c>
      <c r="N189" s="771">
        <f t="shared" si="132"/>
        <v>569.41453527667477</v>
      </c>
      <c r="O189" s="773">
        <f t="shared" si="133"/>
        <v>96.042128189602451</v>
      </c>
      <c r="P189" s="771">
        <f t="shared" si="134"/>
        <v>5984.171738465644</v>
      </c>
      <c r="Q189" s="519">
        <f t="shared" si="135"/>
        <v>6896.704219229151</v>
      </c>
      <c r="R189" s="521">
        <f t="shared" si="136"/>
        <v>629.80698598783727</v>
      </c>
      <c r="S189" s="518">
        <f t="shared" si="137"/>
        <v>96.042128189602451</v>
      </c>
      <c r="T189" s="519">
        <f t="shared" si="138"/>
        <v>5984.171738465644</v>
      </c>
      <c r="U189" s="519">
        <f t="shared" si="139"/>
        <v>13606.725071872235</v>
      </c>
    </row>
    <row r="190" spans="1:21">
      <c r="A190">
        <f>'Input data'!A143</f>
        <v>2043</v>
      </c>
      <c r="C190" s="314">
        <f>'4A SWD Case 3'!BG113</f>
        <v>317.06379292578623</v>
      </c>
      <c r="D190" s="3">
        <f>'4B Biological treatment '!T243</f>
        <v>2.8758309862458322</v>
      </c>
      <c r="E190" s="178">
        <f>'4B Biological treatment '!U243</f>
        <v>14.379154931229159</v>
      </c>
      <c r="F190" s="178">
        <f>'4B Biological treatment '!W243</f>
        <v>0.86274929587374949</v>
      </c>
      <c r="G190" s="952">
        <f>'4C2 Open-burning '!R182</f>
        <v>10.070837196069071</v>
      </c>
      <c r="H190" s="952">
        <f>'4C2 Open-burning '!Z182</f>
        <v>3.3885283940442661</v>
      </c>
      <c r="I190" s="952">
        <f>'4C2 Open-burning '!AH182</f>
        <v>4.7174034444985899E-2</v>
      </c>
      <c r="J190" s="987">
        <f>'4D Wastewater treatment and dis'!AV219</f>
        <v>232.6086276429136</v>
      </c>
      <c r="K190" s="770">
        <f>'4D Wastewater treatment and dis'!AW219</f>
        <v>3.666315570517225</v>
      </c>
      <c r="L190" s="771">
        <f t="shared" si="140"/>
        <v>6658.3396514415108</v>
      </c>
      <c r="M190" s="772">
        <f t="shared" si="131"/>
        <v>60.392450711162475</v>
      </c>
      <c r="N190" s="771">
        <f t="shared" si="132"/>
        <v>569.41453527667477</v>
      </c>
      <c r="O190" s="773">
        <f t="shared" si="133"/>
        <v>95.853884148944275</v>
      </c>
      <c r="P190" s="771">
        <f t="shared" si="134"/>
        <v>6021.3390073615255</v>
      </c>
      <c r="Q190" s="519">
        <f t="shared" si="135"/>
        <v>6658.3396514415108</v>
      </c>
      <c r="R190" s="521">
        <f t="shared" si="136"/>
        <v>629.80698598783727</v>
      </c>
      <c r="S190" s="518">
        <f t="shared" si="137"/>
        <v>95.853884148944275</v>
      </c>
      <c r="T190" s="519">
        <f t="shared" si="138"/>
        <v>6021.3390073615255</v>
      </c>
      <c r="U190" s="519">
        <f t="shared" si="139"/>
        <v>13405.339528939818</v>
      </c>
    </row>
    <row r="191" spans="1:21">
      <c r="A191">
        <f>'Input data'!A144</f>
        <v>2044</v>
      </c>
      <c r="C191" s="314">
        <f>'4A SWD Case 3'!BG114</f>
        <v>306.27483099501768</v>
      </c>
      <c r="D191" s="3">
        <f>'4B Biological treatment '!T244</f>
        <v>2.8758309862458322</v>
      </c>
      <c r="E191" s="178">
        <f>'4B Biological treatment '!U244</f>
        <v>14.379154931229159</v>
      </c>
      <c r="F191" s="178">
        <f>'4B Biological treatment '!W244</f>
        <v>0.86274929587374949</v>
      </c>
      <c r="G191" s="952">
        <f>'4C2 Open-burning '!R183</f>
        <v>10.05125818014367</v>
      </c>
      <c r="H191" s="952">
        <f>'4C2 Open-burning '!Z183</f>
        <v>3.3819406546042359</v>
      </c>
      <c r="I191" s="952">
        <f>'4C2 Open-burning '!AH183</f>
        <v>4.7082321993113047E-2</v>
      </c>
      <c r="J191" s="987">
        <f>'4D Wastewater treatment and dis'!AV220</f>
        <v>234.0533434346637</v>
      </c>
      <c r="K191" s="770">
        <f>'4D Wastewater treatment and dis'!AW220</f>
        <v>3.6890867981193103</v>
      </c>
      <c r="L191" s="771">
        <f t="shared" si="140"/>
        <v>6431.7714508953713</v>
      </c>
      <c r="M191" s="772">
        <f t="shared" si="131"/>
        <v>60.392450711162475</v>
      </c>
      <c r="N191" s="771">
        <f t="shared" si="132"/>
        <v>569.41453527667477</v>
      </c>
      <c r="O191" s="773">
        <f t="shared" si="133"/>
        <v>95.667531744697669</v>
      </c>
      <c r="P191" s="771">
        <f t="shared" si="134"/>
        <v>6058.7371195449232</v>
      </c>
      <c r="Q191" s="519">
        <f t="shared" si="135"/>
        <v>6431.7714508953713</v>
      </c>
      <c r="R191" s="521">
        <f t="shared" si="136"/>
        <v>629.80698598783727</v>
      </c>
      <c r="S191" s="518">
        <f t="shared" si="137"/>
        <v>95.667531744697669</v>
      </c>
      <c r="T191" s="519">
        <f t="shared" si="138"/>
        <v>6058.7371195449232</v>
      </c>
      <c r="U191" s="519">
        <f t="shared" si="139"/>
        <v>13215.98308817283</v>
      </c>
    </row>
    <row r="192" spans="1:21">
      <c r="A192">
        <f>'Input data'!A145</f>
        <v>2045</v>
      </c>
      <c r="C192" s="314">
        <f>'4A SWD Case 3'!BG115</f>
        <v>296.0202351188891</v>
      </c>
      <c r="D192" s="3">
        <f>'4B Biological treatment '!T245</f>
        <v>2.8758309862458322</v>
      </c>
      <c r="E192" s="178">
        <f>'4B Biological treatment '!U245</f>
        <v>14.379154931229159</v>
      </c>
      <c r="F192" s="178">
        <f>'4B Biological treatment '!W245</f>
        <v>0.86274929587374949</v>
      </c>
      <c r="G192" s="952">
        <f>'4C2 Open-burning '!R184</f>
        <v>10.031875296933659</v>
      </c>
      <c r="H192" s="952">
        <f>'4C2 Open-burning '!Z184</f>
        <v>3.3754189078182595</v>
      </c>
      <c r="I192" s="952">
        <f>'4C2 Open-burning '!AH184</f>
        <v>4.6991528270367816E-2</v>
      </c>
      <c r="J192" s="987">
        <f>'4D Wastewater treatment and dis'!AV221</f>
        <v>235.50703225437104</v>
      </c>
      <c r="K192" s="770">
        <f>'4D Wastewater treatment and dis'!AW221</f>
        <v>3.711999456211089</v>
      </c>
      <c r="L192" s="771">
        <f t="shared" si="140"/>
        <v>6216.4249374966712</v>
      </c>
      <c r="M192" s="772">
        <f t="shared" si="131"/>
        <v>60.392450711162475</v>
      </c>
      <c r="N192" s="771">
        <f t="shared" si="132"/>
        <v>569.41453527667477</v>
      </c>
      <c r="O192" s="773">
        <f t="shared" si="133"/>
        <v>95.483046124931136</v>
      </c>
      <c r="P192" s="771">
        <f t="shared" si="134"/>
        <v>6096.3675087672291</v>
      </c>
      <c r="Q192" s="519">
        <f t="shared" si="135"/>
        <v>6216.4249374966712</v>
      </c>
      <c r="R192" s="521">
        <f t="shared" si="136"/>
        <v>629.80698598783727</v>
      </c>
      <c r="S192" s="518">
        <f t="shared" si="137"/>
        <v>95.483046124931136</v>
      </c>
      <c r="T192" s="519">
        <f t="shared" si="138"/>
        <v>6096.3675087672291</v>
      </c>
      <c r="U192" s="519">
        <f t="shared" si="139"/>
        <v>13038.082478376669</v>
      </c>
    </row>
    <row r="193" spans="1:21">
      <c r="A193">
        <f>'Input data'!A146</f>
        <v>2046</v>
      </c>
      <c r="C193" s="314">
        <f>'4A SWD Case 3'!BG116</f>
        <v>286.27397194443449</v>
      </c>
      <c r="D193" s="3">
        <f>'4B Biological treatment '!T246</f>
        <v>2.8758309862458322</v>
      </c>
      <c r="E193" s="178">
        <f>'4B Biological treatment '!U246</f>
        <v>14.379154931229159</v>
      </c>
      <c r="F193" s="178">
        <f>'4B Biological treatment '!W246</f>
        <v>0.86274929587374949</v>
      </c>
      <c r="G193" s="952">
        <f>'4C2 Open-burning '!R185</f>
        <v>10.016080649685344</v>
      </c>
      <c r="H193" s="952">
        <f>'4C2 Open-burning '!Z185</f>
        <v>3.3701044925782111</v>
      </c>
      <c r="I193" s="952">
        <f>'4C2 Open-burning '!AH185</f>
        <v>4.6917542640490965E-2</v>
      </c>
      <c r="J193" s="987">
        <f>'4D Wastewater treatment and dis'!AV222</f>
        <v>236.70925796835201</v>
      </c>
      <c r="K193" s="770">
        <f>'4D Wastewater treatment and dis'!AW222</f>
        <v>3.7309486194433799</v>
      </c>
      <c r="L193" s="771">
        <f t="shared" si="140"/>
        <v>6011.7534108331247</v>
      </c>
      <c r="M193" s="772">
        <f t="shared" si="131"/>
        <v>60.392450711162475</v>
      </c>
      <c r="N193" s="771">
        <f t="shared" si="132"/>
        <v>569.41453527667477</v>
      </c>
      <c r="O193" s="773">
        <f t="shared" si="133"/>
        <v>95.332713212379986</v>
      </c>
      <c r="P193" s="771">
        <f t="shared" si="134"/>
        <v>6127.4884893628396</v>
      </c>
      <c r="Q193" s="519">
        <f t="shared" si="135"/>
        <v>6011.7534108331247</v>
      </c>
      <c r="R193" s="521">
        <f t="shared" si="136"/>
        <v>629.80698598783727</v>
      </c>
      <c r="S193" s="518">
        <f t="shared" si="137"/>
        <v>95.332713212379986</v>
      </c>
      <c r="T193" s="519">
        <f t="shared" si="138"/>
        <v>6127.4884893628396</v>
      </c>
      <c r="U193" s="519">
        <f t="shared" si="139"/>
        <v>12864.38159939618</v>
      </c>
    </row>
    <row r="194" spans="1:21">
      <c r="A194">
        <f>'Input data'!A147</f>
        <v>2047</v>
      </c>
      <c r="C194" s="314">
        <f>'4A SWD Case 3'!BG117</f>
        <v>277.00954801437149</v>
      </c>
      <c r="D194" s="3">
        <f>'4B Biological treatment '!T247</f>
        <v>2.8758309862458322</v>
      </c>
      <c r="E194" s="178">
        <f>'4B Biological treatment '!U247</f>
        <v>14.379154931229159</v>
      </c>
      <c r="F194" s="178">
        <f>'4B Biological treatment '!W247</f>
        <v>0.86274929587374949</v>
      </c>
      <c r="G194" s="952">
        <f>'4C2 Open-burning '!R186</f>
        <v>10.000415502259907</v>
      </c>
      <c r="H194" s="952">
        <f>'4C2 Open-burning '!Z186</f>
        <v>3.3648336500638756</v>
      </c>
      <c r="I194" s="952">
        <f>'4C2 Open-burning '!AH186</f>
        <v>4.6844163616498617E-2</v>
      </c>
      <c r="J194" s="987">
        <f>'4D Wastewater treatment and dis'!AV223</f>
        <v>237.91762085222362</v>
      </c>
      <c r="K194" s="770">
        <f>'4D Wastewater treatment and dis'!AW223</f>
        <v>3.74999451512174</v>
      </c>
      <c r="L194" s="771">
        <f t="shared" si="140"/>
        <v>5817.2005083018012</v>
      </c>
      <c r="M194" s="772">
        <f t="shared" si="131"/>
        <v>60.392450711162475</v>
      </c>
      <c r="N194" s="771">
        <f t="shared" si="132"/>
        <v>569.41453527667477</v>
      </c>
      <c r="O194" s="773">
        <f t="shared" si="133"/>
        <v>95.183612874715863</v>
      </c>
      <c r="P194" s="771">
        <f t="shared" si="134"/>
        <v>6158.7683375844354</v>
      </c>
      <c r="Q194" s="519">
        <f t="shared" si="135"/>
        <v>5817.2005083018012</v>
      </c>
      <c r="R194" s="521">
        <f t="shared" si="136"/>
        <v>629.80698598783727</v>
      </c>
      <c r="S194" s="518">
        <f t="shared" si="137"/>
        <v>95.183612874715863</v>
      </c>
      <c r="T194" s="519">
        <f t="shared" si="138"/>
        <v>6158.7683375844354</v>
      </c>
      <c r="U194" s="519">
        <f t="shared" si="139"/>
        <v>12700.959444748789</v>
      </c>
    </row>
    <row r="195" spans="1:21">
      <c r="A195">
        <f>'Input data'!A148</f>
        <v>2048</v>
      </c>
      <c r="C195" s="314">
        <f>'4A SWD Case 3'!BG118</f>
        <v>268.20350112259644</v>
      </c>
      <c r="D195" s="3">
        <f>'4B Biological treatment '!T248</f>
        <v>2.8758309862458322</v>
      </c>
      <c r="E195" s="178">
        <f>'4B Biological treatment '!U248</f>
        <v>14.379154931229159</v>
      </c>
      <c r="F195" s="178">
        <f>'4B Biological treatment '!W248</f>
        <v>0.86274929587374949</v>
      </c>
      <c r="G195" s="952">
        <f>'4C2 Open-burning '!R187</f>
        <v>9.984878469104487</v>
      </c>
      <c r="H195" s="952">
        <f>'4C2 Open-burning '!Z187</f>
        <v>3.3596059140791361</v>
      </c>
      <c r="I195" s="952">
        <f>'4C2 Open-burning '!AH187</f>
        <v>4.6771384708153965E-2</v>
      </c>
      <c r="J195" s="987">
        <f>'4D Wastewater treatment and dis'!AV224</f>
        <v>239.13215223525594</v>
      </c>
      <c r="K195" s="770">
        <f>'4D Wastewater treatment and dis'!AW224</f>
        <v>3.769137637049826</v>
      </c>
      <c r="L195" s="771">
        <f t="shared" si="140"/>
        <v>5632.2735235745249</v>
      </c>
      <c r="M195" s="772">
        <f t="shared" si="131"/>
        <v>60.392450711162475</v>
      </c>
      <c r="N195" s="771">
        <f t="shared" si="132"/>
        <v>569.41453527667477</v>
      </c>
      <c r="O195" s="773">
        <f t="shared" si="133"/>
        <v>95.035731924294083</v>
      </c>
      <c r="P195" s="771">
        <f t="shared" si="134"/>
        <v>6190.2078644258199</v>
      </c>
      <c r="Q195" s="519">
        <f t="shared" si="135"/>
        <v>5632.2735235745249</v>
      </c>
      <c r="R195" s="521">
        <f t="shared" si="136"/>
        <v>629.80698598783727</v>
      </c>
      <c r="S195" s="518">
        <f t="shared" si="137"/>
        <v>95.035731924294083</v>
      </c>
      <c r="T195" s="519">
        <f t="shared" si="138"/>
        <v>6190.2078644258199</v>
      </c>
      <c r="U195" s="519">
        <f t="shared" si="139"/>
        <v>12547.324105912476</v>
      </c>
    </row>
    <row r="196" spans="1:21">
      <c r="A196">
        <f>'Input data'!A149</f>
        <v>2049</v>
      </c>
      <c r="C196" s="314">
        <f>'4A SWD Case 3'!BG119</f>
        <v>259.83351077817503</v>
      </c>
      <c r="D196" s="3">
        <f>'4B Biological treatment '!T249</f>
        <v>2.8758309862458322</v>
      </c>
      <c r="E196" s="178">
        <f>'4B Biological treatment '!U249</f>
        <v>14.379154931229159</v>
      </c>
      <c r="F196" s="178">
        <f>'4B Biological treatment '!W249</f>
        <v>0.86274929587374949</v>
      </c>
      <c r="G196" s="952">
        <f>'4C2 Open-burning '!R188</f>
        <v>9.9694681839421868</v>
      </c>
      <c r="H196" s="952">
        <f>'4C2 Open-burning '!Z188</f>
        <v>3.3544208249136438</v>
      </c>
      <c r="I196" s="952">
        <f>'4C2 Open-burning '!AH188</f>
        <v>4.669919951551306E-2</v>
      </c>
      <c r="J196" s="987">
        <f>'4D Wastewater treatment and dis'!AV225</f>
        <v>240.35288360665007</v>
      </c>
      <c r="K196" s="770">
        <f>'4D Wastewater treatment and dis'!AW225</f>
        <v>3.7883784815520856</v>
      </c>
      <c r="L196" s="771">
        <f t="shared" si="140"/>
        <v>5456.5037263416752</v>
      </c>
      <c r="M196" s="772">
        <f t="shared" si="131"/>
        <v>60.392450711162475</v>
      </c>
      <c r="N196" s="771">
        <f t="shared" si="132"/>
        <v>569.41453527667477</v>
      </c>
      <c r="O196" s="773">
        <f t="shared" si="133"/>
        <v>94.889057356937755</v>
      </c>
      <c r="P196" s="771">
        <f t="shared" si="134"/>
        <v>6221.8078850207985</v>
      </c>
      <c r="Q196" s="519">
        <f t="shared" si="135"/>
        <v>5456.5037263416752</v>
      </c>
      <c r="R196" s="521">
        <f t="shared" si="136"/>
        <v>629.80698598783727</v>
      </c>
      <c r="S196" s="518">
        <f t="shared" si="137"/>
        <v>94.889057356937755</v>
      </c>
      <c r="T196" s="519">
        <f t="shared" si="138"/>
        <v>6221.8078850207985</v>
      </c>
      <c r="U196" s="519">
        <f t="shared" si="139"/>
        <v>12403.007654707249</v>
      </c>
    </row>
    <row r="197" spans="1:21">
      <c r="A197">
        <f>'Input data'!A150</f>
        <v>2050</v>
      </c>
      <c r="C197" s="314">
        <f>'4A SWD Case 3'!BG120</f>
        <v>251.87834269260674</v>
      </c>
      <c r="D197" s="3">
        <f>'4B Biological treatment '!T250</f>
        <v>2.8758309862458322</v>
      </c>
      <c r="E197" s="178">
        <f>'4B Biological treatment '!U250</f>
        <v>14.379154931229159</v>
      </c>
      <c r="F197" s="178">
        <f>'4B Biological treatment '!W250</f>
        <v>0.86274929587374949</v>
      </c>
      <c r="G197" s="952">
        <f>'4C2 Open-burning '!R189</f>
        <v>9.9541832994375596</v>
      </c>
      <c r="H197" s="952">
        <f>'4C2 Open-burning '!Z189</f>
        <v>3.3492779292302708</v>
      </c>
      <c r="I197" s="952">
        <f>'4C2 Open-burning '!AH189</f>
        <v>4.6627601727357935E-2</v>
      </c>
      <c r="J197" s="987">
        <f>'4D Wastewater treatment and dis'!AV226</f>
        <v>241.57984661635467</v>
      </c>
      <c r="K197" s="770">
        <f>'4D Wastewater treatment and dis'!AW226</f>
        <v>3.8077175474866229</v>
      </c>
      <c r="L197" s="771">
        <f t="shared" si="140"/>
        <v>5289.4451965447415</v>
      </c>
      <c r="M197" s="772">
        <f t="shared" si="131"/>
        <v>60.392450711162475</v>
      </c>
      <c r="N197" s="771">
        <f t="shared" si="132"/>
        <v>569.41453527667477</v>
      </c>
      <c r="O197" s="773">
        <f t="shared" si="133"/>
        <v>94.743576348754203</v>
      </c>
      <c r="P197" s="771">
        <f t="shared" si="134"/>
        <v>6253.5692186643009</v>
      </c>
      <c r="Q197" s="471">
        <f t="shared" si="135"/>
        <v>5289.4451965447415</v>
      </c>
      <c r="R197" s="517">
        <f t="shared" si="136"/>
        <v>629.80698598783727</v>
      </c>
      <c r="S197" s="514">
        <f t="shared" si="137"/>
        <v>94.743576348754203</v>
      </c>
      <c r="T197" s="471">
        <f t="shared" si="138"/>
        <v>6253.5692186643009</v>
      </c>
      <c r="U197" s="471">
        <f t="shared" si="139"/>
        <v>12267.564977545633</v>
      </c>
    </row>
    <row r="198" spans="1:21">
      <c r="A198" s="413" t="s">
        <v>655</v>
      </c>
      <c r="D198" s="3">
        <f>'4B Biological treatment '!T251</f>
        <v>0</v>
      </c>
      <c r="E198" s="178">
        <f>'4B Biological treatment '!U251</f>
        <v>0</v>
      </c>
      <c r="F198" s="178">
        <f>'4B Biological treatment '!W251</f>
        <v>0</v>
      </c>
      <c r="G198" s="952"/>
      <c r="H198" s="952"/>
      <c r="I198" s="952"/>
      <c r="J198" s="987"/>
      <c r="K198" s="770"/>
      <c r="L198" s="771"/>
      <c r="M198" s="772"/>
      <c r="N198" s="771"/>
      <c r="O198" s="773"/>
      <c r="P198" s="771"/>
      <c r="Q198" s="471">
        <f t="shared" ref="Q198:Q231" si="141">L198</f>
        <v>0</v>
      </c>
      <c r="R198" s="517">
        <f t="shared" ref="R198:R231" si="142">M198+N198</f>
        <v>0</v>
      </c>
      <c r="S198" s="514">
        <f t="shared" ref="S198:S231" si="143">O198</f>
        <v>0</v>
      </c>
      <c r="T198" s="471">
        <f t="shared" ref="T198:T231" si="144">P198</f>
        <v>0</v>
      </c>
      <c r="U198" s="471">
        <f t="shared" ref="U198:U231" si="145">SUM(Q198:T198)</f>
        <v>0</v>
      </c>
    </row>
    <row r="199" spans="1:21">
      <c r="A199">
        <f>'Input data'!A118</f>
        <v>2018</v>
      </c>
      <c r="C199" s="314">
        <f>'4A SWD Case 3'!BN88</f>
        <v>821.57255218782393</v>
      </c>
      <c r="D199" s="3">
        <f>'4B Biological treatment '!T252</f>
        <v>0.67355338026918088</v>
      </c>
      <c r="E199" s="178">
        <f>'4B Biological treatment '!U252</f>
        <v>18.637625699324865</v>
      </c>
      <c r="F199" s="178">
        <f>'4B Biological treatment '!W252</f>
        <v>1.1182575419594918</v>
      </c>
      <c r="G199" s="952">
        <f>'4C2 Open-burning '!R157</f>
        <v>32.917048058163878</v>
      </c>
      <c r="H199" s="952">
        <f>'4C2 Open-burning '!Z157</f>
        <v>11.075578903881524</v>
      </c>
      <c r="I199" s="952">
        <f>'4C2 Open-burning '!AH157</f>
        <v>0.15419075184029302</v>
      </c>
      <c r="J199" s="987">
        <f>'4D Wastewater treatment and dis'!AV194</f>
        <v>137.16052165703309</v>
      </c>
      <c r="K199" s="770">
        <f>'4D Wastewater treatment and dis'!AW194</f>
        <v>2.8960026873618072</v>
      </c>
      <c r="L199" s="771">
        <f>C199*$B$3</f>
        <v>17253.023595944302</v>
      </c>
      <c r="M199" s="772">
        <f t="shared" ref="M199:M231" si="146">D199*$B$3</f>
        <v>14.144620985652798</v>
      </c>
      <c r="N199" s="771">
        <f t="shared" ref="N199:N231" si="147">E199*$B$3+F199*$C$3</f>
        <v>738.04997769326451</v>
      </c>
      <c r="O199" s="773">
        <f t="shared" ref="O199:O231" si="148">G199+H199*$B$3+I199*$C$3</f>
        <v>313.30333811016669</v>
      </c>
      <c r="P199" s="771">
        <f t="shared" ref="P199:P231" si="149">J199*$B$3+K199*$C$3</f>
        <v>3778.1317878798554</v>
      </c>
      <c r="Q199" s="471">
        <f t="shared" si="141"/>
        <v>17253.023595944302</v>
      </c>
      <c r="R199" s="517">
        <f t="shared" si="142"/>
        <v>752.19459867891726</v>
      </c>
      <c r="S199" s="514">
        <f t="shared" si="143"/>
        <v>313.30333811016669</v>
      </c>
      <c r="T199" s="471">
        <f t="shared" si="144"/>
        <v>3778.1317878798554</v>
      </c>
      <c r="U199" s="471">
        <f t="shared" si="145"/>
        <v>22096.653320613241</v>
      </c>
    </row>
    <row r="200" spans="1:21">
      <c r="A200">
        <f>'Input data'!A119</f>
        <v>2019</v>
      </c>
      <c r="C200" s="314">
        <f>'4A SWD Case 3'!BN89</f>
        <v>802.90951961094413</v>
      </c>
      <c r="D200" s="3">
        <f>'4B Biological treatment '!T253</f>
        <v>1.1287636912181842</v>
      </c>
      <c r="E200" s="178">
        <f>'4B Biological treatment '!U253</f>
        <v>17.914347339353967</v>
      </c>
      <c r="F200" s="178">
        <f>'4B Biological treatment '!W253</f>
        <v>1.0748608403612381</v>
      </c>
      <c r="G200" s="952">
        <f>'4C2 Open-burning '!R158</f>
        <v>32.340305277661429</v>
      </c>
      <c r="H200" s="952">
        <f>'4C2 Open-burning '!Z158</f>
        <v>10.881522615437561</v>
      </c>
      <c r="I200" s="952">
        <f>'4C2 Open-burning '!AH158</f>
        <v>0.15148916077456326</v>
      </c>
      <c r="J200" s="987">
        <f>'4D Wastewater treatment and dis'!AV195</f>
        <v>143.32271319274017</v>
      </c>
      <c r="K200" s="770">
        <f>'4D Wastewater treatment and dis'!AW195</f>
        <v>2.9428357992270668</v>
      </c>
      <c r="L200" s="771">
        <f t="shared" ref="L200:L231" si="150">C200*$B$3</f>
        <v>16861.099911829828</v>
      </c>
      <c r="M200" s="772">
        <f t="shared" si="146"/>
        <v>23.704037515581867</v>
      </c>
      <c r="N200" s="771">
        <f t="shared" si="147"/>
        <v>709.40815463841705</v>
      </c>
      <c r="O200" s="773">
        <f t="shared" si="148"/>
        <v>307.81392004196488</v>
      </c>
      <c r="P200" s="771">
        <f t="shared" si="149"/>
        <v>3922.0560748079342</v>
      </c>
      <c r="Q200" s="519">
        <f t="shared" si="141"/>
        <v>16861.099911829828</v>
      </c>
      <c r="R200" s="521">
        <f t="shared" si="142"/>
        <v>733.11219215399888</v>
      </c>
      <c r="S200" s="518">
        <f t="shared" si="143"/>
        <v>307.81392004196488</v>
      </c>
      <c r="T200" s="519">
        <f t="shared" si="144"/>
        <v>3922.0560748079342</v>
      </c>
      <c r="U200" s="519">
        <f t="shared" si="145"/>
        <v>21824.082098833725</v>
      </c>
    </row>
    <row r="201" spans="1:21">
      <c r="A201">
        <f>'Input data'!A120</f>
        <v>2020</v>
      </c>
      <c r="C201" s="314">
        <f>'4A SWD Case 3'!BN90</f>
        <v>784.21643579258023</v>
      </c>
      <c r="D201" s="3">
        <f>'4B Biological treatment '!T254</f>
        <v>1.7008534375090232</v>
      </c>
      <c r="E201" s="178">
        <f>'4B Biological treatment '!U254</f>
        <v>17.594770230748367</v>
      </c>
      <c r="F201" s="178">
        <f>'4B Biological treatment '!W254</f>
        <v>1.0556862138449019</v>
      </c>
      <c r="G201" s="952">
        <f>'4C2 Open-burning '!R159</f>
        <v>31.469339877453482</v>
      </c>
      <c r="H201" s="952">
        <f>'4C2 Open-burning '!Z159</f>
        <v>10.588469423197822</v>
      </c>
      <c r="I201" s="952">
        <f>'4C2 Open-burning '!AH159</f>
        <v>0.14740936571980473</v>
      </c>
      <c r="J201" s="987">
        <f>'4D Wastewater treatment and dis'!AV196</f>
        <v>149.64833972612956</v>
      </c>
      <c r="K201" s="770">
        <f>'4D Wastewater treatment and dis'!AW196</f>
        <v>2.9904262793007734</v>
      </c>
      <c r="L201" s="771">
        <f t="shared" si="150"/>
        <v>16468.545151644186</v>
      </c>
      <c r="M201" s="772">
        <f t="shared" si="146"/>
        <v>35.717922187689489</v>
      </c>
      <c r="N201" s="771">
        <f t="shared" si="147"/>
        <v>696.75290113763526</v>
      </c>
      <c r="O201" s="773">
        <f t="shared" si="148"/>
        <v>299.52410113774715</v>
      </c>
      <c r="P201" s="771">
        <f t="shared" si="149"/>
        <v>4069.6472808319609</v>
      </c>
      <c r="Q201" s="519">
        <f t="shared" si="141"/>
        <v>16468.545151644186</v>
      </c>
      <c r="R201" s="521">
        <f t="shared" si="142"/>
        <v>732.47082332532477</v>
      </c>
      <c r="S201" s="518">
        <f t="shared" si="143"/>
        <v>299.52410113774715</v>
      </c>
      <c r="T201" s="519">
        <f t="shared" si="144"/>
        <v>4069.6472808319609</v>
      </c>
      <c r="U201" s="519">
        <f t="shared" si="145"/>
        <v>21570.187356939219</v>
      </c>
    </row>
    <row r="202" spans="1:21">
      <c r="A202">
        <f>'Input data'!A121</f>
        <v>2021</v>
      </c>
      <c r="C202" s="314">
        <f>'4A SWD Case 3'!BN91</f>
        <v>764.05533221825021</v>
      </c>
      <c r="D202" s="3">
        <f>'4B Biological treatment '!T255</f>
        <v>2.6679045931375649</v>
      </c>
      <c r="E202" s="178">
        <f>'4B Biological treatment '!U255</f>
        <v>18.976575845145483</v>
      </c>
      <c r="F202" s="178">
        <f>'4B Biological treatment '!W255</f>
        <v>1.1385945507087289</v>
      </c>
      <c r="G202" s="952">
        <f>'4C2 Open-burning '!R160</f>
        <v>28.931012243244801</v>
      </c>
      <c r="H202" s="952">
        <f>'4C2 Open-burning '!Z160</f>
        <v>9.7343998861328558</v>
      </c>
      <c r="I202" s="952">
        <f>'4C2 Open-burning '!AH160</f>
        <v>0.13551927625479393</v>
      </c>
      <c r="J202" s="987">
        <f>'4D Wastewater treatment and dis'!AV197</f>
        <v>155.42542691703585</v>
      </c>
      <c r="K202" s="770">
        <f>'4D Wastewater treatment and dis'!AW197</f>
        <v>3.0248585614028385</v>
      </c>
      <c r="L202" s="771">
        <f t="shared" si="150"/>
        <v>16045.161976583255</v>
      </c>
      <c r="M202" s="772">
        <f t="shared" si="146"/>
        <v>56.025996455888865</v>
      </c>
      <c r="N202" s="771">
        <f t="shared" si="147"/>
        <v>751.47240346776107</v>
      </c>
      <c r="O202" s="773">
        <f t="shared" si="148"/>
        <v>275.36438549102087</v>
      </c>
      <c r="P202" s="771">
        <f t="shared" si="149"/>
        <v>4201.6401192926323</v>
      </c>
      <c r="Q202" s="519">
        <f t="shared" si="141"/>
        <v>16045.161976583255</v>
      </c>
      <c r="R202" s="521">
        <f t="shared" si="142"/>
        <v>807.49839992364991</v>
      </c>
      <c r="S202" s="518">
        <f t="shared" si="143"/>
        <v>275.36438549102087</v>
      </c>
      <c r="T202" s="519">
        <f t="shared" si="144"/>
        <v>4201.6401192926323</v>
      </c>
      <c r="U202" s="519">
        <f t="shared" si="145"/>
        <v>21329.664881290559</v>
      </c>
    </row>
    <row r="203" spans="1:21">
      <c r="A203">
        <f>'Input data'!A122</f>
        <v>2022</v>
      </c>
      <c r="C203" s="314">
        <f>'4A SWD Case 3'!BN92</f>
        <v>738.75842154790462</v>
      </c>
      <c r="D203" s="3">
        <f>'4B Biological treatment '!T256</f>
        <v>3.54919652732482</v>
      </c>
      <c r="E203" s="178">
        <f>'4B Biological treatment '!U256</f>
        <v>17.745982636624099</v>
      </c>
      <c r="F203" s="178">
        <f>'4B Biological treatment '!W256</f>
        <v>1.0647589581974459</v>
      </c>
      <c r="G203" s="952">
        <f>'4C2 Open-burning '!R161</f>
        <v>24.077995052126731</v>
      </c>
      <c r="H203" s="952">
        <f>'4C2 Open-burning '!Z161</f>
        <v>8.1015081782510823</v>
      </c>
      <c r="I203" s="952">
        <f>'4C2 Open-burning '!AH161</f>
        <v>0.11278666766637657</v>
      </c>
      <c r="J203" s="987">
        <f>'4D Wastewater treatment and dis'!AV198</f>
        <v>161.31571105616422</v>
      </c>
      <c r="K203" s="770">
        <f>'4D Wastewater treatment and dis'!AW198</f>
        <v>3.0596873027184164</v>
      </c>
      <c r="L203" s="771">
        <f t="shared" si="150"/>
        <v>15513.926852505996</v>
      </c>
      <c r="M203" s="772">
        <f t="shared" si="146"/>
        <v>74.53312707382122</v>
      </c>
      <c r="N203" s="771">
        <f t="shared" si="147"/>
        <v>702.74091241031431</v>
      </c>
      <c r="O203" s="773">
        <f t="shared" si="148"/>
        <v>229.17353377197622</v>
      </c>
      <c r="P203" s="771">
        <f t="shared" si="149"/>
        <v>4336.1329960221574</v>
      </c>
      <c r="Q203" s="519">
        <f t="shared" si="141"/>
        <v>15513.926852505996</v>
      </c>
      <c r="R203" s="521">
        <f t="shared" si="142"/>
        <v>777.27403948413553</v>
      </c>
      <c r="S203" s="518">
        <f t="shared" si="143"/>
        <v>229.17353377197622</v>
      </c>
      <c r="T203" s="519">
        <f t="shared" si="144"/>
        <v>4336.1329960221574</v>
      </c>
      <c r="U203" s="519">
        <f t="shared" si="145"/>
        <v>20856.507421784263</v>
      </c>
    </row>
    <row r="204" spans="1:21">
      <c r="A204">
        <f>'Input data'!A123</f>
        <v>2023</v>
      </c>
      <c r="C204" s="314">
        <f>'4A SWD Case 3'!BN93</f>
        <v>710.9840484940903</v>
      </c>
      <c r="D204" s="3">
        <f>'4B Biological treatment '!T257</f>
        <v>3.5640011462061119</v>
      </c>
      <c r="E204" s="178">
        <f>'4B Biological treatment '!U257</f>
        <v>17.820005731030555</v>
      </c>
      <c r="F204" s="178">
        <f>'4B Biological treatment '!W257</f>
        <v>1.0692003438618334</v>
      </c>
      <c r="G204" s="952">
        <f>'4C2 Open-burning '!R162</f>
        <v>22.834713354191649</v>
      </c>
      <c r="H204" s="952">
        <f>'4C2 Open-burning '!Z162</f>
        <v>7.6831819504283345</v>
      </c>
      <c r="I204" s="952">
        <f>'4C2 Open-burning '!AH162</f>
        <v>0.10696286051893278</v>
      </c>
      <c r="J204" s="987">
        <f>'4D Wastewater treatment and dis'!AV199</f>
        <v>167.32103297774702</v>
      </c>
      <c r="K204" s="770">
        <f>'4D Wastewater treatment and dis'!AW199</f>
        <v>3.0949170681470224</v>
      </c>
      <c r="L204" s="771">
        <f t="shared" si="150"/>
        <v>14930.665018375896</v>
      </c>
      <c r="M204" s="772">
        <f t="shared" si="146"/>
        <v>74.844024070328345</v>
      </c>
      <c r="N204" s="771">
        <f t="shared" si="147"/>
        <v>705.67222694881002</v>
      </c>
      <c r="O204" s="773">
        <f t="shared" si="148"/>
        <v>217.34002107405581</v>
      </c>
      <c r="P204" s="771">
        <f t="shared" si="149"/>
        <v>4473.1659836582639</v>
      </c>
      <c r="Q204" s="519">
        <f t="shared" si="141"/>
        <v>14930.665018375896</v>
      </c>
      <c r="R204" s="521">
        <f t="shared" si="142"/>
        <v>780.51625101913839</v>
      </c>
      <c r="S204" s="518">
        <f t="shared" si="143"/>
        <v>217.34002107405581</v>
      </c>
      <c r="T204" s="519">
        <f t="shared" si="144"/>
        <v>4473.1659836582639</v>
      </c>
      <c r="U204" s="519">
        <f t="shared" si="145"/>
        <v>20401.687274127355</v>
      </c>
    </row>
    <row r="205" spans="1:21">
      <c r="A205">
        <f>'Input data'!A124</f>
        <v>2024</v>
      </c>
      <c r="C205" s="314">
        <f>'4A SWD Case 3'!BN94</f>
        <v>684.34297788237109</v>
      </c>
      <c r="D205" s="3">
        <f>'4B Biological treatment '!T258</f>
        <v>3.5811741064078007</v>
      </c>
      <c r="E205" s="178">
        <f>'4B Biological treatment '!U258</f>
        <v>17.905870532039003</v>
      </c>
      <c r="F205" s="178">
        <f>'4B Biological treatment '!W258</f>
        <v>1.0743522319223402</v>
      </c>
      <c r="G205" s="952">
        <f>'4C2 Open-burning '!R163</f>
        <v>21.570135720604139</v>
      </c>
      <c r="H205" s="952">
        <f>'4C2 Open-burning '!Z163</f>
        <v>7.2576902922415494</v>
      </c>
      <c r="I205" s="952">
        <f>'4C2 Open-burning '!AH163</f>
        <v>0.10103929848692009</v>
      </c>
      <c r="J205" s="987">
        <f>'4D Wastewater treatment and dis'!AV200</f>
        <v>173.44326090016418</v>
      </c>
      <c r="K205" s="770">
        <f>'4D Wastewater treatment and dis'!AW200</f>
        <v>3.1305524751492158</v>
      </c>
      <c r="L205" s="771">
        <f t="shared" si="150"/>
        <v>14371.202535529792</v>
      </c>
      <c r="M205" s="772">
        <f t="shared" si="146"/>
        <v>75.204656234563814</v>
      </c>
      <c r="N205" s="771">
        <f t="shared" si="147"/>
        <v>709.07247306874456</v>
      </c>
      <c r="O205" s="773">
        <f t="shared" si="148"/>
        <v>205.3038143886219</v>
      </c>
      <c r="P205" s="771">
        <f t="shared" si="149"/>
        <v>4612.7797461997052</v>
      </c>
      <c r="Q205" s="519">
        <f t="shared" si="141"/>
        <v>14371.202535529792</v>
      </c>
      <c r="R205" s="521">
        <f t="shared" si="142"/>
        <v>784.27712930330836</v>
      </c>
      <c r="S205" s="518">
        <f t="shared" si="143"/>
        <v>205.3038143886219</v>
      </c>
      <c r="T205" s="519">
        <f t="shared" si="144"/>
        <v>4612.7797461997052</v>
      </c>
      <c r="U205" s="519">
        <f t="shared" si="145"/>
        <v>19973.563225421429</v>
      </c>
    </row>
    <row r="206" spans="1:21">
      <c r="A206">
        <f>'Input data'!A125</f>
        <v>2025</v>
      </c>
      <c r="C206" s="314">
        <f>'4A SWD Case 3'!BN95</f>
        <v>658.75386921083987</v>
      </c>
      <c r="D206" s="3">
        <f>'4B Biological treatment '!T259</f>
        <v>3.5984620691053397</v>
      </c>
      <c r="E206" s="178">
        <f>'4B Biological treatment '!U259</f>
        <v>17.992310345526697</v>
      </c>
      <c r="F206" s="178">
        <f>'4B Biological treatment '!W259</f>
        <v>1.0795386207316018</v>
      </c>
      <c r="G206" s="952">
        <f>'4C2 Open-burning '!R164</f>
        <v>20.283486456074922</v>
      </c>
      <c r="H206" s="952">
        <f>'4C2 Open-burning '!Z164</f>
        <v>6.8247722059740834</v>
      </c>
      <c r="I206" s="952">
        <f>'4C2 Open-burning '!AH164</f>
        <v>9.5012348041607686E-2</v>
      </c>
      <c r="J206" s="987">
        <f>'4D Wastewater treatment and dis'!AV201</f>
        <v>179.68429081250378</v>
      </c>
      <c r="K206" s="770">
        <f>'4D Wastewater treatment and dis'!AW201</f>
        <v>3.166598194351784</v>
      </c>
      <c r="L206" s="771">
        <f t="shared" si="150"/>
        <v>13833.831253427637</v>
      </c>
      <c r="M206" s="772">
        <f t="shared" si="146"/>
        <v>75.567703451212139</v>
      </c>
      <c r="N206" s="771">
        <f t="shared" si="147"/>
        <v>712.49548968285717</v>
      </c>
      <c r="O206" s="773">
        <f t="shared" si="148"/>
        <v>193.05753067442905</v>
      </c>
      <c r="P206" s="771">
        <f t="shared" si="149"/>
        <v>4755.015547311632</v>
      </c>
      <c r="Q206" s="519">
        <f t="shared" si="141"/>
        <v>13833.831253427637</v>
      </c>
      <c r="R206" s="521">
        <f t="shared" si="142"/>
        <v>788.06319313406925</v>
      </c>
      <c r="S206" s="518">
        <f t="shared" si="143"/>
        <v>193.05753067442905</v>
      </c>
      <c r="T206" s="519">
        <f t="shared" si="144"/>
        <v>4755.015547311632</v>
      </c>
      <c r="U206" s="519">
        <f t="shared" si="145"/>
        <v>19569.967524547767</v>
      </c>
    </row>
    <row r="207" spans="1:21">
      <c r="A207">
        <f>'Input data'!A126</f>
        <v>2026</v>
      </c>
      <c r="C207" s="314">
        <f>'4A SWD Case 3'!BN96</f>
        <v>634.13887528209909</v>
      </c>
      <c r="D207" s="3">
        <f>'4B Biological treatment '!T260</f>
        <v>3.616208319632606</v>
      </c>
      <c r="E207" s="178">
        <f>'4B Biological treatment '!U260</f>
        <v>18.081041598163029</v>
      </c>
      <c r="F207" s="178">
        <f>'4B Biological treatment '!W260</f>
        <v>1.0848624958897817</v>
      </c>
      <c r="G207" s="952">
        <f>'4C2 Open-burning '!R165</f>
        <v>18.985188117273655</v>
      </c>
      <c r="H207" s="952">
        <f>'4C2 Open-burning '!Z165</f>
        <v>6.3879345628548228</v>
      </c>
      <c r="I207" s="952">
        <f>'4C2 Open-burning '!AH165</f>
        <v>8.8930830749442052E-2</v>
      </c>
      <c r="J207" s="987">
        <f>'4D Wastewater treatment and dis'!AV202</f>
        <v>185.73930530907452</v>
      </c>
      <c r="K207" s="770">
        <f>'4D Wastewater treatment and dis'!AW202</f>
        <v>3.1977779387807019</v>
      </c>
      <c r="L207" s="771">
        <f t="shared" si="150"/>
        <v>13316.916380924082</v>
      </c>
      <c r="M207" s="772">
        <f t="shared" si="146"/>
        <v>75.940374712284722</v>
      </c>
      <c r="N207" s="771">
        <f t="shared" si="147"/>
        <v>716.0092472872559</v>
      </c>
      <c r="O207" s="773">
        <f t="shared" si="148"/>
        <v>180.70037146955198</v>
      </c>
      <c r="P207" s="771">
        <f t="shared" si="149"/>
        <v>4891.8365725125823</v>
      </c>
      <c r="Q207" s="519">
        <f t="shared" si="141"/>
        <v>13316.916380924082</v>
      </c>
      <c r="R207" s="521">
        <f t="shared" si="142"/>
        <v>791.94962199954057</v>
      </c>
      <c r="S207" s="518">
        <f t="shared" si="143"/>
        <v>180.70037146955198</v>
      </c>
      <c r="T207" s="519">
        <f t="shared" si="144"/>
        <v>4891.8365725125823</v>
      </c>
      <c r="U207" s="519">
        <f t="shared" si="145"/>
        <v>19181.402946905757</v>
      </c>
    </row>
    <row r="208" spans="1:21">
      <c r="A208">
        <f>'Input data'!A127</f>
        <v>2027</v>
      </c>
      <c r="C208" s="314">
        <f>'4A SWD Case 3'!BN97</f>
        <v>610.4196574778847</v>
      </c>
      <c r="D208" s="3">
        <f>'4B Biological treatment '!T261</f>
        <v>3.6335334544265914</v>
      </c>
      <c r="E208" s="178">
        <f>'4B Biological treatment '!U261</f>
        <v>18.167667272132956</v>
      </c>
      <c r="F208" s="178">
        <f>'4B Biological treatment '!W261</f>
        <v>1.0900600363279773</v>
      </c>
      <c r="G208" s="952">
        <f>'4C2 Open-burning '!R166</f>
        <v>17.661577035208051</v>
      </c>
      <c r="H208" s="952">
        <f>'4C2 Open-burning '!Z166</f>
        <v>5.9425799565861794</v>
      </c>
      <c r="I208" s="952">
        <f>'4C2 Open-burning '!AH166</f>
        <v>8.2730742955201886E-2</v>
      </c>
      <c r="J208" s="987">
        <f>'4D Wastewater treatment and dis'!AV203</f>
        <v>191.89613972825521</v>
      </c>
      <c r="K208" s="770">
        <f>'4D Wastewater treatment and dis'!AW203</f>
        <v>3.2292646929415123</v>
      </c>
      <c r="L208" s="771">
        <f t="shared" si="150"/>
        <v>12818.812807035578</v>
      </c>
      <c r="M208" s="772">
        <f t="shared" si="146"/>
        <v>76.304202542958421</v>
      </c>
      <c r="N208" s="771">
        <f t="shared" si="147"/>
        <v>719.4396239764651</v>
      </c>
      <c r="O208" s="773">
        <f t="shared" si="148"/>
        <v>168.10228643963038</v>
      </c>
      <c r="P208" s="771">
        <f t="shared" si="149"/>
        <v>5030.8909891052281</v>
      </c>
      <c r="Q208" s="519">
        <f t="shared" si="141"/>
        <v>12818.812807035578</v>
      </c>
      <c r="R208" s="521">
        <f t="shared" si="142"/>
        <v>795.74382651942346</v>
      </c>
      <c r="S208" s="518">
        <f t="shared" si="143"/>
        <v>168.10228643963038</v>
      </c>
      <c r="T208" s="519">
        <f t="shared" si="144"/>
        <v>5030.8909891052281</v>
      </c>
      <c r="U208" s="519">
        <f t="shared" si="145"/>
        <v>18813.54990909986</v>
      </c>
    </row>
    <row r="209" spans="1:21">
      <c r="A209">
        <f>'Input data'!A128</f>
        <v>2028</v>
      </c>
      <c r="C209" s="314">
        <f>'4A SWD Case 3'!BN98</f>
        <v>587.52530919694709</v>
      </c>
      <c r="D209" s="3">
        <f>'4B Biological treatment '!T262</f>
        <v>3.6516764387838281</v>
      </c>
      <c r="E209" s="178">
        <f>'4B Biological treatment '!U262</f>
        <v>18.25838219391914</v>
      </c>
      <c r="F209" s="178">
        <f>'4B Biological treatment '!W262</f>
        <v>1.0955029316351483</v>
      </c>
      <c r="G209" s="952">
        <f>'4C2 Open-burning '!R167</f>
        <v>16.311739327952854</v>
      </c>
      <c r="H209" s="952">
        <f>'4C2 Open-burning '!Z167</f>
        <v>5.48840089387914</v>
      </c>
      <c r="I209" s="952">
        <f>'4C2 Open-burning '!AH167</f>
        <v>7.6407803833313151E-2</v>
      </c>
      <c r="J209" s="987">
        <f>'4D Wastewater treatment and dis'!AV204</f>
        <v>198.15621215016739</v>
      </c>
      <c r="K209" s="770">
        <f>'4D Wastewater treatment and dis'!AW204</f>
        <v>3.2610614797895683</v>
      </c>
      <c r="L209" s="771">
        <f t="shared" si="150"/>
        <v>12338.031493135888</v>
      </c>
      <c r="M209" s="772">
        <f t="shared" si="146"/>
        <v>76.685205214460396</v>
      </c>
      <c r="N209" s="771">
        <f t="shared" si="147"/>
        <v>723.03193487919793</v>
      </c>
      <c r="O209" s="773">
        <f t="shared" si="148"/>
        <v>155.25457728774188</v>
      </c>
      <c r="P209" s="771">
        <f t="shared" si="149"/>
        <v>5172.2095138882814</v>
      </c>
      <c r="Q209" s="519">
        <f t="shared" si="141"/>
        <v>12338.031493135888</v>
      </c>
      <c r="R209" s="521">
        <f t="shared" si="142"/>
        <v>799.71714009365837</v>
      </c>
      <c r="S209" s="518">
        <f t="shared" si="143"/>
        <v>155.25457728774188</v>
      </c>
      <c r="T209" s="519">
        <f t="shared" si="144"/>
        <v>5172.2095138882814</v>
      </c>
      <c r="U209" s="519">
        <f t="shared" si="145"/>
        <v>18465.21272440557</v>
      </c>
    </row>
    <row r="210" spans="1:21">
      <c r="A210">
        <f>'Input data'!A129</f>
        <v>2029</v>
      </c>
      <c r="C210" s="314">
        <f>'4A SWD Case 3'!BN99</f>
        <v>565.38787970633109</v>
      </c>
      <c r="D210" s="3">
        <f>'4B Biological treatment '!T263</f>
        <v>3.6690396872173756</v>
      </c>
      <c r="E210" s="178">
        <f>'4B Biological treatment '!U263</f>
        <v>18.345198436086875</v>
      </c>
      <c r="F210" s="178">
        <f>'4B Biological treatment '!W263</f>
        <v>1.1007119061652126</v>
      </c>
      <c r="G210" s="952">
        <f>'4C2 Open-burning '!R168</f>
        <v>14.93472003386634</v>
      </c>
      <c r="H210" s="952">
        <f>'4C2 Open-burning '!Z168</f>
        <v>5.0250760593777697</v>
      </c>
      <c r="I210" s="952">
        <f>'4C2 Open-burning '!AH168</f>
        <v>6.9957540131701218E-2</v>
      </c>
      <c r="J210" s="987">
        <f>'4D Wastewater treatment and dis'!AV205</f>
        <v>204.52095870933701</v>
      </c>
      <c r="K210" s="770">
        <f>'4D Wastewater treatment and dis'!AW205</f>
        <v>3.2931713520456056</v>
      </c>
      <c r="L210" s="771">
        <f t="shared" si="150"/>
        <v>11873.145473832952</v>
      </c>
      <c r="M210" s="772">
        <f t="shared" si="146"/>
        <v>77.049833431564892</v>
      </c>
      <c r="N210" s="771">
        <f t="shared" si="147"/>
        <v>726.46985806904036</v>
      </c>
      <c r="O210" s="773">
        <f t="shared" si="148"/>
        <v>142.1481547216269</v>
      </c>
      <c r="P210" s="771">
        <f t="shared" si="149"/>
        <v>5315.8232520302154</v>
      </c>
      <c r="Q210" s="519">
        <f t="shared" si="141"/>
        <v>11873.145473832952</v>
      </c>
      <c r="R210" s="521">
        <f t="shared" si="142"/>
        <v>803.51969150060529</v>
      </c>
      <c r="S210" s="518">
        <f t="shared" si="143"/>
        <v>142.1481547216269</v>
      </c>
      <c r="T210" s="519">
        <f t="shared" si="144"/>
        <v>5315.8232520302154</v>
      </c>
      <c r="U210" s="519">
        <f t="shared" si="145"/>
        <v>18134.636572085401</v>
      </c>
    </row>
    <row r="211" spans="1:21">
      <c r="A211">
        <f>'Input data'!A130</f>
        <v>2030</v>
      </c>
      <c r="C211" s="314">
        <f>'4A SWD Case 3'!BN100</f>
        <v>543.94221140451737</v>
      </c>
      <c r="D211" s="3">
        <f>'4B Biological treatment '!T264</f>
        <v>3.6869256885042381</v>
      </c>
      <c r="E211" s="178">
        <f>'4B Biological treatment '!U264</f>
        <v>18.434628442521188</v>
      </c>
      <c r="F211" s="178">
        <f>'4B Biological treatment '!W264</f>
        <v>1.1060777065512712</v>
      </c>
      <c r="G211" s="952">
        <f>'4C2 Open-burning '!R169</f>
        <v>13.529520713203713</v>
      </c>
      <c r="H211" s="952">
        <f>'4C2 Open-burning '!Z169</f>
        <v>4.5522695086755505</v>
      </c>
      <c r="I211" s="952">
        <f>'4C2 Open-burning '!AH169</f>
        <v>6.3375274937216314E-2</v>
      </c>
      <c r="J211" s="987">
        <f>'4D Wastewater treatment and dis'!AV206</f>
        <v>210.99183381275145</v>
      </c>
      <c r="K211" s="770">
        <f>'4D Wastewater treatment and dis'!AW206</f>
        <v>3.3255973924888065</v>
      </c>
      <c r="L211" s="771">
        <f t="shared" si="150"/>
        <v>11422.786439494865</v>
      </c>
      <c r="M211" s="772">
        <f t="shared" si="146"/>
        <v>77.425439458588997</v>
      </c>
      <c r="N211" s="771">
        <f t="shared" si="147"/>
        <v>730.01128632383904</v>
      </c>
      <c r="O211" s="773">
        <f t="shared" si="148"/>
        <v>128.77351562592733</v>
      </c>
      <c r="P211" s="771">
        <f t="shared" si="149"/>
        <v>5461.7637017393099</v>
      </c>
      <c r="Q211" s="519">
        <f t="shared" si="141"/>
        <v>11422.786439494865</v>
      </c>
      <c r="R211" s="521">
        <f t="shared" si="142"/>
        <v>807.43672578242808</v>
      </c>
      <c r="S211" s="518">
        <f t="shared" si="143"/>
        <v>128.77351562592733</v>
      </c>
      <c r="T211" s="519">
        <f t="shared" si="144"/>
        <v>5461.7637017393099</v>
      </c>
      <c r="U211" s="519">
        <f t="shared" si="145"/>
        <v>17820.760382642533</v>
      </c>
    </row>
    <row r="212" spans="1:21">
      <c r="A212">
        <f>'Input data'!A131</f>
        <v>2031</v>
      </c>
      <c r="C212" s="314">
        <f>'4A SWD Case 3'!BN101</f>
        <v>523.12578383704806</v>
      </c>
      <c r="D212" s="3">
        <f>'4B Biological treatment '!T265</f>
        <v>3.7079163822697963</v>
      </c>
      <c r="E212" s="178">
        <f>'4B Biological treatment '!U265</f>
        <v>18.539581911348979</v>
      </c>
      <c r="F212" s="178">
        <f>'4B Biological treatment '!W265</f>
        <v>1.1123749146809387</v>
      </c>
      <c r="G212" s="952">
        <f>'4C2 Open-burning '!R170</f>
        <v>11.932120220532866</v>
      </c>
      <c r="H212" s="952">
        <f>'4C2 Open-burning '!Z170</f>
        <v>4.014793147903057</v>
      </c>
      <c r="I212" s="952">
        <f>'4C2 Open-burning '!AH170</f>
        <v>5.5892696836052552E-2</v>
      </c>
      <c r="J212" s="987">
        <f>'4D Wastewater treatment and dis'!AV207</f>
        <v>212.79249544373798</v>
      </c>
      <c r="K212" s="770">
        <f>'4D Wastewater treatment and dis'!AW207</f>
        <v>3.3539789441183268</v>
      </c>
      <c r="L212" s="771">
        <f t="shared" si="150"/>
        <v>10985.64146057801</v>
      </c>
      <c r="M212" s="772">
        <f t="shared" si="146"/>
        <v>77.866244027665715</v>
      </c>
      <c r="N212" s="771">
        <f t="shared" si="147"/>
        <v>734.16744368941954</v>
      </c>
      <c r="O212" s="773">
        <f t="shared" si="148"/>
        <v>113.56951234567336</v>
      </c>
      <c r="P212" s="771">
        <f t="shared" si="149"/>
        <v>5508.3758769951792</v>
      </c>
      <c r="Q212" s="519">
        <f t="shared" si="141"/>
        <v>10985.64146057801</v>
      </c>
      <c r="R212" s="521">
        <f t="shared" si="142"/>
        <v>812.03368771708529</v>
      </c>
      <c r="S212" s="518">
        <f t="shared" si="143"/>
        <v>113.56951234567336</v>
      </c>
      <c r="T212" s="519">
        <f t="shared" si="144"/>
        <v>5508.3758769951792</v>
      </c>
      <c r="U212" s="519">
        <f t="shared" si="145"/>
        <v>17419.620537635947</v>
      </c>
    </row>
    <row r="213" spans="1:21">
      <c r="A213">
        <f>'Input data'!A132</f>
        <v>2032</v>
      </c>
      <c r="C213" s="314">
        <f>'4A SWD Case 3'!BN102</f>
        <v>502.75299423644202</v>
      </c>
      <c r="D213" s="3">
        <f>'4B Biological treatment '!T266</f>
        <v>3.7304840509343733</v>
      </c>
      <c r="E213" s="178">
        <f>'4B Biological treatment '!U266</f>
        <v>18.652420254671863</v>
      </c>
      <c r="F213" s="178">
        <f>'4B Biological treatment '!W266</f>
        <v>1.1191452152803119</v>
      </c>
      <c r="G213" s="952">
        <f>'4C2 Open-burning '!R171</f>
        <v>10.344645425665796</v>
      </c>
      <c r="H213" s="952">
        <f>'4C2 Open-burning '!Z171</f>
        <v>3.4806564805625984</v>
      </c>
      <c r="I213" s="952">
        <f>'4C2 Open-burning '!AH171</f>
        <v>4.8456612904238333E-2</v>
      </c>
      <c r="J213" s="987">
        <f>'4D Wastewater treatment and dis'!AV208</f>
        <v>214.60852441027842</v>
      </c>
      <c r="K213" s="770">
        <f>'4D Wastewater treatment and dis'!AW208</f>
        <v>3.3826027116200144</v>
      </c>
      <c r="L213" s="771">
        <f t="shared" si="150"/>
        <v>10557.812878965282</v>
      </c>
      <c r="M213" s="772">
        <f t="shared" si="146"/>
        <v>78.340165069621833</v>
      </c>
      <c r="N213" s="771">
        <f t="shared" si="147"/>
        <v>738.63584208500583</v>
      </c>
      <c r="O213" s="773">
        <f t="shared" si="148"/>
        <v>98.459981517794233</v>
      </c>
      <c r="P213" s="771">
        <f t="shared" si="149"/>
        <v>5555.3858532180511</v>
      </c>
      <c r="Q213" s="519">
        <f t="shared" si="141"/>
        <v>10557.812878965282</v>
      </c>
      <c r="R213" s="521">
        <f t="shared" si="142"/>
        <v>816.97600715462772</v>
      </c>
      <c r="S213" s="518">
        <f t="shared" si="143"/>
        <v>98.459981517794233</v>
      </c>
      <c r="T213" s="519">
        <f t="shared" si="144"/>
        <v>5555.3858532180511</v>
      </c>
      <c r="U213" s="519">
        <f t="shared" si="145"/>
        <v>17028.634720855756</v>
      </c>
    </row>
    <row r="214" spans="1:21">
      <c r="A214">
        <f>'Input data'!A133</f>
        <v>2033</v>
      </c>
      <c r="C214" s="314">
        <f>'4A SWD Case 3'!BN103</f>
        <v>482.79990441960274</v>
      </c>
      <c r="D214" s="3">
        <f>'4B Biological treatment '!T267</f>
        <v>3.7538146640743446</v>
      </c>
      <c r="E214" s="178">
        <f>'4B Biological treatment '!U267</f>
        <v>18.769073320371721</v>
      </c>
      <c r="F214" s="178">
        <f>'4B Biological treatment '!W267</f>
        <v>1.1261443992223032</v>
      </c>
      <c r="G214" s="952">
        <f>'4C2 Open-burning '!R172</f>
        <v>10.313981067569168</v>
      </c>
      <c r="H214" s="952">
        <f>'4C2 Open-burning '!Z172</f>
        <v>3.4703388628638314</v>
      </c>
      <c r="I214" s="952">
        <f>'4C2 Open-burning '!AH172</f>
        <v>4.8312974251669485E-2</v>
      </c>
      <c r="J214" s="987">
        <f>'4D Wastewater treatment and dis'!AV209</f>
        <v>216.44005186138909</v>
      </c>
      <c r="K214" s="770">
        <f>'4D Wastewater treatment and dis'!AW209</f>
        <v>3.4114707621299263</v>
      </c>
      <c r="L214" s="771">
        <f t="shared" si="150"/>
        <v>10138.797992811658</v>
      </c>
      <c r="M214" s="772">
        <f t="shared" si="146"/>
        <v>78.830107945561238</v>
      </c>
      <c r="N214" s="771">
        <f t="shared" si="147"/>
        <v>743.25530348672009</v>
      </c>
      <c r="O214" s="773">
        <f t="shared" si="148"/>
        <v>98.168119205727166</v>
      </c>
      <c r="P214" s="771">
        <f t="shared" si="149"/>
        <v>5602.7970253494477</v>
      </c>
      <c r="Q214" s="519">
        <f t="shared" si="141"/>
        <v>10138.797992811658</v>
      </c>
      <c r="R214" s="521">
        <f t="shared" si="142"/>
        <v>822.08541143228138</v>
      </c>
      <c r="S214" s="518">
        <f t="shared" si="143"/>
        <v>98.168119205727166</v>
      </c>
      <c r="T214" s="519">
        <f t="shared" si="144"/>
        <v>5602.7970253494477</v>
      </c>
      <c r="U214" s="519">
        <f t="shared" si="145"/>
        <v>16661.848548799113</v>
      </c>
    </row>
    <row r="215" spans="1:21">
      <c r="A215">
        <f>'Input data'!A134</f>
        <v>2034</v>
      </c>
      <c r="C215" s="314">
        <f>'4A SWD Case 3'!BN104</f>
        <v>463.8315281686439</v>
      </c>
      <c r="D215" s="3">
        <f>'4B Biological treatment '!T268</f>
        <v>3.7590556231507763</v>
      </c>
      <c r="E215" s="178">
        <f>'4B Biological treatment '!U268</f>
        <v>18.795278115753881</v>
      </c>
      <c r="F215" s="178">
        <f>'4B Biological treatment '!W268</f>
        <v>1.1277166869452329</v>
      </c>
      <c r="G215" s="952">
        <f>'4C2 Open-burning '!R173</f>
        <v>10.283755160967955</v>
      </c>
      <c r="H215" s="952">
        <f>'4C2 Open-burning '!Z173</f>
        <v>3.4601687706699158</v>
      </c>
      <c r="I215" s="952">
        <f>'4C2 Open-burning '!AH173</f>
        <v>4.8171389403123509E-2</v>
      </c>
      <c r="J215" s="987">
        <f>'4D Wastewater treatment and dis'!AV210</f>
        <v>218.28721006534801</v>
      </c>
      <c r="K215" s="770">
        <f>'4D Wastewater treatment and dis'!AW210</f>
        <v>3.4405851804256198</v>
      </c>
      <c r="L215" s="771">
        <f t="shared" si="150"/>
        <v>9740.4620915415217</v>
      </c>
      <c r="M215" s="772">
        <f t="shared" si="146"/>
        <v>78.94016808616631</v>
      </c>
      <c r="N215" s="771">
        <f t="shared" si="147"/>
        <v>744.29301338385369</v>
      </c>
      <c r="O215" s="773">
        <f t="shared" si="148"/>
        <v>97.880430060004471</v>
      </c>
      <c r="P215" s="771">
        <f t="shared" si="149"/>
        <v>5650.6128173042498</v>
      </c>
      <c r="Q215" s="519">
        <f t="shared" si="141"/>
        <v>9740.4620915415217</v>
      </c>
      <c r="R215" s="521">
        <f t="shared" si="142"/>
        <v>823.23318147001999</v>
      </c>
      <c r="S215" s="518">
        <f t="shared" si="143"/>
        <v>97.880430060004471</v>
      </c>
      <c r="T215" s="519">
        <f t="shared" si="144"/>
        <v>5650.6128173042498</v>
      </c>
      <c r="U215" s="519">
        <f t="shared" si="145"/>
        <v>16312.188520375796</v>
      </c>
    </row>
    <row r="216" spans="1:21">
      <c r="A216">
        <f>'Input data'!A135</f>
        <v>2035</v>
      </c>
      <c r="C216" s="314">
        <f>'4A SWD Case 3'!BN105</f>
        <v>445.79985657228082</v>
      </c>
      <c r="D216" s="3">
        <f>'4B Biological treatment '!T269</f>
        <v>2.8758309862458322</v>
      </c>
      <c r="E216" s="178">
        <f>'4B Biological treatment '!U269</f>
        <v>14.379154931229159</v>
      </c>
      <c r="F216" s="178">
        <f>'4B Biological treatment '!W269</f>
        <v>0.86274929587374949</v>
      </c>
      <c r="G216" s="952">
        <f>'4C2 Open-burning '!R174</f>
        <v>10.253959437125518</v>
      </c>
      <c r="H216" s="952">
        <f>'4C2 Open-burning '!Z174</f>
        <v>3.450143421804122</v>
      </c>
      <c r="I216" s="952">
        <f>'4C2 Open-burning '!AH174</f>
        <v>4.8031819626004571E-2</v>
      </c>
      <c r="J216" s="987">
        <f>'4D Wastewater treatment and dis'!AV211</f>
        <v>220.15013241924632</v>
      </c>
      <c r="K216" s="770">
        <f>'4D Wastewater treatment and dis'!AW211</f>
        <v>3.4699480690767106</v>
      </c>
      <c r="L216" s="771">
        <f t="shared" si="150"/>
        <v>9361.7969880178971</v>
      </c>
      <c r="M216" s="772">
        <f t="shared" si="146"/>
        <v>60.392450711162475</v>
      </c>
      <c r="N216" s="771">
        <f t="shared" si="147"/>
        <v>569.41453527667477</v>
      </c>
      <c r="O216" s="773">
        <f t="shared" si="148"/>
        <v>97.596835379073497</v>
      </c>
      <c r="P216" s="771">
        <f t="shared" si="149"/>
        <v>5698.8366822179532</v>
      </c>
      <c r="Q216" s="519">
        <f t="shared" si="141"/>
        <v>9361.7969880178971</v>
      </c>
      <c r="R216" s="521">
        <f t="shared" si="142"/>
        <v>629.80698598783727</v>
      </c>
      <c r="S216" s="518">
        <f t="shared" si="143"/>
        <v>97.596835379073497</v>
      </c>
      <c r="T216" s="519">
        <f t="shared" si="144"/>
        <v>5698.8366822179532</v>
      </c>
      <c r="U216" s="519">
        <f t="shared" si="145"/>
        <v>15788.037491602761</v>
      </c>
    </row>
    <row r="217" spans="1:21">
      <c r="A217">
        <f>'Input data'!A136</f>
        <v>2036</v>
      </c>
      <c r="C217" s="314">
        <f>'4A SWD Case 3'!BN106</f>
        <v>425.16321087893499</v>
      </c>
      <c r="D217" s="3">
        <f>'4B Biological treatment '!T270</f>
        <v>2.8758309862458322</v>
      </c>
      <c r="E217" s="178">
        <f>'4B Biological treatment '!U270</f>
        <v>14.379154931229159</v>
      </c>
      <c r="F217" s="178">
        <f>'4B Biological treatment '!W270</f>
        <v>0.86274929587374949</v>
      </c>
      <c r="G217" s="952">
        <f>'4C2 Open-burning '!R175</f>
        <v>10.228720631598184</v>
      </c>
      <c r="H217" s="952">
        <f>'4C2 Open-burning '!Z175</f>
        <v>3.4416513364396093</v>
      </c>
      <c r="I217" s="952">
        <f>'4C2 Open-burning '!AH175</f>
        <v>4.7913595464684461E-2</v>
      </c>
      <c r="J217" s="987">
        <f>'4D Wastewater treatment and dis'!AV212</f>
        <v>221.76188597912451</v>
      </c>
      <c r="K217" s="770">
        <f>'4D Wastewater treatment and dis'!AW212</f>
        <v>3.4953521017314642</v>
      </c>
      <c r="L217" s="771">
        <f t="shared" si="150"/>
        <v>8928.427428457635</v>
      </c>
      <c r="M217" s="772">
        <f t="shared" si="146"/>
        <v>60.392450711162475</v>
      </c>
      <c r="N217" s="771">
        <f t="shared" si="147"/>
        <v>569.41453527667477</v>
      </c>
      <c r="O217" s="773">
        <f t="shared" si="148"/>
        <v>97.356613290882166</v>
      </c>
      <c r="P217" s="771">
        <f t="shared" si="149"/>
        <v>5740.5587570983689</v>
      </c>
      <c r="Q217" s="519">
        <f t="shared" si="141"/>
        <v>8928.427428457635</v>
      </c>
      <c r="R217" s="521">
        <f t="shared" si="142"/>
        <v>629.80698598783727</v>
      </c>
      <c r="S217" s="518">
        <f t="shared" si="143"/>
        <v>97.356613290882166</v>
      </c>
      <c r="T217" s="519">
        <f t="shared" si="144"/>
        <v>5740.5587570983689</v>
      </c>
      <c r="U217" s="519">
        <f t="shared" si="145"/>
        <v>15396.149784834724</v>
      </c>
    </row>
    <row r="218" spans="1:21">
      <c r="A218">
        <f>'Input data'!A137</f>
        <v>2037</v>
      </c>
      <c r="C218" s="314">
        <f>'4A SWD Case 3'!BN107</f>
        <v>405.54272671366186</v>
      </c>
      <c r="D218" s="3">
        <f>'4B Biological treatment '!T271</f>
        <v>2.8758309862458322</v>
      </c>
      <c r="E218" s="178">
        <f>'4B Biological treatment '!U271</f>
        <v>14.379154931229159</v>
      </c>
      <c r="F218" s="178">
        <f>'4B Biological treatment '!W271</f>
        <v>0.86274929587374949</v>
      </c>
      <c r="G218" s="952">
        <f>'4C2 Open-burning '!R176</f>
        <v>10.203787853753196</v>
      </c>
      <c r="H218" s="952">
        <f>'4C2 Open-burning '!Z176</f>
        <v>3.4332622200210539</v>
      </c>
      <c r="I218" s="952">
        <f>'4C2 Open-burning '!AH176</f>
        <v>4.7796804804884317E-2</v>
      </c>
      <c r="J218" s="987">
        <f>'4D Wastewater treatment and dis'!AV213</f>
        <v>223.38543943895829</v>
      </c>
      <c r="K218" s="770">
        <f>'4D Wastewater treatment and dis'!AW213</f>
        <v>3.5209421212835057</v>
      </c>
      <c r="L218" s="771">
        <f t="shared" si="150"/>
        <v>8516.3972609868997</v>
      </c>
      <c r="M218" s="772">
        <f t="shared" si="146"/>
        <v>60.392450711162475</v>
      </c>
      <c r="N218" s="771">
        <f t="shared" si="147"/>
        <v>569.41453527667477</v>
      </c>
      <c r="O218" s="773">
        <f t="shared" si="148"/>
        <v>97.11930396370947</v>
      </c>
      <c r="P218" s="771">
        <f t="shared" si="149"/>
        <v>5782.5862858160108</v>
      </c>
      <c r="Q218" s="519">
        <f t="shared" si="141"/>
        <v>8516.3972609868997</v>
      </c>
      <c r="R218" s="521">
        <f t="shared" si="142"/>
        <v>629.80698598783727</v>
      </c>
      <c r="S218" s="518">
        <f t="shared" si="143"/>
        <v>97.11930396370947</v>
      </c>
      <c r="T218" s="519">
        <f t="shared" si="144"/>
        <v>5782.5862858160108</v>
      </c>
      <c r="U218" s="519">
        <f t="shared" si="145"/>
        <v>15025.909836754458</v>
      </c>
    </row>
    <row r="219" spans="1:21">
      <c r="A219">
        <f>'Input data'!A138</f>
        <v>2038</v>
      </c>
      <c r="C219" s="314">
        <f>'4A SWD Case 3'!BN108</f>
        <v>386.88887645574005</v>
      </c>
      <c r="D219" s="3">
        <f>'4B Biological treatment '!T272</f>
        <v>2.8758309862458322</v>
      </c>
      <c r="E219" s="178">
        <f>'4B Biological treatment '!U272</f>
        <v>14.379154931229159</v>
      </c>
      <c r="F219" s="178">
        <f>'4B Biological treatment '!W272</f>
        <v>0.86274929587374949</v>
      </c>
      <c r="G219" s="952">
        <f>'4C2 Open-burning '!R177</f>
        <v>10.179156222495859</v>
      </c>
      <c r="H219" s="952">
        <f>'4C2 Open-burning '!Z177</f>
        <v>3.4249744302095286</v>
      </c>
      <c r="I219" s="952">
        <f>'4C2 Open-burning '!AH177</f>
        <v>4.7681424782474335E-2</v>
      </c>
      <c r="J219" s="987">
        <f>'4D Wastewater treatment and dis'!AV214</f>
        <v>225.02087918766139</v>
      </c>
      <c r="K219" s="770">
        <f>'4D Wastewater treatment and dis'!AW214</f>
        <v>3.5467194893720086</v>
      </c>
      <c r="L219" s="771">
        <f t="shared" si="150"/>
        <v>8124.6664055705405</v>
      </c>
      <c r="M219" s="772">
        <f t="shared" si="146"/>
        <v>60.392450711162475</v>
      </c>
      <c r="N219" s="771">
        <f t="shared" si="147"/>
        <v>569.41453527667477</v>
      </c>
      <c r="O219" s="773">
        <f t="shared" si="148"/>
        <v>96.88486093946301</v>
      </c>
      <c r="P219" s="771">
        <f t="shared" si="149"/>
        <v>5824.9215046462123</v>
      </c>
      <c r="Q219" s="519">
        <f t="shared" si="141"/>
        <v>8124.6664055705405</v>
      </c>
      <c r="R219" s="521">
        <f t="shared" si="142"/>
        <v>629.80698598783727</v>
      </c>
      <c r="S219" s="518">
        <f t="shared" si="143"/>
        <v>96.88486093946301</v>
      </c>
      <c r="T219" s="519">
        <f t="shared" si="144"/>
        <v>5824.9215046462123</v>
      </c>
      <c r="U219" s="519">
        <f t="shared" si="145"/>
        <v>14676.279757144053</v>
      </c>
    </row>
    <row r="220" spans="1:21">
      <c r="A220">
        <f>'Input data'!A139</f>
        <v>2039</v>
      </c>
      <c r="C220" s="314">
        <f>'4A SWD Case 3'!BN109</f>
        <v>369.1545452605219</v>
      </c>
      <c r="D220" s="3">
        <f>'4B Biological treatment '!T273</f>
        <v>2.8758309862458322</v>
      </c>
      <c r="E220" s="178">
        <f>'4B Biological treatment '!U273</f>
        <v>14.379154931229159</v>
      </c>
      <c r="F220" s="178">
        <f>'4B Biological treatment '!W273</f>
        <v>0.86274929587374949</v>
      </c>
      <c r="G220" s="952">
        <f>'4C2 Open-burning '!R178</f>
        <v>10.154820958102038</v>
      </c>
      <c r="H220" s="952">
        <f>'4C2 Open-burning '!Z178</f>
        <v>3.4167863587741936</v>
      </c>
      <c r="I220" s="952">
        <f>'4C2 Open-burning '!AH178</f>
        <v>4.7567433008166821E-2</v>
      </c>
      <c r="J220" s="987">
        <f>'4D Wastewater treatment and dis'!AV215</f>
        <v>226.66829224661399</v>
      </c>
      <c r="K220" s="770">
        <f>'4D Wastewater treatment and dis'!AW215</f>
        <v>3.5726855776049167</v>
      </c>
      <c r="L220" s="771">
        <f t="shared" si="150"/>
        <v>7752.2454504709603</v>
      </c>
      <c r="M220" s="772">
        <f t="shared" si="146"/>
        <v>60.392450711162475</v>
      </c>
      <c r="N220" s="771">
        <f t="shared" si="147"/>
        <v>569.41453527667477</v>
      </c>
      <c r="O220" s="773">
        <f t="shared" si="148"/>
        <v>96.653238724891821</v>
      </c>
      <c r="P220" s="771">
        <f t="shared" si="149"/>
        <v>5867.5666662364183</v>
      </c>
      <c r="Q220" s="519">
        <f t="shared" si="141"/>
        <v>7752.2454504709603</v>
      </c>
      <c r="R220" s="521">
        <f t="shared" si="142"/>
        <v>629.80698598783727</v>
      </c>
      <c r="S220" s="518">
        <f t="shared" si="143"/>
        <v>96.653238724891821</v>
      </c>
      <c r="T220" s="519">
        <f t="shared" si="144"/>
        <v>5867.5666662364183</v>
      </c>
      <c r="U220" s="519">
        <f t="shared" si="145"/>
        <v>14346.272341420108</v>
      </c>
    </row>
    <row r="221" spans="1:21">
      <c r="A221">
        <f>'Input data'!A140</f>
        <v>2040</v>
      </c>
      <c r="C221" s="314">
        <f>'4A SWD Case 3'!BN110</f>
        <v>352.9176062776292</v>
      </c>
      <c r="D221" s="3">
        <f>'4B Biological treatment '!T274</f>
        <v>2.8758309862458322</v>
      </c>
      <c r="E221" s="178">
        <f>'4B Biological treatment '!U274</f>
        <v>14.379154931229159</v>
      </c>
      <c r="F221" s="178">
        <f>'4B Biological treatment '!W274</f>
        <v>0.86274929587374949</v>
      </c>
      <c r="G221" s="952">
        <f>'4C2 Open-burning '!R179</f>
        <v>10.130777379596603</v>
      </c>
      <c r="H221" s="952">
        <f>'4C2 Open-burning '!Z179</f>
        <v>3.4086964307102301</v>
      </c>
      <c r="I221" s="952">
        <f>'4C2 Open-burning '!AH179</f>
        <v>4.7454807555236386E-2</v>
      </c>
      <c r="J221" s="987">
        <f>'4D Wastewater treatment and dis'!AV216</f>
        <v>228.32776627429359</v>
      </c>
      <c r="K221" s="770">
        <f>'4D Wastewater treatment and dis'!AW216</f>
        <v>3.5988417676319293</v>
      </c>
      <c r="L221" s="771">
        <f t="shared" si="150"/>
        <v>7411.2697318302135</v>
      </c>
      <c r="M221" s="772">
        <f t="shared" si="146"/>
        <v>60.392450711162475</v>
      </c>
      <c r="N221" s="771">
        <f t="shared" si="147"/>
        <v>569.41453527667477</v>
      </c>
      <c r="O221" s="773">
        <f t="shared" si="148"/>
        <v>96.424392766634725</v>
      </c>
      <c r="P221" s="771">
        <f t="shared" si="149"/>
        <v>5910.5240397260632</v>
      </c>
      <c r="Q221" s="519">
        <f t="shared" si="141"/>
        <v>7411.2697318302135</v>
      </c>
      <c r="R221" s="521">
        <f t="shared" si="142"/>
        <v>629.80698598783727</v>
      </c>
      <c r="S221" s="518">
        <f t="shared" si="143"/>
        <v>96.424392766634725</v>
      </c>
      <c r="T221" s="519">
        <f t="shared" si="144"/>
        <v>5910.5240397260632</v>
      </c>
      <c r="U221" s="519">
        <f t="shared" si="145"/>
        <v>14048.025150310748</v>
      </c>
    </row>
    <row r="222" spans="1:21">
      <c r="A222">
        <f>'Input data'!A141</f>
        <v>2041</v>
      </c>
      <c r="C222" s="314">
        <f>'4A SWD Case 3'!BN111</f>
        <v>340.35567831451084</v>
      </c>
      <c r="D222" s="3">
        <f>'4B Biological treatment '!T275</f>
        <v>2.8758309862458322</v>
      </c>
      <c r="E222" s="178">
        <f>'4B Biological treatment '!U275</f>
        <v>14.379154931229159</v>
      </c>
      <c r="F222" s="178">
        <f>'4B Biological treatment '!W275</f>
        <v>0.86274929587374949</v>
      </c>
      <c r="G222" s="952">
        <f>'4C2 Open-burning '!R180</f>
        <v>10.110594115867604</v>
      </c>
      <c r="H222" s="952">
        <f>'4C2 Open-burning '!Z180</f>
        <v>3.4019053803835608</v>
      </c>
      <c r="I222" s="952">
        <f>'4C2 Open-burning '!AH180</f>
        <v>4.7360264672670904E-2</v>
      </c>
      <c r="J222" s="987">
        <f>'4D Wastewater treatment and dis'!AV217</f>
        <v>229.74589393780369</v>
      </c>
      <c r="K222" s="770">
        <f>'4D Wastewater treatment and dis'!AW217</f>
        <v>3.6211939201999317</v>
      </c>
      <c r="L222" s="771">
        <f t="shared" si="150"/>
        <v>7147.4692446047275</v>
      </c>
      <c r="M222" s="772">
        <f t="shared" si="146"/>
        <v>60.392450711162475</v>
      </c>
      <c r="N222" s="771">
        <f t="shared" si="147"/>
        <v>569.41453527667477</v>
      </c>
      <c r="O222" s="773">
        <f t="shared" si="148"/>
        <v>96.232289152450349</v>
      </c>
      <c r="P222" s="771">
        <f t="shared" si="149"/>
        <v>5947.2338879558556</v>
      </c>
      <c r="Q222" s="519">
        <f t="shared" si="141"/>
        <v>7147.4692446047275</v>
      </c>
      <c r="R222" s="521">
        <f t="shared" si="142"/>
        <v>629.80698598783727</v>
      </c>
      <c r="S222" s="518">
        <f t="shared" si="143"/>
        <v>96.232289152450349</v>
      </c>
      <c r="T222" s="519">
        <f t="shared" si="144"/>
        <v>5947.2338879558556</v>
      </c>
      <c r="U222" s="519">
        <f t="shared" si="145"/>
        <v>13820.742407700869</v>
      </c>
    </row>
    <row r="223" spans="1:21">
      <c r="A223">
        <f>'Input data'!A142</f>
        <v>2042</v>
      </c>
      <c r="C223" s="314">
        <f>'4A SWD Case 3'!BN112</f>
        <v>328.41448662995958</v>
      </c>
      <c r="D223" s="3">
        <f>'4B Biological treatment '!T276</f>
        <v>2.8758309862458322</v>
      </c>
      <c r="E223" s="178">
        <f>'4B Biological treatment '!U276</f>
        <v>14.379154931229159</v>
      </c>
      <c r="F223" s="178">
        <f>'4B Biological treatment '!W276</f>
        <v>0.86274929587374949</v>
      </c>
      <c r="G223" s="952">
        <f>'4C2 Open-burning '!R181</f>
        <v>10.090614955764785</v>
      </c>
      <c r="H223" s="952">
        <f>'4C2 Open-burning '!Z181</f>
        <v>3.3951830046783922</v>
      </c>
      <c r="I223" s="952">
        <f>'4C2 Open-burning '!AH181</f>
        <v>4.7266677856746583E-2</v>
      </c>
      <c r="J223" s="987">
        <f>'4D Wastewater treatment and dis'!AV218</f>
        <v>231.17282949228024</v>
      </c>
      <c r="K223" s="770">
        <f>'4D Wastewater treatment and dis'!AW218</f>
        <v>3.6436849004121257</v>
      </c>
      <c r="L223" s="771">
        <f t="shared" si="150"/>
        <v>6896.704219229151</v>
      </c>
      <c r="M223" s="772">
        <f t="shared" si="146"/>
        <v>60.392450711162475</v>
      </c>
      <c r="N223" s="771">
        <f t="shared" si="147"/>
        <v>569.41453527667477</v>
      </c>
      <c r="O223" s="773">
        <f t="shared" si="148"/>
        <v>96.042128189602451</v>
      </c>
      <c r="P223" s="771">
        <f t="shared" si="149"/>
        <v>5984.171738465644</v>
      </c>
      <c r="Q223" s="519">
        <f t="shared" si="141"/>
        <v>6896.704219229151</v>
      </c>
      <c r="R223" s="521">
        <f t="shared" si="142"/>
        <v>629.80698598783727</v>
      </c>
      <c r="S223" s="518">
        <f t="shared" si="143"/>
        <v>96.042128189602451</v>
      </c>
      <c r="T223" s="519">
        <f t="shared" si="144"/>
        <v>5984.171738465644</v>
      </c>
      <c r="U223" s="519">
        <f t="shared" si="145"/>
        <v>13606.725071872235</v>
      </c>
    </row>
    <row r="224" spans="1:21">
      <c r="A224">
        <f>'Input data'!A143</f>
        <v>2043</v>
      </c>
      <c r="C224" s="314">
        <f>'4A SWD Case 3'!BN113</f>
        <v>317.06379292578623</v>
      </c>
      <c r="D224" s="3">
        <f>'4B Biological treatment '!T277</f>
        <v>2.8758309862458322</v>
      </c>
      <c r="E224" s="178">
        <f>'4B Biological treatment '!U277</f>
        <v>14.379154931229159</v>
      </c>
      <c r="F224" s="178">
        <f>'4B Biological treatment '!W277</f>
        <v>0.86274929587374949</v>
      </c>
      <c r="G224" s="952">
        <f>'4C2 Open-burning '!R182</f>
        <v>10.070837196069071</v>
      </c>
      <c r="H224" s="952">
        <f>'4C2 Open-burning '!Z182</f>
        <v>3.3885283940442661</v>
      </c>
      <c r="I224" s="952">
        <f>'4C2 Open-burning '!AH182</f>
        <v>4.7174034444985899E-2</v>
      </c>
      <c r="J224" s="987">
        <f>'4D Wastewater treatment and dis'!AV219</f>
        <v>232.6086276429136</v>
      </c>
      <c r="K224" s="770">
        <f>'4D Wastewater treatment and dis'!AW219</f>
        <v>3.666315570517225</v>
      </c>
      <c r="L224" s="771">
        <f t="shared" si="150"/>
        <v>6658.3396514415108</v>
      </c>
      <c r="M224" s="772">
        <f t="shared" si="146"/>
        <v>60.392450711162475</v>
      </c>
      <c r="N224" s="771">
        <f t="shared" si="147"/>
        <v>569.41453527667477</v>
      </c>
      <c r="O224" s="773">
        <f t="shared" si="148"/>
        <v>95.853884148944275</v>
      </c>
      <c r="P224" s="771">
        <f t="shared" si="149"/>
        <v>6021.3390073615255</v>
      </c>
      <c r="Q224" s="519">
        <f t="shared" si="141"/>
        <v>6658.3396514415108</v>
      </c>
      <c r="R224" s="521">
        <f t="shared" si="142"/>
        <v>629.80698598783727</v>
      </c>
      <c r="S224" s="518">
        <f t="shared" si="143"/>
        <v>95.853884148944275</v>
      </c>
      <c r="T224" s="519">
        <f t="shared" si="144"/>
        <v>6021.3390073615255</v>
      </c>
      <c r="U224" s="519">
        <f t="shared" si="145"/>
        <v>13405.339528939818</v>
      </c>
    </row>
    <row r="225" spans="1:21">
      <c r="A225">
        <f>'Input data'!A144</f>
        <v>2044</v>
      </c>
      <c r="C225" s="314">
        <f>'4A SWD Case 3'!BN114</f>
        <v>306.27483099501768</v>
      </c>
      <c r="D225" s="3">
        <f>'4B Biological treatment '!T278</f>
        <v>2.8758309862458322</v>
      </c>
      <c r="E225" s="178">
        <f>'4B Biological treatment '!U278</f>
        <v>14.379154931229159</v>
      </c>
      <c r="F225" s="178">
        <f>'4B Biological treatment '!W278</f>
        <v>0.86274929587374949</v>
      </c>
      <c r="G225" s="952">
        <f>'4C2 Open-burning '!R183</f>
        <v>10.05125818014367</v>
      </c>
      <c r="H225" s="952">
        <f>'4C2 Open-burning '!Z183</f>
        <v>3.3819406546042359</v>
      </c>
      <c r="I225" s="952">
        <f>'4C2 Open-burning '!AH183</f>
        <v>4.7082321993113047E-2</v>
      </c>
      <c r="J225" s="987">
        <f>'4D Wastewater treatment and dis'!AV220</f>
        <v>234.0533434346637</v>
      </c>
      <c r="K225" s="770">
        <f>'4D Wastewater treatment and dis'!AW220</f>
        <v>3.6890867981193103</v>
      </c>
      <c r="L225" s="771">
        <f t="shared" si="150"/>
        <v>6431.7714508953713</v>
      </c>
      <c r="M225" s="772">
        <f t="shared" si="146"/>
        <v>60.392450711162475</v>
      </c>
      <c r="N225" s="771">
        <f t="shared" si="147"/>
        <v>569.41453527667477</v>
      </c>
      <c r="O225" s="773">
        <f t="shared" si="148"/>
        <v>95.667531744697669</v>
      </c>
      <c r="P225" s="771">
        <f t="shared" si="149"/>
        <v>6058.7371195449232</v>
      </c>
      <c r="Q225" s="519">
        <f t="shared" si="141"/>
        <v>6431.7714508953713</v>
      </c>
      <c r="R225" s="521">
        <f t="shared" si="142"/>
        <v>629.80698598783727</v>
      </c>
      <c r="S225" s="518">
        <f t="shared" si="143"/>
        <v>95.667531744697669</v>
      </c>
      <c r="T225" s="519">
        <f t="shared" si="144"/>
        <v>6058.7371195449232</v>
      </c>
      <c r="U225" s="519">
        <f t="shared" si="145"/>
        <v>13215.98308817283</v>
      </c>
    </row>
    <row r="226" spans="1:21">
      <c r="A226">
        <f>'Input data'!A145</f>
        <v>2045</v>
      </c>
      <c r="C226" s="314">
        <f>'4A SWD Case 3'!BN115</f>
        <v>296.0202351188891</v>
      </c>
      <c r="D226" s="3">
        <f>'4B Biological treatment '!T279</f>
        <v>2.8758309862458322</v>
      </c>
      <c r="E226" s="178">
        <f>'4B Biological treatment '!U279</f>
        <v>14.379154931229159</v>
      </c>
      <c r="F226" s="178">
        <f>'4B Biological treatment '!W279</f>
        <v>0.86274929587374949</v>
      </c>
      <c r="G226" s="952">
        <f>'4C2 Open-burning '!R184</f>
        <v>10.031875296933659</v>
      </c>
      <c r="H226" s="952">
        <f>'4C2 Open-burning '!Z184</f>
        <v>3.3754189078182595</v>
      </c>
      <c r="I226" s="952">
        <f>'4C2 Open-burning '!AH184</f>
        <v>4.6991528270367816E-2</v>
      </c>
      <c r="J226" s="987">
        <f>'4D Wastewater treatment and dis'!AV221</f>
        <v>235.50703225437104</v>
      </c>
      <c r="K226" s="770">
        <f>'4D Wastewater treatment and dis'!AW221</f>
        <v>3.711999456211089</v>
      </c>
      <c r="L226" s="771">
        <f t="shared" si="150"/>
        <v>6216.4249374966712</v>
      </c>
      <c r="M226" s="772">
        <f t="shared" si="146"/>
        <v>60.392450711162475</v>
      </c>
      <c r="N226" s="771">
        <f t="shared" si="147"/>
        <v>569.41453527667477</v>
      </c>
      <c r="O226" s="773">
        <f t="shared" si="148"/>
        <v>95.483046124931136</v>
      </c>
      <c r="P226" s="771">
        <f t="shared" si="149"/>
        <v>6096.3675087672291</v>
      </c>
      <c r="Q226" s="519">
        <f t="shared" si="141"/>
        <v>6216.4249374966712</v>
      </c>
      <c r="R226" s="521">
        <f t="shared" si="142"/>
        <v>629.80698598783727</v>
      </c>
      <c r="S226" s="518">
        <f t="shared" si="143"/>
        <v>95.483046124931136</v>
      </c>
      <c r="T226" s="519">
        <f t="shared" si="144"/>
        <v>6096.3675087672291</v>
      </c>
      <c r="U226" s="519">
        <f t="shared" si="145"/>
        <v>13038.082478376669</v>
      </c>
    </row>
    <row r="227" spans="1:21">
      <c r="A227">
        <f>'Input data'!A146</f>
        <v>2046</v>
      </c>
      <c r="C227" s="314">
        <f>'4A SWD Case 3'!BN116</f>
        <v>286.27397194443449</v>
      </c>
      <c r="D227" s="3">
        <f>'4B Biological treatment '!T280</f>
        <v>2.8758309862458322</v>
      </c>
      <c r="E227" s="178">
        <f>'4B Biological treatment '!U280</f>
        <v>14.379154931229159</v>
      </c>
      <c r="F227" s="178">
        <f>'4B Biological treatment '!W280</f>
        <v>0.86274929587374949</v>
      </c>
      <c r="G227" s="952">
        <f>'4C2 Open-burning '!R185</f>
        <v>10.016080649685344</v>
      </c>
      <c r="H227" s="952">
        <f>'4C2 Open-burning '!Z185</f>
        <v>3.3701044925782111</v>
      </c>
      <c r="I227" s="952">
        <f>'4C2 Open-burning '!AH185</f>
        <v>4.6917542640490965E-2</v>
      </c>
      <c r="J227" s="987">
        <f>'4D Wastewater treatment and dis'!AV222</f>
        <v>236.70925796835201</v>
      </c>
      <c r="K227" s="770">
        <f>'4D Wastewater treatment and dis'!AW222</f>
        <v>3.7309486194433799</v>
      </c>
      <c r="L227" s="771">
        <f t="shared" si="150"/>
        <v>6011.7534108331247</v>
      </c>
      <c r="M227" s="772">
        <f t="shared" si="146"/>
        <v>60.392450711162475</v>
      </c>
      <c r="N227" s="771">
        <f t="shared" si="147"/>
        <v>569.41453527667477</v>
      </c>
      <c r="O227" s="773">
        <f t="shared" si="148"/>
        <v>95.332713212379986</v>
      </c>
      <c r="P227" s="771">
        <f t="shared" si="149"/>
        <v>6127.4884893628396</v>
      </c>
      <c r="Q227" s="519">
        <f t="shared" si="141"/>
        <v>6011.7534108331247</v>
      </c>
      <c r="R227" s="521">
        <f t="shared" si="142"/>
        <v>629.80698598783727</v>
      </c>
      <c r="S227" s="518">
        <f t="shared" si="143"/>
        <v>95.332713212379986</v>
      </c>
      <c r="T227" s="519">
        <f t="shared" si="144"/>
        <v>6127.4884893628396</v>
      </c>
      <c r="U227" s="519">
        <f t="shared" si="145"/>
        <v>12864.38159939618</v>
      </c>
    </row>
    <row r="228" spans="1:21">
      <c r="A228">
        <f>'Input data'!A147</f>
        <v>2047</v>
      </c>
      <c r="C228" s="314">
        <f>'4A SWD Case 3'!BN117</f>
        <v>277.00954801437149</v>
      </c>
      <c r="D228" s="3">
        <f>'4B Biological treatment '!T281</f>
        <v>2.8758309862458322</v>
      </c>
      <c r="E228" s="178">
        <f>'4B Biological treatment '!U281</f>
        <v>14.379154931229159</v>
      </c>
      <c r="F228" s="178">
        <f>'4B Biological treatment '!W281</f>
        <v>0.86274929587374949</v>
      </c>
      <c r="G228" s="952">
        <f>'4C2 Open-burning '!R186</f>
        <v>10.000415502259907</v>
      </c>
      <c r="H228" s="952">
        <f>'4C2 Open-burning '!Z186</f>
        <v>3.3648336500638756</v>
      </c>
      <c r="I228" s="952">
        <f>'4C2 Open-burning '!AH186</f>
        <v>4.6844163616498617E-2</v>
      </c>
      <c r="J228" s="987">
        <f>'4D Wastewater treatment and dis'!AV223</f>
        <v>237.91762085222362</v>
      </c>
      <c r="K228" s="770">
        <f>'4D Wastewater treatment and dis'!AW223</f>
        <v>3.74999451512174</v>
      </c>
      <c r="L228" s="771">
        <f t="shared" si="150"/>
        <v>5817.2005083018012</v>
      </c>
      <c r="M228" s="772">
        <f t="shared" si="146"/>
        <v>60.392450711162475</v>
      </c>
      <c r="N228" s="771">
        <f t="shared" si="147"/>
        <v>569.41453527667477</v>
      </c>
      <c r="O228" s="773">
        <f t="shared" si="148"/>
        <v>95.183612874715863</v>
      </c>
      <c r="P228" s="771">
        <f t="shared" si="149"/>
        <v>6158.7683375844354</v>
      </c>
      <c r="Q228" s="519">
        <f t="shared" si="141"/>
        <v>5817.2005083018012</v>
      </c>
      <c r="R228" s="521">
        <f t="shared" si="142"/>
        <v>629.80698598783727</v>
      </c>
      <c r="S228" s="518">
        <f t="shared" si="143"/>
        <v>95.183612874715863</v>
      </c>
      <c r="T228" s="519">
        <f t="shared" si="144"/>
        <v>6158.7683375844354</v>
      </c>
      <c r="U228" s="519">
        <f t="shared" si="145"/>
        <v>12700.959444748789</v>
      </c>
    </row>
    <row r="229" spans="1:21">
      <c r="A229">
        <f>'Input data'!A148</f>
        <v>2048</v>
      </c>
      <c r="C229" s="314">
        <f>'4A SWD Case 3'!BN118</f>
        <v>268.20350112259644</v>
      </c>
      <c r="D229" s="3">
        <f>'4B Biological treatment '!T282</f>
        <v>2.8758309862458322</v>
      </c>
      <c r="E229" s="178">
        <f>'4B Biological treatment '!U282</f>
        <v>14.379154931229159</v>
      </c>
      <c r="F229" s="178">
        <f>'4B Biological treatment '!W282</f>
        <v>0.86274929587374949</v>
      </c>
      <c r="G229" s="952">
        <f>'4C2 Open-burning '!R187</f>
        <v>9.984878469104487</v>
      </c>
      <c r="H229" s="952">
        <f>'4C2 Open-burning '!Z187</f>
        <v>3.3596059140791361</v>
      </c>
      <c r="I229" s="952">
        <f>'4C2 Open-burning '!AH187</f>
        <v>4.6771384708153965E-2</v>
      </c>
      <c r="J229" s="987">
        <f>'4D Wastewater treatment and dis'!AV224</f>
        <v>239.13215223525594</v>
      </c>
      <c r="K229" s="770">
        <f>'4D Wastewater treatment and dis'!AW224</f>
        <v>3.769137637049826</v>
      </c>
      <c r="L229" s="771">
        <f t="shared" si="150"/>
        <v>5632.2735235745249</v>
      </c>
      <c r="M229" s="772">
        <f t="shared" si="146"/>
        <v>60.392450711162475</v>
      </c>
      <c r="N229" s="771">
        <f t="shared" si="147"/>
        <v>569.41453527667477</v>
      </c>
      <c r="O229" s="773">
        <f t="shared" si="148"/>
        <v>95.035731924294083</v>
      </c>
      <c r="P229" s="771">
        <f t="shared" si="149"/>
        <v>6190.2078644258199</v>
      </c>
      <c r="Q229" s="519">
        <f t="shared" si="141"/>
        <v>5632.2735235745249</v>
      </c>
      <c r="R229" s="521">
        <f t="shared" si="142"/>
        <v>629.80698598783727</v>
      </c>
      <c r="S229" s="518">
        <f t="shared" si="143"/>
        <v>95.035731924294083</v>
      </c>
      <c r="T229" s="519">
        <f t="shared" si="144"/>
        <v>6190.2078644258199</v>
      </c>
      <c r="U229" s="519">
        <f t="shared" si="145"/>
        <v>12547.324105912476</v>
      </c>
    </row>
    <row r="230" spans="1:21">
      <c r="A230">
        <f>'Input data'!A149</f>
        <v>2049</v>
      </c>
      <c r="C230" s="314">
        <f>'4A SWD Case 3'!BN119</f>
        <v>259.83351077817503</v>
      </c>
      <c r="D230" s="3">
        <f>'4B Biological treatment '!T283</f>
        <v>2.8758309862458322</v>
      </c>
      <c r="E230" s="178">
        <f>'4B Biological treatment '!U283</f>
        <v>14.379154931229159</v>
      </c>
      <c r="F230" s="178">
        <f>'4B Biological treatment '!W283</f>
        <v>0.86274929587374949</v>
      </c>
      <c r="G230" s="952">
        <f>'4C2 Open-burning '!R188</f>
        <v>9.9694681839421868</v>
      </c>
      <c r="H230" s="952">
        <f>'4C2 Open-burning '!Z188</f>
        <v>3.3544208249136438</v>
      </c>
      <c r="I230" s="952">
        <f>'4C2 Open-burning '!AH188</f>
        <v>4.669919951551306E-2</v>
      </c>
      <c r="J230" s="987">
        <f>'4D Wastewater treatment and dis'!AV225</f>
        <v>240.35288360665007</v>
      </c>
      <c r="K230" s="770">
        <f>'4D Wastewater treatment and dis'!AW225</f>
        <v>3.7883784815520856</v>
      </c>
      <c r="L230" s="771">
        <f t="shared" si="150"/>
        <v>5456.5037263416752</v>
      </c>
      <c r="M230" s="772">
        <f t="shared" si="146"/>
        <v>60.392450711162475</v>
      </c>
      <c r="N230" s="771">
        <f t="shared" si="147"/>
        <v>569.41453527667477</v>
      </c>
      <c r="O230" s="773">
        <f t="shared" si="148"/>
        <v>94.889057356937755</v>
      </c>
      <c r="P230" s="771">
        <f t="shared" si="149"/>
        <v>6221.8078850207985</v>
      </c>
      <c r="Q230" s="519">
        <f t="shared" si="141"/>
        <v>5456.5037263416752</v>
      </c>
      <c r="R230" s="521">
        <f t="shared" si="142"/>
        <v>629.80698598783727</v>
      </c>
      <c r="S230" s="518">
        <f t="shared" si="143"/>
        <v>94.889057356937755</v>
      </c>
      <c r="T230" s="519">
        <f t="shared" si="144"/>
        <v>6221.8078850207985</v>
      </c>
      <c r="U230" s="519">
        <f t="shared" si="145"/>
        <v>12403.007654707249</v>
      </c>
    </row>
    <row r="231" spans="1:21">
      <c r="A231">
        <f>'Input data'!A150</f>
        <v>2050</v>
      </c>
      <c r="C231" s="314">
        <f>'4A SWD Case 3'!BN120</f>
        <v>251.87834269260674</v>
      </c>
      <c r="D231" s="3">
        <f>'4B Biological treatment '!T284</f>
        <v>2.8758309862458322</v>
      </c>
      <c r="E231" s="178">
        <f>'4B Biological treatment '!U284</f>
        <v>14.379154931229159</v>
      </c>
      <c r="F231" s="178">
        <f>'4B Biological treatment '!W284</f>
        <v>0.86274929587374949</v>
      </c>
      <c r="G231" s="952">
        <f>'4C2 Open-burning '!R189</f>
        <v>9.9541832994375596</v>
      </c>
      <c r="H231" s="952">
        <f>'4C2 Open-burning '!Z189</f>
        <v>3.3492779292302708</v>
      </c>
      <c r="I231" s="952">
        <f>'4C2 Open-burning '!AH189</f>
        <v>4.6627601727357935E-2</v>
      </c>
      <c r="J231" s="987">
        <f>'4D Wastewater treatment and dis'!AV226</f>
        <v>241.57984661635467</v>
      </c>
      <c r="K231" s="770">
        <f>'4D Wastewater treatment and dis'!AW226</f>
        <v>3.8077175474866229</v>
      </c>
      <c r="L231" s="771">
        <f t="shared" si="150"/>
        <v>5289.4451965447415</v>
      </c>
      <c r="M231" s="772">
        <f t="shared" si="146"/>
        <v>60.392450711162475</v>
      </c>
      <c r="N231" s="771">
        <f t="shared" si="147"/>
        <v>569.41453527667477</v>
      </c>
      <c r="O231" s="773">
        <f t="shared" si="148"/>
        <v>94.743576348754203</v>
      </c>
      <c r="P231" s="771">
        <f t="shared" si="149"/>
        <v>6253.5692186643009</v>
      </c>
      <c r="Q231" s="471">
        <f t="shared" si="141"/>
        <v>5289.4451965447415</v>
      </c>
      <c r="R231" s="517">
        <f t="shared" si="142"/>
        <v>629.80698598783727</v>
      </c>
      <c r="S231" s="514">
        <f t="shared" si="143"/>
        <v>94.743576348754203</v>
      </c>
      <c r="T231" s="471">
        <f t="shared" si="144"/>
        <v>6253.5692186643009</v>
      </c>
      <c r="U231" s="471">
        <f t="shared" si="145"/>
        <v>12267.564977545633</v>
      </c>
    </row>
    <row r="232" spans="1:21">
      <c r="E232" s="515"/>
    </row>
    <row r="233" spans="1:21">
      <c r="E233" s="515"/>
    </row>
  </sheetData>
  <mergeCells count="32">
    <mergeCell ref="W3:AD3"/>
    <mergeCell ref="C5:K5"/>
    <mergeCell ref="W6:W7"/>
    <mergeCell ref="X5:AB5"/>
    <mergeCell ref="AD5:AH5"/>
    <mergeCell ref="A6:A8"/>
    <mergeCell ref="G7:I7"/>
    <mergeCell ref="E7:F7"/>
    <mergeCell ref="J7:K7"/>
    <mergeCell ref="B6:B7"/>
    <mergeCell ref="G6:I6"/>
    <mergeCell ref="D6:F6"/>
    <mergeCell ref="J6:K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CJ5:CM6"/>
    <mergeCell ref="CF5:CI6"/>
    <mergeCell ref="CB5:CE6"/>
    <mergeCell ref="BU5:BW6"/>
    <mergeCell ref="BX5:BZ6"/>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5"/>
  <cols>
    <col min="2" max="26" width="8.85546875" customWidth="1"/>
  </cols>
  <sheetData>
    <row r="1" spans="63:152">
      <c r="BK1" t="s">
        <v>520</v>
      </c>
    </row>
    <row r="3" spans="63:152">
      <c r="EV3" s="522" t="s">
        <v>817</v>
      </c>
    </row>
    <row r="4" spans="63:152" ht="31.5">
      <c r="DU4" s="1109" t="s">
        <v>628</v>
      </c>
      <c r="EV4" s="1693" t="s">
        <v>816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5"/>
  <cols>
    <col min="3" max="3" width="11.5703125" customWidth="1"/>
    <col min="4" max="4" width="12.7109375" customWidth="1"/>
    <col min="5" max="6" width="13.140625" customWidth="1"/>
    <col min="9" max="9" width="11.140625" customWidth="1"/>
    <col min="10" max="10" width="12.5703125" customWidth="1"/>
    <col min="11" max="11" width="11.42578125" customWidth="1"/>
    <col min="12" max="12" width="17.42578125" customWidth="1"/>
    <col min="13" max="13" width="12" customWidth="1"/>
  </cols>
  <sheetData>
    <row r="1" spans="1:13" ht="15.75" thickBot="1">
      <c r="B1" s="1779" t="s">
        <v>750</v>
      </c>
      <c r="C1" s="1780"/>
      <c r="D1" s="1780"/>
      <c r="E1" s="1780"/>
      <c r="F1" s="1781"/>
      <c r="H1" s="1779" t="s">
        <v>751</v>
      </c>
      <c r="I1" s="1780"/>
      <c r="J1" s="1780"/>
      <c r="K1" s="1780"/>
      <c r="L1" s="1781"/>
      <c r="M1" s="1752" t="s">
        <v>754</v>
      </c>
    </row>
    <row r="2" spans="1:13">
      <c r="B2" s="1744" t="s">
        <v>518</v>
      </c>
      <c r="C2" s="1745"/>
      <c r="D2" s="1745"/>
      <c r="E2" s="1745"/>
      <c r="F2" s="1746"/>
      <c r="H2" s="1744" t="s">
        <v>518</v>
      </c>
      <c r="I2" s="1745"/>
      <c r="J2" s="1745"/>
      <c r="K2" s="1745"/>
      <c r="L2" s="1746"/>
      <c r="M2" s="1753"/>
    </row>
    <row r="3" spans="1:13">
      <c r="B3" s="509" t="s">
        <v>187</v>
      </c>
      <c r="C3" s="512" t="s">
        <v>194</v>
      </c>
      <c r="D3" s="512" t="s">
        <v>513</v>
      </c>
      <c r="E3" s="512" t="s">
        <v>517</v>
      </c>
      <c r="F3" s="513">
        <v>4</v>
      </c>
      <c r="H3" s="509" t="s">
        <v>187</v>
      </c>
      <c r="I3" s="512" t="s">
        <v>194</v>
      </c>
      <c r="J3" s="512" t="s">
        <v>513</v>
      </c>
      <c r="K3" s="512" t="s">
        <v>517</v>
      </c>
      <c r="L3" s="513">
        <v>4</v>
      </c>
      <c r="M3" s="1753"/>
    </row>
    <row r="4" spans="1:13" ht="75">
      <c r="B4" s="509" t="s">
        <v>233</v>
      </c>
      <c r="C4" s="512" t="s">
        <v>512</v>
      </c>
      <c r="D4" s="512" t="s">
        <v>38</v>
      </c>
      <c r="E4" s="512" t="s">
        <v>193</v>
      </c>
      <c r="F4" s="513" t="s">
        <v>627</v>
      </c>
      <c r="H4" s="509" t="s">
        <v>233</v>
      </c>
      <c r="I4" s="512" t="s">
        <v>512</v>
      </c>
      <c r="J4" s="512" t="s">
        <v>38</v>
      </c>
      <c r="K4" s="512" t="s">
        <v>193</v>
      </c>
      <c r="L4" s="513" t="s">
        <v>627</v>
      </c>
      <c r="M4" s="1753"/>
    </row>
    <row r="5" spans="1:13" ht="15.75" thickBot="1">
      <c r="B5" s="1741" t="s">
        <v>515</v>
      </c>
      <c r="C5" s="1742"/>
      <c r="D5" s="1742"/>
      <c r="E5" s="1742"/>
      <c r="F5" s="1743"/>
      <c r="H5" s="1741" t="s">
        <v>515</v>
      </c>
      <c r="I5" s="1742"/>
      <c r="J5" s="1742"/>
      <c r="K5" s="1742"/>
      <c r="L5" s="1743"/>
      <c r="M5" s="1754"/>
    </row>
    <row r="7" spans="1:13">
      <c r="A7" s="413">
        <v>2000</v>
      </c>
      <c r="B7" s="471">
        <f>'Output data (results)'!Q10</f>
        <v>15728.138814822039</v>
      </c>
      <c r="C7" s="471">
        <f>'Output data (results)'!R10</f>
        <v>318.2494344348973</v>
      </c>
      <c r="D7" s="471">
        <f>'Output data (results)'!S10</f>
        <v>252.83335953932928</v>
      </c>
      <c r="E7" s="471">
        <f>'Output data (results)'!T10</f>
        <v>2831.8730929925982</v>
      </c>
      <c r="F7" s="471">
        <f>'Output data (results)'!U10</f>
        <v>19131.094701788865</v>
      </c>
      <c r="H7" s="471">
        <v>10533.924430337305</v>
      </c>
      <c r="I7" s="471">
        <v>0</v>
      </c>
      <c r="J7" s="471">
        <v>280.4959266912</v>
      </c>
      <c r="K7" s="471">
        <v>2743.4280331618288</v>
      </c>
      <c r="L7" s="471">
        <v>13557.848390190333</v>
      </c>
      <c r="M7" s="1414">
        <f>(F7-L7)/L7</f>
        <v>0.411071591243859</v>
      </c>
    </row>
    <row r="8" spans="1:13">
      <c r="A8" s="53">
        <v>2001</v>
      </c>
      <c r="B8" s="519">
        <f>'Output data (results)'!Q11</f>
        <v>16224.518348277974</v>
      </c>
      <c r="C8" s="519">
        <f>'Output data (results)'!R11</f>
        <v>325.89579945775205</v>
      </c>
      <c r="D8" s="519">
        <f>'Output data (results)'!S11</f>
        <v>258.06241311161995</v>
      </c>
      <c r="E8" s="519">
        <f>'Output data (results)'!T11</f>
        <v>2890.4413774158538</v>
      </c>
      <c r="F8" s="519">
        <f>'Output data (results)'!U11</f>
        <v>19698.917938263199</v>
      </c>
      <c r="H8" s="519">
        <v>10964.910265635064</v>
      </c>
      <c r="I8" s="519">
        <v>0</v>
      </c>
      <c r="J8" s="519">
        <v>286.29709244776791</v>
      </c>
      <c r="K8" s="519">
        <v>2800.1671129385845</v>
      </c>
      <c r="L8" s="519">
        <v>14051.374471021418</v>
      </c>
      <c r="M8" s="1414">
        <f t="shared" ref="M8:M24" si="0">(F8-L8)/L8</f>
        <v>0.40192107034716668</v>
      </c>
    </row>
    <row r="9" spans="1:13">
      <c r="A9" s="53">
        <v>2002</v>
      </c>
      <c r="B9" s="519">
        <f>'Output data (results)'!Q12</f>
        <v>16726.565266040841</v>
      </c>
      <c r="C9" s="519">
        <f>'Output data (results)'!R12</f>
        <v>334.41879147227752</v>
      </c>
      <c r="D9" s="519">
        <f>'Output data (results)'!S12</f>
        <v>261.64230363418824</v>
      </c>
      <c r="E9" s="519">
        <f>'Output data (results)'!T12</f>
        <v>2930.5381259825444</v>
      </c>
      <c r="F9" s="519">
        <f>'Output data (results)'!U12</f>
        <v>20253.164487129852</v>
      </c>
      <c r="H9" s="519">
        <v>11393.849070741173</v>
      </c>
      <c r="I9" s="519">
        <v>0</v>
      </c>
      <c r="J9" s="519">
        <v>290.26865977341839</v>
      </c>
      <c r="K9" s="519">
        <v>2839.0115598626717</v>
      </c>
      <c r="L9" s="519">
        <v>14523.129290377263</v>
      </c>
      <c r="M9" s="1414">
        <f t="shared" si="0"/>
        <v>0.39454549237878073</v>
      </c>
    </row>
    <row r="10" spans="1:13">
      <c r="A10" s="53">
        <v>2003</v>
      </c>
      <c r="B10" s="519">
        <f>'Output data (results)'!Q13</f>
        <v>17237.078183932772</v>
      </c>
      <c r="C10" s="519">
        <f>'Output data (results)'!R13</f>
        <v>341.69456006950077</v>
      </c>
      <c r="D10" s="519">
        <f>'Output data (results)'!S13</f>
        <v>264.99234564808432</v>
      </c>
      <c r="E10" s="519">
        <f>'Output data (results)'!T13</f>
        <v>2968.0604444646974</v>
      </c>
      <c r="F10" s="519">
        <f>'Output data (results)'!U13</f>
        <v>20811.825534115051</v>
      </c>
      <c r="H10" s="519">
        <v>11815.503726588919</v>
      </c>
      <c r="I10" s="519">
        <v>0</v>
      </c>
      <c r="J10" s="519">
        <v>293.98523080207673</v>
      </c>
      <c r="K10" s="519">
        <v>2875.3619813020655</v>
      </c>
      <c r="L10" s="519">
        <v>14984.85093869306</v>
      </c>
      <c r="M10" s="1414">
        <f t="shared" si="0"/>
        <v>0.38885769496551326</v>
      </c>
    </row>
    <row r="11" spans="1:13">
      <c r="A11" s="53">
        <v>2004</v>
      </c>
      <c r="B11" s="519">
        <f>'Output data (results)'!Q14</f>
        <v>17684.478970908294</v>
      </c>
      <c r="C11" s="519">
        <f>'Output data (results)'!R14</f>
        <v>351.97605891913804</v>
      </c>
      <c r="D11" s="519">
        <f>'Output data (results)'!S14</f>
        <v>268.1470164296091</v>
      </c>
      <c r="E11" s="519">
        <f>'Output data (results)'!T14</f>
        <v>3003.3944973749908</v>
      </c>
      <c r="F11" s="519">
        <f>'Output data (results)'!U14</f>
        <v>21307.996543632031</v>
      </c>
      <c r="H11" s="519">
        <v>12229.217124216619</v>
      </c>
      <c r="I11" s="519">
        <v>0</v>
      </c>
      <c r="J11" s="519">
        <v>297.485054978292</v>
      </c>
      <c r="K11" s="519">
        <v>2909.5924810794709</v>
      </c>
      <c r="L11" s="519">
        <v>15436.294660274381</v>
      </c>
      <c r="M11" s="1414">
        <f t="shared" si="0"/>
        <v>0.38038285823012913</v>
      </c>
    </row>
    <row r="12" spans="1:13">
      <c r="A12" s="53">
        <v>2005</v>
      </c>
      <c r="B12" s="519">
        <f>'Output data (results)'!Q15</f>
        <v>18078.645835098909</v>
      </c>
      <c r="C12" s="519">
        <f>'Output data (results)'!R15</f>
        <v>363.98154828067868</v>
      </c>
      <c r="D12" s="519">
        <f>'Output data (results)'!S15</f>
        <v>271.20974780766511</v>
      </c>
      <c r="E12" s="519">
        <f>'Output data (results)'!T15</f>
        <v>3037.6987782514689</v>
      </c>
      <c r="F12" s="519">
        <f>'Output data (results)'!U15</f>
        <v>21751.53590943872</v>
      </c>
      <c r="H12" s="519">
        <v>12635.361530682268</v>
      </c>
      <c r="I12" s="519">
        <v>0</v>
      </c>
      <c r="J12" s="519">
        <v>300.88288063571031</v>
      </c>
      <c r="K12" s="519">
        <v>2942.8253706630003</v>
      </c>
      <c r="L12" s="519">
        <v>15879.069781980979</v>
      </c>
      <c r="M12" s="1414">
        <f t="shared" si="0"/>
        <v>0.36982431641692343</v>
      </c>
    </row>
    <row r="13" spans="1:13">
      <c r="A13" s="53">
        <v>2006</v>
      </c>
      <c r="B13" s="519">
        <f>'Output data (results)'!Q16</f>
        <v>18422.419003066498</v>
      </c>
      <c r="C13" s="519">
        <f>'Output data (results)'!R16</f>
        <v>377.18912796087932</v>
      </c>
      <c r="D13" s="519">
        <f>'Output data (results)'!S16</f>
        <v>274.27247918572107</v>
      </c>
      <c r="E13" s="519">
        <f>'Output data (results)'!T16</f>
        <v>3072.0030591279478</v>
      </c>
      <c r="F13" s="519">
        <f>'Output data (results)'!U16</f>
        <v>22145.883669341045</v>
      </c>
      <c r="H13" s="519">
        <v>13034.366247930175</v>
      </c>
      <c r="I13" s="519">
        <v>0</v>
      </c>
      <c r="J13" s="519">
        <v>304.28070629312867</v>
      </c>
      <c r="K13" s="519">
        <v>2976.0582602465283</v>
      </c>
      <c r="L13" s="519">
        <v>16314.705214469832</v>
      </c>
      <c r="M13" s="1414">
        <f t="shared" si="0"/>
        <v>0.35741856063077537</v>
      </c>
    </row>
    <row r="14" spans="1:13">
      <c r="A14" s="53">
        <v>2007</v>
      </c>
      <c r="B14" s="519">
        <f>'Output data (results)'!Q17</f>
        <v>18715.71768372017</v>
      </c>
      <c r="C14" s="519">
        <f>'Output data (results)'!R17</f>
        <v>390.48890504642225</v>
      </c>
      <c r="D14" s="519">
        <f>'Output data (results)'!S17</f>
        <v>277.29498707475938</v>
      </c>
      <c r="E14" s="519">
        <f>'Output data (results)'!T17</f>
        <v>3105.8568147396318</v>
      </c>
      <c r="F14" s="519">
        <f>'Output data (results)'!U17</f>
        <v>22489.358390580983</v>
      </c>
      <c r="H14" s="519">
        <v>13426.83686526205</v>
      </c>
      <c r="I14" s="519">
        <v>0</v>
      </c>
      <c r="J14" s="519">
        <v>307.63390759857356</v>
      </c>
      <c r="K14" s="519">
        <v>3008.8546953702357</v>
      </c>
      <c r="L14" s="519">
        <v>16743.325468230862</v>
      </c>
      <c r="M14" s="1414">
        <f t="shared" si="0"/>
        <v>0.34318349322258385</v>
      </c>
    </row>
    <row r="15" spans="1:13">
      <c r="A15" s="53">
        <v>2008</v>
      </c>
      <c r="B15" s="519">
        <f>'Output data (results)'!Q18</f>
        <v>18955.139261650384</v>
      </c>
      <c r="C15" s="519">
        <f>'Output data (results)'!R18</f>
        <v>399.53212592648947</v>
      </c>
      <c r="D15" s="519">
        <f>'Output data (results)'!S18</f>
        <v>280.37495709096584</v>
      </c>
      <c r="E15" s="519">
        <f>'Output data (results)'!T18</f>
        <v>3140.3541778724511</v>
      </c>
      <c r="F15" s="519">
        <f>'Output data (results)'!U18</f>
        <v>22775.400522540291</v>
      </c>
      <c r="H15" s="519">
        <v>13813.037752763516</v>
      </c>
      <c r="I15" s="519">
        <v>0</v>
      </c>
      <c r="J15" s="519">
        <v>311.05085797826627</v>
      </c>
      <c r="K15" s="519">
        <v>3042.274636865116</v>
      </c>
      <c r="L15" s="519">
        <v>17166.363247606896</v>
      </c>
      <c r="M15" s="1414">
        <f t="shared" si="0"/>
        <v>0.32674581063145869</v>
      </c>
    </row>
    <row r="16" spans="1:13">
      <c r="A16" s="53">
        <v>2009</v>
      </c>
      <c r="B16" s="519">
        <f>'Output data (results)'!Q19</f>
        <v>19130.055627916718</v>
      </c>
      <c r="C16" s="519">
        <f>'Output data (results)'!R19</f>
        <v>397.7357297076386</v>
      </c>
      <c r="D16" s="519">
        <f>'Output data (results)'!S19</f>
        <v>283.40321119272096</v>
      </c>
      <c r="E16" s="519">
        <f>'Output data (results)'!T19</f>
        <v>3174.2722942362484</v>
      </c>
      <c r="F16" s="519">
        <f>'Output data (results)'!U19</f>
        <v>22985.466863053327</v>
      </c>
      <c r="H16" s="519">
        <v>14192.753023342679</v>
      </c>
      <c r="I16" s="519">
        <v>0</v>
      </c>
      <c r="J16" s="519">
        <v>314.41043419113589</v>
      </c>
      <c r="K16" s="519">
        <v>3075.1334226259405</v>
      </c>
      <c r="L16" s="519">
        <v>17582.296880159753</v>
      </c>
      <c r="M16" s="1414">
        <f t="shared" si="0"/>
        <v>0.30730740242423216</v>
      </c>
    </row>
    <row r="17" spans="1:13">
      <c r="A17" s="53">
        <v>2010</v>
      </c>
      <c r="B17" s="519">
        <f>'Output data (results)'!Q20</f>
        <v>19224.966297597453</v>
      </c>
      <c r="C17" s="519">
        <f>'Output data (results)'!R20</f>
        <v>457.58567236203919</v>
      </c>
      <c r="D17" s="519">
        <f>'Output data (results)'!S20</f>
        <v>289.10958635758124</v>
      </c>
      <c r="E17" s="519">
        <f>'Output data (results)'!T20</f>
        <v>3209.670707898656</v>
      </c>
      <c r="F17" s="519">
        <f>'Output data (results)'!U20</f>
        <v>23181.332264215729</v>
      </c>
      <c r="H17" s="519">
        <v>14563.494113324392</v>
      </c>
      <c r="I17" s="519">
        <v>0</v>
      </c>
      <c r="J17" s="519">
        <v>317.91663327477596</v>
      </c>
      <c r="K17" s="519">
        <v>3109.4262730404635</v>
      </c>
      <c r="L17" s="519">
        <v>17990.837019639632</v>
      </c>
      <c r="M17" s="1414">
        <f t="shared" si="0"/>
        <v>0.28850771306026018</v>
      </c>
    </row>
    <row r="18" spans="1:13">
      <c r="A18" s="53">
        <v>2011</v>
      </c>
      <c r="B18" s="519">
        <f>'Output data (results)'!Q21</f>
        <v>19201.852089525579</v>
      </c>
      <c r="C18" s="519">
        <f>'Output data (results)'!R21</f>
        <v>488.35925030819283</v>
      </c>
      <c r="D18" s="519">
        <f>'Output data (results)'!S21</f>
        <v>301.9056170360725</v>
      </c>
      <c r="E18" s="519">
        <f>'Output data (results)'!T21</f>
        <v>3332.0204976663595</v>
      </c>
      <c r="F18" s="519">
        <f>'Output data (results)'!U21</f>
        <v>23324.137454536201</v>
      </c>
      <c r="H18" s="519">
        <v>14935.214484849848</v>
      </c>
      <c r="I18" s="519">
        <v>0</v>
      </c>
      <c r="J18" s="519">
        <v>330.03533228932076</v>
      </c>
      <c r="K18" s="519">
        <v>3227.9548342004782</v>
      </c>
      <c r="L18" s="519">
        <v>18493.204651339649</v>
      </c>
      <c r="M18" s="1414">
        <f t="shared" si="0"/>
        <v>0.2612274559372596</v>
      </c>
    </row>
    <row r="19" spans="1:13">
      <c r="A19" s="53">
        <v>2012</v>
      </c>
      <c r="B19" s="519">
        <f>'Output data (results)'!Q22</f>
        <v>19081.496887575719</v>
      </c>
      <c r="C19" s="519">
        <f>'Output data (results)'!R22</f>
        <v>539.40416412719242</v>
      </c>
      <c r="D19" s="519">
        <f>'Output data (results)'!S22</f>
        <v>306.05640080876935</v>
      </c>
      <c r="E19" s="519">
        <f>'Output data (results)'!T22</f>
        <v>3367.704214952827</v>
      </c>
      <c r="F19" s="519">
        <f>'Output data (results)'!U22</f>
        <v>23294.661667464505</v>
      </c>
      <c r="H19" s="519">
        <v>15332.055571910652</v>
      </c>
      <c r="I19" s="519">
        <v>0</v>
      </c>
      <c r="J19" s="519">
        <v>337.75534518075358</v>
      </c>
      <c r="K19" s="519">
        <v>3303.4614557495461</v>
      </c>
      <c r="L19" s="519">
        <v>18973.272372840955</v>
      </c>
      <c r="M19" s="1414">
        <f t="shared" si="0"/>
        <v>0.22776193846293732</v>
      </c>
    </row>
    <row r="20" spans="1:13">
      <c r="A20" s="53">
        <v>2013</v>
      </c>
      <c r="B20" s="519">
        <f>'Output data (results)'!Q23</f>
        <v>18848.702616544419</v>
      </c>
      <c r="C20" s="519">
        <f>'Output data (results)'!R23</f>
        <v>589.32083109235896</v>
      </c>
      <c r="D20" s="519">
        <f>'Output data (results)'!S23</f>
        <v>310.6538874859516</v>
      </c>
      <c r="E20" s="519">
        <f>'Output data (results)'!T23</f>
        <v>3417.8382529883984</v>
      </c>
      <c r="F20" s="519">
        <f>'Output data (results)'!U23</f>
        <v>23166.515588111128</v>
      </c>
      <c r="H20" s="519">
        <v>15737.951382982099</v>
      </c>
      <c r="I20" s="519">
        <v>0</v>
      </c>
      <c r="J20" s="519">
        <v>339.09407573996157</v>
      </c>
      <c r="K20" s="519">
        <v>3316.555089544182</v>
      </c>
      <c r="L20" s="519">
        <v>19393.600548266244</v>
      </c>
      <c r="M20" s="1414">
        <f t="shared" si="0"/>
        <v>0.19454433076802627</v>
      </c>
    </row>
    <row r="21" spans="1:13">
      <c r="A21" s="53">
        <v>2014</v>
      </c>
      <c r="B21" s="519">
        <f>'Output data (results)'!Q24</f>
        <v>18584.362911037679</v>
      </c>
      <c r="C21" s="519">
        <f>'Output data (results)'!R24</f>
        <v>635.2764847511985</v>
      </c>
      <c r="D21" s="519">
        <f>'Output data (results)'!S24</f>
        <v>314.51894299876597</v>
      </c>
      <c r="E21" s="519">
        <f>'Output data (results)'!T24</f>
        <v>3469.8404041167237</v>
      </c>
      <c r="F21" s="519">
        <f>'Output data (results)'!U24</f>
        <v>23003.998742904365</v>
      </c>
      <c r="H21" s="519">
        <v>16159.429496771412</v>
      </c>
      <c r="I21" s="519">
        <v>0</v>
      </c>
      <c r="J21" s="519">
        <v>344.61474556983836</v>
      </c>
      <c r="K21" s="519">
        <v>3370.550741287776</v>
      </c>
      <c r="L21" s="519">
        <v>19874.594983629024</v>
      </c>
      <c r="M21" s="1414">
        <f t="shared" si="0"/>
        <v>0.15745748589357791</v>
      </c>
    </row>
    <row r="22" spans="1:13">
      <c r="A22" s="53">
        <v>2015</v>
      </c>
      <c r="B22" s="519">
        <f>'Output data (results)'!Q25</f>
        <v>18290.506483548277</v>
      </c>
      <c r="C22" s="519">
        <f>'Output data (results)'!R25</f>
        <v>676.58213686740248</v>
      </c>
      <c r="D22" s="519">
        <f>'Output data (results)'!S25</f>
        <v>317.61605794264813</v>
      </c>
      <c r="E22" s="519">
        <f>'Output data (results)'!T25</f>
        <v>3523.7828087751991</v>
      </c>
      <c r="F22" s="519">
        <f>'Output data (results)'!U25</f>
        <v>22808.487487133527</v>
      </c>
      <c r="H22" s="519">
        <v>16573.286536721545</v>
      </c>
      <c r="I22" s="519">
        <v>0</v>
      </c>
      <c r="J22" s="519">
        <v>350.33941243730874</v>
      </c>
      <c r="K22" s="519">
        <v>3426.5416134191241</v>
      </c>
      <c r="L22" s="519">
        <v>20350.167562577979</v>
      </c>
      <c r="M22" s="1414">
        <f t="shared" si="0"/>
        <v>0.12080096721543288</v>
      </c>
    </row>
    <row r="23" spans="1:13">
      <c r="A23" s="53">
        <v>2016</v>
      </c>
      <c r="B23" s="519">
        <f>'Output data (results)'!Q26</f>
        <v>17968.758988794594</v>
      </c>
      <c r="C23" s="519">
        <f>'Output data (results)'!R26</f>
        <v>715.01824789298109</v>
      </c>
      <c r="D23" s="519">
        <f>'Output data (results)'!S26</f>
        <v>319.90690368827416</v>
      </c>
      <c r="E23" s="519">
        <f>'Output data (results)'!T26</f>
        <v>3579.7412011442502</v>
      </c>
      <c r="F23" s="519">
        <f>'Output data (results)'!U26</f>
        <v>22583.425341520102</v>
      </c>
      <c r="H23" s="519">
        <v>16975.940539472325</v>
      </c>
      <c r="I23" s="519">
        <v>0</v>
      </c>
      <c r="J23" s="519">
        <v>354.44485281887989</v>
      </c>
      <c r="K23" s="519">
        <v>3466.6954237226737</v>
      </c>
      <c r="L23" s="519">
        <v>20797.08081601388</v>
      </c>
      <c r="M23" s="1414">
        <f t="shared" si="0"/>
        <v>8.5894003168498781E-2</v>
      </c>
    </row>
    <row r="24" spans="1:13">
      <c r="A24" s="413">
        <v>2017</v>
      </c>
      <c r="B24" s="471">
        <f>'Output data (results)'!Q27</f>
        <v>17621.856889545634</v>
      </c>
      <c r="C24" s="471">
        <f>'Output data (results)'!R27</f>
        <v>751.39711693352467</v>
      </c>
      <c r="D24" s="471">
        <f>'Output data (results)'!S27</f>
        <v>321.35014174830235</v>
      </c>
      <c r="E24" s="471">
        <f>'Output data (results)'!T27</f>
        <v>3637.7950868788384</v>
      </c>
      <c r="F24" s="471">
        <f>'Output data (results)'!U27</f>
        <v>22332.399235106299</v>
      </c>
      <c r="H24" s="471">
        <v>17365.956871268652</v>
      </c>
      <c r="I24" s="471">
        <v>0</v>
      </c>
      <c r="J24" s="471">
        <v>360.18226950119993</v>
      </c>
      <c r="K24" s="471">
        <v>3522.810997128257</v>
      </c>
      <c r="L24" s="471">
        <v>21248.950137898111</v>
      </c>
      <c r="M24" s="1414">
        <f t="shared" si="0"/>
        <v>5.0988358962536465E-2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Bruno</cp:lastModifiedBy>
  <dcterms:created xsi:type="dcterms:W3CDTF">2020-04-24T15:45:05Z</dcterms:created>
  <dcterms:modified xsi:type="dcterms:W3CDTF">2021-09-13T09:30:20Z</dcterms:modified>
</cp:coreProperties>
</file>